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/>
  <mc:AlternateContent xmlns:mc="http://schemas.openxmlformats.org/markup-compatibility/2006">
    <mc:Choice Requires="x15">
      <x15ac:absPath xmlns:x15ac="http://schemas.microsoft.com/office/spreadsheetml/2010/11/ac" url="D:\COVID-19\"/>
    </mc:Choice>
  </mc:AlternateContent>
  <xr:revisionPtr revIDLastSave="0" documentId="13_ncr:1_{40CFDB27-8547-4DCD-A3F5-300A2C8DC6D1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time_series_covid19_confirmed_g" sheetId="25" r:id="rId1"/>
    <sheet name="Cumul_cases - LNorm" sheetId="22" r:id="rId2"/>
    <sheet name="New_cases - LNorm" sheetId="23" r:id="rId3"/>
    <sheet name="New_cases_rates - LNorm" sheetId="24" r:id="rId4"/>
  </sheets>
  <definedNames>
    <definedName name="_xlcn.WorksheetConnection_COVID19ItalycasestrendBfit.xlsxdpc_covid19_ita_andamento_nazionale1" hidden="1">dpc_covid19_ita_andamento_nazionale</definedName>
    <definedName name="alpha">'New_cases_rates - LNorm'!$I$6</definedName>
    <definedName name="CIa">'New_cases - LNorm'!$AH$41</definedName>
    <definedName name="CIf">'New_cases - LNorm'!$AH$54</definedName>
    <definedName name="CIl">'New_cases - LNorm'!$AH$28</definedName>
    <definedName name="CIo">'Cumul_cases - LNorm'!$AA$38</definedName>
    <definedName name="CIr">'Cumul_cases - LNorm'!$AA$27</definedName>
    <definedName name="CIt">'Cumul_cases - LNorm'!$AA$49</definedName>
    <definedName name="Critical_ta">'New_cases - LNorm'!$AH$40</definedName>
    <definedName name="Critical_tf">'New_cases - LNorm'!$AH$53</definedName>
    <definedName name="Critical_tl">'New_cases - LNorm'!$AH$27</definedName>
    <definedName name="Critical_to">'Cumul_cases - LNorm'!$AA$37</definedName>
    <definedName name="Critical_tr">'Cumul_cases - LNorm'!$AA$26</definedName>
    <definedName name="Critical_tt">'Cumul_cases - LNorm'!$AA$48</definedName>
    <definedName name="Critical_tw">'New_cases - LNorm'!$AH$15</definedName>
    <definedName name="DatiEsterni_1" localSheetId="0" hidden="1">time_series_covid19_confirmed_g!$A$1:$CX$266</definedName>
    <definedName name="Day_1">'New_cases - LNorm'!$C$62</definedName>
    <definedName name="Days_back">'Cumul_cases - LNorm'!$H$6</definedName>
    <definedName name="dfa">'New_cases - LNorm'!$AH$37</definedName>
    <definedName name="dff">'New_cases - LNorm'!$AH$50</definedName>
    <definedName name="dfl">'New_cases - LNorm'!$AH$24</definedName>
    <definedName name="dfo">'Cumul_cases - LNorm'!$AA$34</definedName>
    <definedName name="dfr">'Cumul_cases - LNorm'!$AA$23</definedName>
    <definedName name="dft">'Cumul_cases - LNorm'!$AA$45</definedName>
    <definedName name="dfw">'New_cases - LNorm'!$AH$12</definedName>
    <definedName name="k_a">'New_cases - LNorm'!$AE$4</definedName>
    <definedName name="k_f">'New_cases - LNorm'!$AE$5</definedName>
    <definedName name="k_l">'New_cases - LNorm'!$AE$3</definedName>
    <definedName name="K_sum">'Cumul_cases - LNorm'!$AA$17</definedName>
    <definedName name="Ka">'New_cases - LNorm'!$AH$33</definedName>
    <definedName name="Kf">'New_cases - LNorm'!$AH$46</definedName>
    <definedName name="Kl">'New_cases - LNorm'!$AH$20</definedName>
    <definedName name="Ko">'Cumul_cases - LNorm'!$AA$30</definedName>
    <definedName name="Kr">'Cumul_cases - LNorm'!$AA$19</definedName>
    <definedName name="Kt">'Cumul_cases - LNorm'!$AA$41</definedName>
    <definedName name="Mean_of_y">'Cumul_cases - LNorm'!$AA$11</definedName>
    <definedName name="Mean_of_ya">'New_cases - LNorm'!$AH$36</definedName>
    <definedName name="Mean_of_yf">'New_cases - LNorm'!$AH$49</definedName>
    <definedName name="Mean_of_yl">'New_cases - LNorm'!$AH$23</definedName>
    <definedName name="Mean_of_yo">'Cumul_cases - LNorm'!$AA$33</definedName>
    <definedName name="Mean_of_yr">'Cumul_cases - LNorm'!$AA$22</definedName>
    <definedName name="Mean_of_yt">'Cumul_cases - LNorm'!$AA$44</definedName>
    <definedName name="Mean_of_yw">'New_cases - LNorm'!$AH$11</definedName>
    <definedName name="mu_a">'New_cases - LNorm'!$AH$34</definedName>
    <definedName name="mu_f">'New_cases - LNorm'!$AH$47</definedName>
    <definedName name="mu_l">'New_cases - LNorm'!$AH$21</definedName>
    <definedName name="mu_o">'Cumul_cases - LNorm'!$AA$31</definedName>
    <definedName name="mu_r">'Cumul_cases - LNorm'!$AA$20</definedName>
    <definedName name="mu_t">'Cumul_cases - LNorm'!$AA$42</definedName>
    <definedName name="Oggi">'Cumul_cases - LNorm'!$B$6</definedName>
    <definedName name="pa">'New_cases - LNorm'!$AH$44</definedName>
    <definedName name="pf">'New_cases - LNorm'!$AH$57</definedName>
    <definedName name="pl">'New_cases - LNorm'!$AH$31</definedName>
    <definedName name="po">'Cumul_cases - LNorm'!$AA$39</definedName>
    <definedName name="pr">'Cumul_cases - LNorm'!$AA$28</definedName>
    <definedName name="pt">'Cumul_cases - LNorm'!$AA$50</definedName>
    <definedName name="RSQa">'New_cases - LNorm'!$AH$39</definedName>
    <definedName name="RSQf">'New_cases - LNorm'!$AH$52</definedName>
    <definedName name="RSQl">'New_cases - LNorm'!$AH$26</definedName>
    <definedName name="RSQo">'Cumul_cases - LNorm'!$AA$36</definedName>
    <definedName name="RSQr">'Cumul_cases - LNorm'!$AA$25</definedName>
    <definedName name="RSQt">'Cumul_cases - LNorm'!$AA$47</definedName>
    <definedName name="SE_of_ya">'New_cases - LNorm'!$AH$38</definedName>
    <definedName name="SE_of_yf">'New_cases - LNorm'!$AH$51</definedName>
    <definedName name="SE_of_yl">'New_cases - LNorm'!$AH$25</definedName>
    <definedName name="SE_of_yo">'Cumul_cases - LNorm'!$AA$35</definedName>
    <definedName name="SE_of_yr">'Cumul_cases - LNorm'!$AA$24</definedName>
    <definedName name="SE_of_yt">'Cumul_cases - LNorm'!$AA$46</definedName>
    <definedName name="sigma_a">'New_cases - LNorm'!$AH$35</definedName>
    <definedName name="sigma_f">'New_cases - LNorm'!$AH$48</definedName>
    <definedName name="sigma_l">'New_cases - LNorm'!$AH$22</definedName>
    <definedName name="sigma_o">'Cumul_cases - LNorm'!$AA$32</definedName>
    <definedName name="sigma_r">'Cumul_cases - LNorm'!$AA$21</definedName>
    <definedName name="sigma_t">'Cumul_cases - LNorm'!$AA$43</definedName>
    <definedName name="solver_adj" localSheetId="1" hidden="1">'Cumul_cases - LNorm'!$AA$41:$AA$43,'Cumul_cases - LNorm'!$AA$50</definedName>
    <definedName name="solver_adj" localSheetId="2" hidden="1">'New_cases - LNorm'!$AH$46,'New_cases - LNorm'!$AH$47,'New_cases - LNorm'!$AH$48,'New_cases - LNorm'!$AH$57</definedName>
    <definedName name="solver_cvg" localSheetId="1" hidden="1">0.0001</definedName>
    <definedName name="solver_cvg" localSheetId="2" hidden="1">0.0001</definedName>
    <definedName name="solver_drv" localSheetId="1" hidden="1">2</definedName>
    <definedName name="solver_drv" localSheetId="2" hidden="1">2</definedName>
    <definedName name="solver_eng" localSheetId="1" hidden="1">1</definedName>
    <definedName name="solver_eng" localSheetId="2" hidden="1">1</definedName>
    <definedName name="solver_est" localSheetId="1" hidden="1">1</definedName>
    <definedName name="solver_est" localSheetId="2" hidden="1">1</definedName>
    <definedName name="solver_itr" localSheetId="1" hidden="1">2147483647</definedName>
    <definedName name="solver_itr" localSheetId="2" hidden="1">2147483647</definedName>
    <definedName name="solver_lhs0" localSheetId="2" hidden="1">'New_cases - LNorm'!$Y$75</definedName>
    <definedName name="solver_lhs1" localSheetId="1" hidden="1">'Cumul_cases - LNorm'!$AA$43</definedName>
    <definedName name="solver_lhs1" localSheetId="2" hidden="1">'New_cases - LNorm'!$AH$57</definedName>
    <definedName name="solver_lhs2" localSheetId="1" hidden="1">'Cumul_cases - LNorm'!$AA$32</definedName>
    <definedName name="solver_lhs2" localSheetId="2" hidden="1">'New_cases - LNorm'!$AH$48</definedName>
    <definedName name="solver_lhs3" localSheetId="1" hidden="1">'Cumul_cases - LNorm'!#REF!</definedName>
    <definedName name="solver_lhs4" localSheetId="1" hidden="1">'Cumul_cases - LNorm'!#REF!</definedName>
    <definedName name="solver_lin" localSheetId="1" hidden="1">2</definedName>
    <definedName name="solver_lin" localSheetId="2" hidden="1">2</definedName>
    <definedName name="solver_mip" localSheetId="1" hidden="1">2147483647</definedName>
    <definedName name="solver_mip" localSheetId="2" hidden="1">2147483647</definedName>
    <definedName name="solver_mni" localSheetId="1" hidden="1">30</definedName>
    <definedName name="solver_mni" localSheetId="2" hidden="1">30</definedName>
    <definedName name="solver_mrt" localSheetId="1" hidden="1">0.075</definedName>
    <definedName name="solver_mrt" localSheetId="2" hidden="1">0.075</definedName>
    <definedName name="solver_msl" localSheetId="1" hidden="1">2</definedName>
    <definedName name="solver_msl" localSheetId="2" hidden="1">2</definedName>
    <definedName name="solver_neg" localSheetId="1" hidden="1">1</definedName>
    <definedName name="solver_neg" localSheetId="2" hidden="1">1</definedName>
    <definedName name="solver_nod" localSheetId="1" hidden="1">2147483647</definedName>
    <definedName name="solver_nod" localSheetId="2" hidden="1">2147483647</definedName>
    <definedName name="solver_num" localSheetId="1" hidden="1">1</definedName>
    <definedName name="solver_num" localSheetId="2" hidden="1">2</definedName>
    <definedName name="solver_nwt" localSheetId="1" hidden="1">1</definedName>
    <definedName name="solver_nwt" localSheetId="2" hidden="1">1</definedName>
    <definedName name="solver_opt" localSheetId="1" hidden="1">'Cumul_cases - LNorm'!$AA$47</definedName>
    <definedName name="solver_opt" localSheetId="2" hidden="1">'New_cases - LNorm'!$AH$52</definedName>
    <definedName name="solver_pre" localSheetId="1" hidden="1">0.000001</definedName>
    <definedName name="solver_pre" localSheetId="2" hidden="1">0.000001</definedName>
    <definedName name="solver_rbv" localSheetId="1" hidden="1">2</definedName>
    <definedName name="solver_rbv" localSheetId="2" hidden="1">2</definedName>
    <definedName name="solver_rel0" localSheetId="2" hidden="1">3</definedName>
    <definedName name="solver_rel1" localSheetId="1" hidden="1">3</definedName>
    <definedName name="solver_rel1" localSheetId="2" hidden="1">1</definedName>
    <definedName name="solver_rel2" localSheetId="1" hidden="1">3</definedName>
    <definedName name="solver_rel2" localSheetId="2" hidden="1">3</definedName>
    <definedName name="solver_rel3" localSheetId="1" hidden="1">2</definedName>
    <definedName name="solver_rel4" localSheetId="1" hidden="1">2</definedName>
    <definedName name="solver_rhs0" localSheetId="2" hidden="1">0.000001</definedName>
    <definedName name="solver_rhs1" localSheetId="1" hidden="1">0.000001</definedName>
    <definedName name="solver_rhs1" localSheetId="2" hidden="1">0</definedName>
    <definedName name="solver_rhs2" localSheetId="1" hidden="1">0.000001</definedName>
    <definedName name="solver_rhs2" localSheetId="2" hidden="1">0.000001</definedName>
    <definedName name="solver_rhs3" localSheetId="1" hidden="1">0</definedName>
    <definedName name="solver_rhs4" localSheetId="1" hidden="1">0</definedName>
    <definedName name="solver_rlx" localSheetId="1" hidden="1">2</definedName>
    <definedName name="solver_rlx" localSheetId="2" hidden="1">2</definedName>
    <definedName name="solver_rsd" localSheetId="1" hidden="1">0</definedName>
    <definedName name="solver_rsd" localSheetId="2" hidden="1">0</definedName>
    <definedName name="solver_scl" localSheetId="1" hidden="1">2</definedName>
    <definedName name="solver_scl" localSheetId="2" hidden="1">2</definedName>
    <definedName name="solver_sho" localSheetId="1" hidden="1">1</definedName>
    <definedName name="solver_sho" localSheetId="2" hidden="1">1</definedName>
    <definedName name="solver_ssz" localSheetId="1" hidden="1">200</definedName>
    <definedName name="solver_ssz" localSheetId="2" hidden="1">200</definedName>
    <definedName name="solver_tim" localSheetId="1" hidden="1">2147483647</definedName>
    <definedName name="solver_tim" localSheetId="2" hidden="1">2147483647</definedName>
    <definedName name="solver_tol" localSheetId="1" hidden="1">0.01</definedName>
    <definedName name="solver_tol" localSheetId="2" hidden="1">0.01</definedName>
    <definedName name="solver_typ" localSheetId="1" hidden="1">1</definedName>
    <definedName name="solver_typ" localSheetId="2" hidden="1">1</definedName>
    <definedName name="solver_val" localSheetId="1" hidden="1">0</definedName>
    <definedName name="solver_val" localSheetId="2" hidden="1">0</definedName>
    <definedName name="solver_ver" localSheetId="1" hidden="1">3</definedName>
    <definedName name="solver_ver" localSheetId="2" hidden="1">3</definedName>
    <definedName name="Spain_acc_at_lockdown">'New_cases_rates - LNorm'!$Z$4</definedName>
    <definedName name="Spain_dt_at_lockdown">'New_cases_rates - LNorm'!$I$4</definedName>
    <definedName name="Spain_gr_at_lockdown">'New_cases_rates - LNorm'!$P$4</definedName>
    <definedName name="Spain_ht_at_lockdown">'New_cases_rates - LNorm'!$X$4</definedName>
    <definedName name="Start_data">'Cumul_cases - LNorm'!$B$8</definedName>
    <definedName name="y_a_peak">'New_cases - LNorm'!$AH$42</definedName>
    <definedName name="y_f_peak">'New_cases - LNorm'!$AH$55</definedName>
    <definedName name="y_l_peak">'New_cases - LNorm'!$AH$29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pc_covid19_ita_andamento_nazionale" name="dpc_covid19_ita_andamento_nazionale" connection="WorksheetConnection_COVID-19 Italy cases trend - B fit.xlsx!dpc_covid19_ita_andamento_naziona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8" i="24" l="1"/>
  <c r="Y8" i="24"/>
  <c r="AA8" i="24"/>
  <c r="J8" i="24"/>
  <c r="Z8" i="24"/>
  <c r="Z9" i="24"/>
  <c r="Z10" i="24"/>
  <c r="Z11" i="24"/>
  <c r="Z12" i="24"/>
  <c r="Z13" i="24"/>
  <c r="Z14" i="24"/>
  <c r="Z15" i="24"/>
  <c r="Z16" i="24"/>
  <c r="Z17" i="24"/>
  <c r="Z18" i="24"/>
  <c r="Z19" i="24"/>
  <c r="Z20" i="24"/>
  <c r="Z21" i="24"/>
  <c r="Z22" i="24"/>
  <c r="Z23" i="24"/>
  <c r="Z24" i="24"/>
  <c r="Z25" i="24"/>
  <c r="Z26" i="24"/>
  <c r="Z27" i="24"/>
  <c r="Z28" i="24"/>
  <c r="Z29" i="24"/>
  <c r="Z30" i="24"/>
  <c r="Z31" i="24"/>
  <c r="Z32" i="24"/>
  <c r="Z33" i="24"/>
  <c r="Z34" i="24"/>
  <c r="Z35" i="24"/>
  <c r="Z36" i="24"/>
  <c r="Z37" i="24"/>
  <c r="Z38" i="24"/>
  <c r="Z39" i="24"/>
  <c r="Z40" i="24"/>
  <c r="Z41" i="24"/>
  <c r="Z42" i="24"/>
  <c r="Z43" i="24"/>
  <c r="Z44" i="24"/>
  <c r="Z45" i="24"/>
  <c r="Z46" i="24"/>
  <c r="Z47" i="24"/>
  <c r="Z48" i="24"/>
  <c r="Z49" i="24"/>
  <c r="Z50" i="24"/>
  <c r="Z51" i="24"/>
  <c r="Z52" i="24"/>
  <c r="Z53" i="24"/>
  <c r="Z54" i="24"/>
  <c r="Z55" i="24"/>
  <c r="Z56" i="24"/>
  <c r="Z57" i="24"/>
  <c r="Z58" i="24"/>
  <c r="Z59" i="24"/>
  <c r="Z60" i="24"/>
  <c r="Z61" i="24"/>
  <c r="Z62" i="24"/>
  <c r="Z63" i="24"/>
  <c r="Z64" i="24"/>
  <c r="Z65" i="24"/>
  <c r="Z66" i="24"/>
  <c r="Z67" i="24"/>
  <c r="Z68" i="24"/>
  <c r="Z69" i="24"/>
  <c r="Z70" i="24"/>
  <c r="Z71" i="24"/>
  <c r="Z72" i="24"/>
  <c r="Z73" i="24"/>
  <c r="Z74" i="24"/>
  <c r="Z75" i="24"/>
  <c r="Z76" i="24"/>
  <c r="Z77" i="24"/>
  <c r="Z78" i="24"/>
  <c r="Z79" i="24"/>
  <c r="Z80" i="24"/>
  <c r="Z81" i="24"/>
  <c r="Z82" i="24"/>
  <c r="Z83" i="24"/>
  <c r="Z84" i="24"/>
  <c r="Z85" i="24"/>
  <c r="Z86" i="24"/>
  <c r="Z87" i="24"/>
  <c r="Z88" i="24"/>
  <c r="Z89" i="24"/>
  <c r="Z90" i="24"/>
  <c r="Z91" i="24"/>
  <c r="Z92" i="24"/>
  <c r="Z93" i="24"/>
  <c r="Z94" i="24"/>
  <c r="Z95" i="24"/>
  <c r="Z96" i="24"/>
  <c r="Z97" i="24"/>
  <c r="Z98" i="24"/>
  <c r="Z99" i="24"/>
  <c r="Z100" i="24"/>
  <c r="Z101" i="24"/>
  <c r="Z102" i="24"/>
  <c r="Z103" i="24"/>
  <c r="Z104" i="24"/>
  <c r="Z105" i="24"/>
  <c r="Z106" i="24"/>
  <c r="Z107" i="24"/>
  <c r="Z108" i="24"/>
  <c r="Z109" i="24"/>
  <c r="Z110" i="24"/>
  <c r="Z111" i="24"/>
  <c r="Z112" i="24"/>
  <c r="Z113" i="24"/>
  <c r="Z114" i="24"/>
  <c r="Z115" i="24"/>
  <c r="Z116" i="24"/>
  <c r="Z117" i="24"/>
  <c r="Z118" i="24"/>
  <c r="Z119" i="24"/>
  <c r="Z120" i="24"/>
  <c r="Z121" i="24"/>
  <c r="Z122" i="24"/>
  <c r="Z123" i="24"/>
  <c r="Z124" i="24"/>
  <c r="Z125" i="24"/>
  <c r="Z126" i="24"/>
  <c r="Z127" i="24"/>
  <c r="Z128" i="24"/>
  <c r="Z129" i="24"/>
  <c r="Z130" i="24"/>
  <c r="Z131" i="24"/>
  <c r="Z132" i="24"/>
  <c r="Z133" i="24"/>
  <c r="Z134" i="24"/>
  <c r="Z135" i="24"/>
  <c r="Z136" i="24"/>
  <c r="Z137" i="24"/>
  <c r="Z138" i="24"/>
  <c r="Z139" i="24"/>
  <c r="Z140" i="24"/>
  <c r="Z141" i="24"/>
  <c r="Z142" i="24"/>
  <c r="Z143" i="24"/>
  <c r="Z144" i="24"/>
  <c r="Z145" i="24"/>
  <c r="Z146" i="24"/>
  <c r="Z147" i="24"/>
  <c r="Z148" i="24"/>
  <c r="Z149" i="24"/>
  <c r="Z150" i="24"/>
  <c r="Z151" i="24"/>
  <c r="Z152" i="24"/>
  <c r="Z153" i="24"/>
  <c r="Z154" i="24"/>
  <c r="Z155" i="24"/>
  <c r="Z156" i="24"/>
  <c r="Z157" i="24"/>
  <c r="Z158" i="24"/>
  <c r="Z159" i="24"/>
  <c r="Z160" i="24"/>
  <c r="Z161" i="24"/>
  <c r="Z162" i="24"/>
  <c r="Z163" i="24"/>
  <c r="Z164" i="24"/>
  <c r="Z165" i="24"/>
  <c r="Z166" i="24"/>
  <c r="Z167" i="24"/>
  <c r="Z168" i="24"/>
  <c r="Z169" i="24"/>
  <c r="Z170" i="24"/>
  <c r="Z171" i="24"/>
  <c r="Z172" i="24"/>
  <c r="Z173" i="24"/>
  <c r="Z174" i="24"/>
  <c r="Z175" i="24"/>
  <c r="Z176" i="24"/>
  <c r="Z177" i="24"/>
  <c r="Z178" i="24"/>
  <c r="Z179" i="24"/>
  <c r="Z180" i="24"/>
  <c r="Z181" i="24"/>
  <c r="Z182" i="24"/>
  <c r="Z183" i="24"/>
  <c r="Z184" i="24"/>
  <c r="AA44" i="22"/>
  <c r="AA45" i="22"/>
  <c r="AA48" i="22" s="1"/>
  <c r="AA8" i="23"/>
  <c r="AA9" i="23"/>
  <c r="AA10" i="23"/>
  <c r="AA11" i="23"/>
  <c r="AA12" i="23"/>
  <c r="AA13" i="23"/>
  <c r="AA14" i="23"/>
  <c r="AA15" i="23"/>
  <c r="AA16" i="23"/>
  <c r="AA17" i="23"/>
  <c r="AA18" i="23"/>
  <c r="AA19" i="23"/>
  <c r="AA20" i="23"/>
  <c r="AA21" i="23"/>
  <c r="Q8" i="23"/>
  <c r="D79" i="24"/>
  <c r="D90" i="24"/>
  <c r="D91" i="24"/>
  <c r="E92" i="24" s="1"/>
  <c r="D92" i="24"/>
  <c r="D93" i="24"/>
  <c r="D94" i="24"/>
  <c r="E94" i="24" s="1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62" i="23"/>
  <c r="D6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E93" i="24" l="1"/>
  <c r="E91" i="24"/>
  <c r="F92" i="24" s="1"/>
  <c r="F94" i="24"/>
  <c r="F93" i="24"/>
  <c r="D123" i="24"/>
  <c r="D124" i="24"/>
  <c r="D125" i="24"/>
  <c r="D126" i="24"/>
  <c r="E125" i="23"/>
  <c r="E126" i="23"/>
  <c r="E126" i="24" l="1"/>
  <c r="AG126" i="24"/>
  <c r="L126" i="23"/>
  <c r="R126" i="22"/>
  <c r="BB126" i="24" s="1"/>
  <c r="AG125" i="24"/>
  <c r="L125" i="23"/>
  <c r="E124" i="24"/>
  <c r="E125" i="24"/>
  <c r="F126" i="24" s="1"/>
  <c r="BK8" i="24"/>
  <c r="BK9" i="24"/>
  <c r="BK10" i="24"/>
  <c r="BK11" i="24"/>
  <c r="BK12" i="24"/>
  <c r="BK13" i="24"/>
  <c r="BK14" i="24"/>
  <c r="BK15" i="24"/>
  <c r="BK16" i="24"/>
  <c r="BK17" i="24"/>
  <c r="BK18" i="24"/>
  <c r="BK19" i="24"/>
  <c r="BK20" i="24"/>
  <c r="BK21" i="24"/>
  <c r="BK22" i="24"/>
  <c r="BK23" i="24"/>
  <c r="BK24" i="24"/>
  <c r="BK25" i="24"/>
  <c r="BK26" i="24"/>
  <c r="BK27" i="24"/>
  <c r="BK28" i="24"/>
  <c r="BK29" i="24"/>
  <c r="BK30" i="24"/>
  <c r="BK31" i="24"/>
  <c r="BK32" i="24"/>
  <c r="BK33" i="24"/>
  <c r="BK34" i="24"/>
  <c r="BK35" i="24"/>
  <c r="BK36" i="24"/>
  <c r="BK37" i="24"/>
  <c r="BK38" i="24"/>
  <c r="BK39" i="24"/>
  <c r="BK40" i="24"/>
  <c r="BK41" i="24"/>
  <c r="BK42" i="24"/>
  <c r="BK43" i="24"/>
  <c r="BK44" i="24"/>
  <c r="BK45" i="24"/>
  <c r="BK46" i="24"/>
  <c r="BK47" i="24"/>
  <c r="BK48" i="24"/>
  <c r="BK49" i="24"/>
  <c r="BK50" i="24"/>
  <c r="BK51" i="24"/>
  <c r="BK52" i="24"/>
  <c r="BK53" i="24"/>
  <c r="BK54" i="24"/>
  <c r="BK55" i="24"/>
  <c r="BK56" i="24"/>
  <c r="BK57" i="24"/>
  <c r="BK58" i="24"/>
  <c r="BK59" i="24"/>
  <c r="BK60" i="24"/>
  <c r="BK61" i="24"/>
  <c r="BK62" i="24"/>
  <c r="BK63" i="24"/>
  <c r="BK64" i="24"/>
  <c r="BK65" i="24"/>
  <c r="BK66" i="24"/>
  <c r="BK67" i="24"/>
  <c r="BK68" i="24"/>
  <c r="BK69" i="24"/>
  <c r="BK70" i="24"/>
  <c r="BK71" i="24"/>
  <c r="BK72" i="24"/>
  <c r="BK73" i="24"/>
  <c r="BK74" i="24"/>
  <c r="BK75" i="24"/>
  <c r="BK76" i="24"/>
  <c r="BK77" i="24"/>
  <c r="BK78" i="24"/>
  <c r="BK79" i="24"/>
  <c r="BK80" i="24"/>
  <c r="BK81" i="24"/>
  <c r="BK82" i="24"/>
  <c r="BK83" i="24"/>
  <c r="BK84" i="24"/>
  <c r="BK85" i="24"/>
  <c r="BK86" i="24"/>
  <c r="BK87" i="24"/>
  <c r="BK88" i="24"/>
  <c r="BK89" i="24"/>
  <c r="BK90" i="24"/>
  <c r="BK91" i="24"/>
  <c r="BK92" i="24"/>
  <c r="BK93" i="24"/>
  <c r="BK94" i="24"/>
  <c r="BK95" i="24"/>
  <c r="BK96" i="24"/>
  <c r="BK97" i="24"/>
  <c r="BK98" i="24"/>
  <c r="BK99" i="24"/>
  <c r="BK100" i="24"/>
  <c r="BK101" i="24"/>
  <c r="BK102" i="24"/>
  <c r="BK103" i="24"/>
  <c r="BK104" i="24"/>
  <c r="BK105" i="24"/>
  <c r="BK106" i="24"/>
  <c r="BK107" i="24"/>
  <c r="BK108" i="24"/>
  <c r="BK109" i="24"/>
  <c r="BK110" i="24"/>
  <c r="BK111" i="24"/>
  <c r="BK112" i="24"/>
  <c r="BK113" i="24"/>
  <c r="BK114" i="24"/>
  <c r="BK115" i="24"/>
  <c r="BK116" i="24"/>
  <c r="BK117" i="24"/>
  <c r="BK118" i="24"/>
  <c r="BK119" i="24"/>
  <c r="BK120" i="24"/>
  <c r="BK121" i="24"/>
  <c r="BK122" i="24"/>
  <c r="BK123" i="24"/>
  <c r="BK124" i="24"/>
  <c r="BK125" i="24"/>
  <c r="BK126" i="24"/>
  <c r="BK127" i="24"/>
  <c r="BK128" i="24"/>
  <c r="BK129" i="24"/>
  <c r="BK130" i="24"/>
  <c r="BK131" i="24"/>
  <c r="BK132" i="24"/>
  <c r="BK133" i="24"/>
  <c r="BK134" i="24"/>
  <c r="BK135" i="24"/>
  <c r="BK136" i="24"/>
  <c r="BK137" i="24"/>
  <c r="BK138" i="24"/>
  <c r="BK139" i="24"/>
  <c r="BK140" i="24"/>
  <c r="BK141" i="24"/>
  <c r="BK142" i="24"/>
  <c r="BK143" i="24"/>
  <c r="BK144" i="24"/>
  <c r="BK145" i="24"/>
  <c r="BK146" i="24"/>
  <c r="BK147" i="24"/>
  <c r="BK148" i="24"/>
  <c r="BK149" i="24"/>
  <c r="BK150" i="24"/>
  <c r="BK151" i="24"/>
  <c r="BK152" i="24"/>
  <c r="BK153" i="24"/>
  <c r="BK154" i="24"/>
  <c r="BK155" i="24"/>
  <c r="BK156" i="24"/>
  <c r="BK157" i="24"/>
  <c r="BK158" i="24"/>
  <c r="BK159" i="24"/>
  <c r="BK160" i="24"/>
  <c r="BK161" i="24"/>
  <c r="BK162" i="24"/>
  <c r="BK163" i="24"/>
  <c r="BK164" i="24"/>
  <c r="BK165" i="24"/>
  <c r="BK166" i="24"/>
  <c r="BK167" i="24"/>
  <c r="BK168" i="24"/>
  <c r="BK169" i="24"/>
  <c r="BK170" i="24"/>
  <c r="BK171" i="24"/>
  <c r="BK172" i="24"/>
  <c r="BK173" i="24"/>
  <c r="BK174" i="24"/>
  <c r="BK175" i="24"/>
  <c r="BK176" i="24"/>
  <c r="BK177" i="24"/>
  <c r="BK178" i="24"/>
  <c r="BK179" i="24"/>
  <c r="BK180" i="24"/>
  <c r="BK181" i="24"/>
  <c r="BK182" i="24"/>
  <c r="BK183" i="24"/>
  <c r="BK184" i="24"/>
  <c r="AP8" i="24"/>
  <c r="AP9" i="24"/>
  <c r="AP10" i="24"/>
  <c r="AP11" i="24"/>
  <c r="AP12" i="24"/>
  <c r="AP13" i="24"/>
  <c r="AP14" i="24"/>
  <c r="AP15" i="24"/>
  <c r="AP16" i="24"/>
  <c r="AP17" i="24"/>
  <c r="AP18" i="24"/>
  <c r="AP19" i="24"/>
  <c r="AP20" i="24"/>
  <c r="AP21" i="24"/>
  <c r="AP22" i="24"/>
  <c r="AP23" i="24"/>
  <c r="AP24" i="24"/>
  <c r="AP25" i="24"/>
  <c r="AP26" i="24"/>
  <c r="AP27" i="24"/>
  <c r="AP28" i="24"/>
  <c r="AP29" i="24"/>
  <c r="AP30" i="24"/>
  <c r="AP31" i="24"/>
  <c r="AP32" i="24"/>
  <c r="AP33" i="24"/>
  <c r="AP34" i="24"/>
  <c r="AP35" i="24"/>
  <c r="AP36" i="24"/>
  <c r="AP37" i="24"/>
  <c r="AP38" i="24"/>
  <c r="AP39" i="24"/>
  <c r="AP40" i="24"/>
  <c r="AP41" i="24"/>
  <c r="AP42" i="24"/>
  <c r="AP43" i="24"/>
  <c r="AP44" i="24"/>
  <c r="AP45" i="24"/>
  <c r="AP46" i="24"/>
  <c r="AP47" i="24"/>
  <c r="AP48" i="24"/>
  <c r="AP49" i="24"/>
  <c r="AP50" i="24"/>
  <c r="AP51" i="24"/>
  <c r="AP52" i="24"/>
  <c r="AP53" i="24"/>
  <c r="AP54" i="24"/>
  <c r="AP55" i="24"/>
  <c r="AP56" i="24"/>
  <c r="AP57" i="24"/>
  <c r="AP58" i="24"/>
  <c r="AP59" i="24"/>
  <c r="AP60" i="24"/>
  <c r="AP61" i="24"/>
  <c r="AP62" i="24"/>
  <c r="AP63" i="24"/>
  <c r="AP64" i="24"/>
  <c r="AP65" i="24"/>
  <c r="AP66" i="24"/>
  <c r="AP67" i="24"/>
  <c r="AP68" i="24"/>
  <c r="AP69" i="24"/>
  <c r="AP70" i="24"/>
  <c r="AP71" i="24"/>
  <c r="AP72" i="24"/>
  <c r="AP73" i="24"/>
  <c r="AP74" i="24"/>
  <c r="AP75" i="24"/>
  <c r="AP76" i="24"/>
  <c r="AP77" i="24"/>
  <c r="AP78" i="24"/>
  <c r="AP79" i="24"/>
  <c r="AP80" i="24"/>
  <c r="AP81" i="24"/>
  <c r="AP82" i="24"/>
  <c r="AP83" i="24"/>
  <c r="AP84" i="24"/>
  <c r="AP85" i="24"/>
  <c r="AP86" i="24"/>
  <c r="AP87" i="24"/>
  <c r="AP88" i="24"/>
  <c r="AP89" i="24"/>
  <c r="AP90" i="24"/>
  <c r="AP91" i="24"/>
  <c r="AP92" i="24"/>
  <c r="AP93" i="24"/>
  <c r="AP94" i="24"/>
  <c r="AP95" i="24"/>
  <c r="AP96" i="24"/>
  <c r="AP97" i="24"/>
  <c r="AP98" i="24"/>
  <c r="AP99" i="24"/>
  <c r="AP100" i="24"/>
  <c r="AP101" i="24"/>
  <c r="AP102" i="24"/>
  <c r="AP103" i="24"/>
  <c r="AP104" i="24"/>
  <c r="AP105" i="24"/>
  <c r="AP106" i="24"/>
  <c r="AP107" i="24"/>
  <c r="AP108" i="24"/>
  <c r="AP109" i="24"/>
  <c r="AP110" i="24"/>
  <c r="AP111" i="24"/>
  <c r="AP112" i="24"/>
  <c r="AP113" i="24"/>
  <c r="AP114" i="24"/>
  <c r="AP115" i="24"/>
  <c r="AP116" i="24"/>
  <c r="AP117" i="24"/>
  <c r="AP118" i="24"/>
  <c r="AP119" i="24"/>
  <c r="AP120" i="24"/>
  <c r="AP121" i="24"/>
  <c r="AP122" i="24"/>
  <c r="AP123" i="24"/>
  <c r="AP124" i="24"/>
  <c r="AP125" i="24"/>
  <c r="AP126" i="24"/>
  <c r="AP127" i="24"/>
  <c r="AP128" i="24"/>
  <c r="AP129" i="24"/>
  <c r="AP130" i="24"/>
  <c r="AP131" i="24"/>
  <c r="AP132" i="24"/>
  <c r="AP133" i="24"/>
  <c r="AP134" i="24"/>
  <c r="AP135" i="24"/>
  <c r="AP136" i="24"/>
  <c r="AP137" i="24"/>
  <c r="AP138" i="24"/>
  <c r="AP139" i="24"/>
  <c r="AP140" i="24"/>
  <c r="AP141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60" i="24"/>
  <c r="AP161" i="24"/>
  <c r="AP162" i="24"/>
  <c r="AP163" i="24"/>
  <c r="AP164" i="24"/>
  <c r="AP165" i="24"/>
  <c r="AP166" i="24"/>
  <c r="AP167" i="24"/>
  <c r="AP168" i="24"/>
  <c r="AP169" i="24"/>
  <c r="AP170" i="24"/>
  <c r="AP171" i="24"/>
  <c r="AP172" i="24"/>
  <c r="AP173" i="24"/>
  <c r="AP174" i="24"/>
  <c r="AP175" i="24"/>
  <c r="AP176" i="24"/>
  <c r="AP177" i="24"/>
  <c r="AP178" i="24"/>
  <c r="AP179" i="24"/>
  <c r="AP180" i="24"/>
  <c r="AP181" i="24"/>
  <c r="AP182" i="24"/>
  <c r="AP183" i="24"/>
  <c r="AP184" i="24"/>
  <c r="F125" i="23"/>
  <c r="AH126" i="24" l="1"/>
  <c r="M126" i="23"/>
  <c r="V126" i="23"/>
  <c r="F125" i="24"/>
  <c r="E124" i="23"/>
  <c r="F124" i="23" s="1"/>
  <c r="E123" i="23"/>
  <c r="F123" i="23" s="1"/>
  <c r="E122" i="23"/>
  <c r="F122" i="23" s="1"/>
  <c r="R125" i="22"/>
  <c r="R124" i="22"/>
  <c r="BE127" i="24"/>
  <c r="BE128" i="24"/>
  <c r="BE129" i="24"/>
  <c r="BE130" i="24"/>
  <c r="BE131" i="24"/>
  <c r="BE132" i="24"/>
  <c r="BE133" i="24"/>
  <c r="BE134" i="24"/>
  <c r="BE135" i="24"/>
  <c r="BE136" i="24"/>
  <c r="BE137" i="24"/>
  <c r="BE138" i="24"/>
  <c r="BE139" i="24"/>
  <c r="BE140" i="24"/>
  <c r="BE141" i="24"/>
  <c r="BE142" i="24"/>
  <c r="BE143" i="24"/>
  <c r="BE144" i="24"/>
  <c r="BE145" i="24"/>
  <c r="BE146" i="24"/>
  <c r="BE147" i="24"/>
  <c r="BE148" i="24"/>
  <c r="BE149" i="24"/>
  <c r="BE150" i="24"/>
  <c r="BE151" i="24"/>
  <c r="BE152" i="24"/>
  <c r="BE153" i="24"/>
  <c r="BE154" i="24"/>
  <c r="BE155" i="24"/>
  <c r="BE156" i="24"/>
  <c r="BE157" i="24"/>
  <c r="BE158" i="24"/>
  <c r="BE159" i="24"/>
  <c r="BE160" i="24"/>
  <c r="BE161" i="24"/>
  <c r="BE162" i="24"/>
  <c r="BE163" i="24"/>
  <c r="BE164" i="24"/>
  <c r="BE165" i="24"/>
  <c r="BE166" i="24"/>
  <c r="BE167" i="24"/>
  <c r="BE168" i="24"/>
  <c r="BE169" i="24"/>
  <c r="BE170" i="24"/>
  <c r="BE171" i="24"/>
  <c r="BE172" i="24"/>
  <c r="BE173" i="24"/>
  <c r="BE174" i="24"/>
  <c r="BE175" i="24"/>
  <c r="BE176" i="24"/>
  <c r="BE177" i="24"/>
  <c r="BE178" i="24"/>
  <c r="BE179" i="24"/>
  <c r="BE180" i="24"/>
  <c r="BE181" i="24"/>
  <c r="BE182" i="24"/>
  <c r="BE183" i="24"/>
  <c r="BE184" i="24"/>
  <c r="BI8" i="24"/>
  <c r="BP8" i="24" s="1"/>
  <c r="BI9" i="24"/>
  <c r="BP9" i="24" s="1"/>
  <c r="BI10" i="24"/>
  <c r="BP10" i="24" s="1"/>
  <c r="BI11" i="24"/>
  <c r="BP11" i="24" s="1"/>
  <c r="BI12" i="24"/>
  <c r="BP12" i="24" s="1"/>
  <c r="BI13" i="24"/>
  <c r="BP13" i="24" s="1"/>
  <c r="BI14" i="24"/>
  <c r="BP14" i="24" s="1"/>
  <c r="BI15" i="24"/>
  <c r="BP15" i="24" s="1"/>
  <c r="BI16" i="24"/>
  <c r="BP16" i="24" s="1"/>
  <c r="BI17" i="24"/>
  <c r="BP17" i="24" s="1"/>
  <c r="BI18" i="24"/>
  <c r="BP18" i="24" s="1"/>
  <c r="BI19" i="24"/>
  <c r="BP19" i="24" s="1"/>
  <c r="BI20" i="24"/>
  <c r="BP20" i="24" s="1"/>
  <c r="BI21" i="24"/>
  <c r="BP21" i="24" s="1"/>
  <c r="BI22" i="24"/>
  <c r="BP22" i="24" s="1"/>
  <c r="BI23" i="24"/>
  <c r="BP23" i="24" s="1"/>
  <c r="BI24" i="24"/>
  <c r="BP24" i="24" s="1"/>
  <c r="BI25" i="24"/>
  <c r="BP25" i="24" s="1"/>
  <c r="BI26" i="24"/>
  <c r="BP26" i="24" s="1"/>
  <c r="BI27" i="24"/>
  <c r="BP27" i="24" s="1"/>
  <c r="BI28" i="24"/>
  <c r="BP28" i="24" s="1"/>
  <c r="BI29" i="24"/>
  <c r="BP29" i="24" s="1"/>
  <c r="BI30" i="24"/>
  <c r="BP30" i="24" s="1"/>
  <c r="BI31" i="24"/>
  <c r="BP31" i="24" s="1"/>
  <c r="BI32" i="24"/>
  <c r="BP32" i="24" s="1"/>
  <c r="BI33" i="24"/>
  <c r="BP33" i="24" s="1"/>
  <c r="BI34" i="24"/>
  <c r="BP34" i="24" s="1"/>
  <c r="BI35" i="24"/>
  <c r="BP35" i="24" s="1"/>
  <c r="BI36" i="24"/>
  <c r="BP36" i="24" s="1"/>
  <c r="BI37" i="24"/>
  <c r="BP37" i="24" s="1"/>
  <c r="BI38" i="24"/>
  <c r="BP38" i="24" s="1"/>
  <c r="BI39" i="24"/>
  <c r="BP39" i="24" s="1"/>
  <c r="BI40" i="24"/>
  <c r="BP40" i="24" s="1"/>
  <c r="BI41" i="24"/>
  <c r="BP41" i="24" s="1"/>
  <c r="BI42" i="24"/>
  <c r="BP42" i="24" s="1"/>
  <c r="BI43" i="24"/>
  <c r="BP43" i="24" s="1"/>
  <c r="BI44" i="24"/>
  <c r="BP44" i="24" s="1"/>
  <c r="BI45" i="24"/>
  <c r="BP45" i="24" s="1"/>
  <c r="BI46" i="24"/>
  <c r="BP46" i="24" s="1"/>
  <c r="BI47" i="24"/>
  <c r="BP47" i="24" s="1"/>
  <c r="BI48" i="24"/>
  <c r="BP48" i="24" s="1"/>
  <c r="BI49" i="24"/>
  <c r="BP49" i="24" s="1"/>
  <c r="BI50" i="24"/>
  <c r="BP50" i="24" s="1"/>
  <c r="BI51" i="24"/>
  <c r="BP51" i="24" s="1"/>
  <c r="BI52" i="24"/>
  <c r="BP52" i="24" s="1"/>
  <c r="BI53" i="24"/>
  <c r="BP53" i="24" s="1"/>
  <c r="BI54" i="24"/>
  <c r="BP54" i="24" s="1"/>
  <c r="BI55" i="24"/>
  <c r="BP55" i="24" s="1"/>
  <c r="BI56" i="24"/>
  <c r="BP56" i="24" s="1"/>
  <c r="BI57" i="24"/>
  <c r="BP57" i="24" s="1"/>
  <c r="BI58" i="24"/>
  <c r="BP58" i="24" s="1"/>
  <c r="BI59" i="24"/>
  <c r="BP59" i="24" s="1"/>
  <c r="BI60" i="24"/>
  <c r="BP60" i="24" s="1"/>
  <c r="BI61" i="24"/>
  <c r="BP61" i="24" s="1"/>
  <c r="BI62" i="24"/>
  <c r="BP62" i="24" s="1"/>
  <c r="BI63" i="24"/>
  <c r="BP63" i="24" s="1"/>
  <c r="BI64" i="24"/>
  <c r="BP64" i="24" s="1"/>
  <c r="BI65" i="24"/>
  <c r="BP65" i="24" s="1"/>
  <c r="BI66" i="24"/>
  <c r="BP66" i="24" s="1"/>
  <c r="BI67" i="24"/>
  <c r="BP67" i="24" s="1"/>
  <c r="BI68" i="24"/>
  <c r="BP68" i="24" s="1"/>
  <c r="BI69" i="24"/>
  <c r="BP69" i="24" s="1"/>
  <c r="BI70" i="24"/>
  <c r="BP70" i="24" s="1"/>
  <c r="BI71" i="24"/>
  <c r="BP71" i="24" s="1"/>
  <c r="BI72" i="24"/>
  <c r="BP72" i="24" s="1"/>
  <c r="BI73" i="24"/>
  <c r="BP73" i="24" s="1"/>
  <c r="BI74" i="24"/>
  <c r="BP74" i="24" s="1"/>
  <c r="BI75" i="24"/>
  <c r="BP75" i="24" s="1"/>
  <c r="BI76" i="24"/>
  <c r="BP76" i="24" s="1"/>
  <c r="BI77" i="24"/>
  <c r="BP77" i="24" s="1"/>
  <c r="BI78" i="24"/>
  <c r="BP78" i="24" s="1"/>
  <c r="BI79" i="24"/>
  <c r="BP79" i="24" s="1"/>
  <c r="BI80" i="24"/>
  <c r="BP80" i="24" s="1"/>
  <c r="BI81" i="24"/>
  <c r="BP81" i="24" s="1"/>
  <c r="BI82" i="24"/>
  <c r="BP82" i="24" s="1"/>
  <c r="BI83" i="24"/>
  <c r="BP83" i="24" s="1"/>
  <c r="BI84" i="24"/>
  <c r="BP84" i="24" s="1"/>
  <c r="BI85" i="24"/>
  <c r="BP85" i="24" s="1"/>
  <c r="BI86" i="24"/>
  <c r="BP86" i="24" s="1"/>
  <c r="BI87" i="24"/>
  <c r="BP87" i="24" s="1"/>
  <c r="BI88" i="24"/>
  <c r="BP88" i="24" s="1"/>
  <c r="BI89" i="24"/>
  <c r="BP89" i="24" s="1"/>
  <c r="BI90" i="24"/>
  <c r="BP90" i="24" s="1"/>
  <c r="BI91" i="24"/>
  <c r="BP91" i="24" s="1"/>
  <c r="BI92" i="24"/>
  <c r="BP92" i="24" s="1"/>
  <c r="BI93" i="24"/>
  <c r="BP93" i="24" s="1"/>
  <c r="BI94" i="24"/>
  <c r="BP94" i="24" s="1"/>
  <c r="BI95" i="24"/>
  <c r="BP95" i="24" s="1"/>
  <c r="BI96" i="24"/>
  <c r="BP96" i="24" s="1"/>
  <c r="BI97" i="24"/>
  <c r="BP97" i="24" s="1"/>
  <c r="BI98" i="24"/>
  <c r="BP98" i="24" s="1"/>
  <c r="BI99" i="24"/>
  <c r="BP99" i="24" s="1"/>
  <c r="BI100" i="24"/>
  <c r="BP100" i="24" s="1"/>
  <c r="BI101" i="24"/>
  <c r="BP101" i="24" s="1"/>
  <c r="BI102" i="24"/>
  <c r="BP102" i="24" s="1"/>
  <c r="BI103" i="24"/>
  <c r="BP103" i="24" s="1"/>
  <c r="BI104" i="24"/>
  <c r="BP104" i="24" s="1"/>
  <c r="BI105" i="24"/>
  <c r="BP105" i="24" s="1"/>
  <c r="BI106" i="24"/>
  <c r="BP106" i="24" s="1"/>
  <c r="BI107" i="24"/>
  <c r="BP107" i="24" s="1"/>
  <c r="BI108" i="24"/>
  <c r="BP108" i="24" s="1"/>
  <c r="BI109" i="24"/>
  <c r="BP109" i="24" s="1"/>
  <c r="BI110" i="24"/>
  <c r="BP110" i="24" s="1"/>
  <c r="BI111" i="24"/>
  <c r="BP111" i="24" s="1"/>
  <c r="BI112" i="24"/>
  <c r="BP112" i="24" s="1"/>
  <c r="BI113" i="24"/>
  <c r="BP113" i="24" s="1"/>
  <c r="BI114" i="24"/>
  <c r="BP114" i="24" s="1"/>
  <c r="BI115" i="24"/>
  <c r="BP115" i="24" s="1"/>
  <c r="BI116" i="24"/>
  <c r="BP116" i="24" s="1"/>
  <c r="BI117" i="24"/>
  <c r="BP117" i="24" s="1"/>
  <c r="BI118" i="24"/>
  <c r="BP118" i="24" s="1"/>
  <c r="BI119" i="24"/>
  <c r="BP119" i="24" s="1"/>
  <c r="BI120" i="24"/>
  <c r="BP120" i="24" s="1"/>
  <c r="BI121" i="24"/>
  <c r="BP121" i="24" s="1"/>
  <c r="BI122" i="24"/>
  <c r="BP122" i="24" s="1"/>
  <c r="BI123" i="24"/>
  <c r="BP123" i="24" s="1"/>
  <c r="BI124" i="24"/>
  <c r="BP124" i="24" s="1"/>
  <c r="BI125" i="24"/>
  <c r="BP125" i="24" s="1"/>
  <c r="BI126" i="24"/>
  <c r="BP126" i="24" s="1"/>
  <c r="BI127" i="24"/>
  <c r="BP127" i="24" s="1"/>
  <c r="BI128" i="24"/>
  <c r="BP128" i="24" s="1"/>
  <c r="BI129" i="24"/>
  <c r="BP129" i="24" s="1"/>
  <c r="BI130" i="24"/>
  <c r="BP130" i="24" s="1"/>
  <c r="BI131" i="24"/>
  <c r="BP131" i="24" s="1"/>
  <c r="BI132" i="24"/>
  <c r="BP132" i="24" s="1"/>
  <c r="BI133" i="24"/>
  <c r="BP133" i="24" s="1"/>
  <c r="BI134" i="24"/>
  <c r="BP134" i="24" s="1"/>
  <c r="BI135" i="24"/>
  <c r="BP135" i="24" s="1"/>
  <c r="BI136" i="24"/>
  <c r="BP136" i="24" s="1"/>
  <c r="BI137" i="24"/>
  <c r="BP137" i="24" s="1"/>
  <c r="BI138" i="24"/>
  <c r="BP138" i="24" s="1"/>
  <c r="BI139" i="24"/>
  <c r="BP139" i="24" s="1"/>
  <c r="BI140" i="24"/>
  <c r="BP140" i="24" s="1"/>
  <c r="BI141" i="24"/>
  <c r="BP141" i="24" s="1"/>
  <c r="BI142" i="24"/>
  <c r="BP142" i="24" s="1"/>
  <c r="BI143" i="24"/>
  <c r="BP143" i="24" s="1"/>
  <c r="BI144" i="24"/>
  <c r="BP144" i="24" s="1"/>
  <c r="BI145" i="24"/>
  <c r="BP145" i="24" s="1"/>
  <c r="BI146" i="24"/>
  <c r="BP146" i="24" s="1"/>
  <c r="BI147" i="24"/>
  <c r="BP147" i="24" s="1"/>
  <c r="BI148" i="24"/>
  <c r="BP148" i="24" s="1"/>
  <c r="BI149" i="24"/>
  <c r="BP149" i="24" s="1"/>
  <c r="BI150" i="24"/>
  <c r="BP150" i="24" s="1"/>
  <c r="BI151" i="24"/>
  <c r="BP151" i="24" s="1"/>
  <c r="BI152" i="24"/>
  <c r="BP152" i="24" s="1"/>
  <c r="BI153" i="24"/>
  <c r="BP153" i="24" s="1"/>
  <c r="BI154" i="24"/>
  <c r="BP154" i="24" s="1"/>
  <c r="BI155" i="24"/>
  <c r="BP155" i="24" s="1"/>
  <c r="BI156" i="24"/>
  <c r="BP156" i="24" s="1"/>
  <c r="BI157" i="24"/>
  <c r="BP157" i="24" s="1"/>
  <c r="BI158" i="24"/>
  <c r="BP158" i="24" s="1"/>
  <c r="BI159" i="24"/>
  <c r="BP159" i="24" s="1"/>
  <c r="BI160" i="24"/>
  <c r="BP160" i="24" s="1"/>
  <c r="BI161" i="24"/>
  <c r="BP161" i="24" s="1"/>
  <c r="BI162" i="24"/>
  <c r="BP162" i="24" s="1"/>
  <c r="BI163" i="24"/>
  <c r="BP163" i="24" s="1"/>
  <c r="BI164" i="24"/>
  <c r="BP164" i="24" s="1"/>
  <c r="BI165" i="24"/>
  <c r="BP165" i="24" s="1"/>
  <c r="BI166" i="24"/>
  <c r="BP166" i="24" s="1"/>
  <c r="BI167" i="24"/>
  <c r="BP167" i="24" s="1"/>
  <c r="BI168" i="24"/>
  <c r="BP168" i="24" s="1"/>
  <c r="BI169" i="24"/>
  <c r="BP169" i="24" s="1"/>
  <c r="BI170" i="24"/>
  <c r="BP170" i="24" s="1"/>
  <c r="BI171" i="24"/>
  <c r="BP171" i="24" s="1"/>
  <c r="BI172" i="24"/>
  <c r="BP172" i="24" s="1"/>
  <c r="BI173" i="24"/>
  <c r="BP173" i="24" s="1"/>
  <c r="BI174" i="24"/>
  <c r="BP174" i="24" s="1"/>
  <c r="BI175" i="24"/>
  <c r="BP175" i="24" s="1"/>
  <c r="BI176" i="24"/>
  <c r="BP176" i="24" s="1"/>
  <c r="BI177" i="24"/>
  <c r="BP177" i="24" s="1"/>
  <c r="BI178" i="24"/>
  <c r="BP178" i="24" s="1"/>
  <c r="BI179" i="24"/>
  <c r="BP179" i="24" s="1"/>
  <c r="BI180" i="24"/>
  <c r="BP180" i="24" s="1"/>
  <c r="BI181" i="24"/>
  <c r="BP181" i="24" s="1"/>
  <c r="BI182" i="24"/>
  <c r="BP182" i="24" s="1"/>
  <c r="BI183" i="24"/>
  <c r="BP183" i="24" s="1"/>
  <c r="BI184" i="24"/>
  <c r="BP184" i="24" s="1"/>
  <c r="AN8" i="24"/>
  <c r="AU8" i="24" s="1"/>
  <c r="AN9" i="24"/>
  <c r="AU9" i="24" s="1"/>
  <c r="AN10" i="24"/>
  <c r="AU10" i="24" s="1"/>
  <c r="AN11" i="24"/>
  <c r="AU11" i="24" s="1"/>
  <c r="AN12" i="24"/>
  <c r="AU12" i="24" s="1"/>
  <c r="AN13" i="24"/>
  <c r="AU13" i="24" s="1"/>
  <c r="AN14" i="24"/>
  <c r="AU14" i="24" s="1"/>
  <c r="AN15" i="24"/>
  <c r="AU15" i="24" s="1"/>
  <c r="AN16" i="24"/>
  <c r="AU16" i="24" s="1"/>
  <c r="AN17" i="24"/>
  <c r="AU17" i="24" s="1"/>
  <c r="AN18" i="24"/>
  <c r="AU18" i="24" s="1"/>
  <c r="AN19" i="24"/>
  <c r="AU19" i="24" s="1"/>
  <c r="AN20" i="24"/>
  <c r="AU20" i="24" s="1"/>
  <c r="AN21" i="24"/>
  <c r="AU21" i="24" s="1"/>
  <c r="AN22" i="24"/>
  <c r="AU22" i="24" s="1"/>
  <c r="AN23" i="24"/>
  <c r="AU23" i="24" s="1"/>
  <c r="AN24" i="24"/>
  <c r="AU24" i="24" s="1"/>
  <c r="AN25" i="24"/>
  <c r="AU25" i="24" s="1"/>
  <c r="AN26" i="24"/>
  <c r="AU26" i="24" s="1"/>
  <c r="AN27" i="24"/>
  <c r="AU27" i="24" s="1"/>
  <c r="AN28" i="24"/>
  <c r="AU28" i="24" s="1"/>
  <c r="AN29" i="24"/>
  <c r="AU29" i="24" s="1"/>
  <c r="AN30" i="24"/>
  <c r="AU30" i="24" s="1"/>
  <c r="AN31" i="24"/>
  <c r="AU31" i="24" s="1"/>
  <c r="AN32" i="24"/>
  <c r="AU32" i="24" s="1"/>
  <c r="AN33" i="24"/>
  <c r="AU33" i="24" s="1"/>
  <c r="AN34" i="24"/>
  <c r="AU34" i="24" s="1"/>
  <c r="AN35" i="24"/>
  <c r="AU35" i="24" s="1"/>
  <c r="AN36" i="24"/>
  <c r="AU36" i="24" s="1"/>
  <c r="AN37" i="24"/>
  <c r="AU37" i="24" s="1"/>
  <c r="AN38" i="24"/>
  <c r="AU38" i="24" s="1"/>
  <c r="AN39" i="24"/>
  <c r="AU39" i="24" s="1"/>
  <c r="AN40" i="24"/>
  <c r="AU40" i="24" s="1"/>
  <c r="AN41" i="24"/>
  <c r="AU41" i="24" s="1"/>
  <c r="AN42" i="24"/>
  <c r="AU42" i="24" s="1"/>
  <c r="AN43" i="24"/>
  <c r="AU43" i="24" s="1"/>
  <c r="AN44" i="24"/>
  <c r="AU44" i="24" s="1"/>
  <c r="AN45" i="24"/>
  <c r="AU45" i="24" s="1"/>
  <c r="AN46" i="24"/>
  <c r="AU46" i="24" s="1"/>
  <c r="AN47" i="24"/>
  <c r="AU47" i="24" s="1"/>
  <c r="AN48" i="24"/>
  <c r="AU48" i="24" s="1"/>
  <c r="AN49" i="24"/>
  <c r="AU49" i="24" s="1"/>
  <c r="AN50" i="24"/>
  <c r="AU50" i="24" s="1"/>
  <c r="AN51" i="24"/>
  <c r="AU51" i="24" s="1"/>
  <c r="AN52" i="24"/>
  <c r="AU52" i="24" s="1"/>
  <c r="AN53" i="24"/>
  <c r="AU53" i="24" s="1"/>
  <c r="AN54" i="24"/>
  <c r="AU54" i="24" s="1"/>
  <c r="AN55" i="24"/>
  <c r="AU55" i="24" s="1"/>
  <c r="AN56" i="24"/>
  <c r="AU56" i="24" s="1"/>
  <c r="AN57" i="24"/>
  <c r="AU57" i="24" s="1"/>
  <c r="AN58" i="24"/>
  <c r="AU58" i="24" s="1"/>
  <c r="AN59" i="24"/>
  <c r="AU59" i="24" s="1"/>
  <c r="AN60" i="24"/>
  <c r="AU60" i="24" s="1"/>
  <c r="AN61" i="24"/>
  <c r="AU61" i="24" s="1"/>
  <c r="AN62" i="24"/>
  <c r="AU62" i="24" s="1"/>
  <c r="AN63" i="24"/>
  <c r="AU63" i="24" s="1"/>
  <c r="AN64" i="24"/>
  <c r="AU64" i="24" s="1"/>
  <c r="AN65" i="24"/>
  <c r="AU65" i="24" s="1"/>
  <c r="AN66" i="24"/>
  <c r="AU66" i="24" s="1"/>
  <c r="AN67" i="24"/>
  <c r="AU67" i="24" s="1"/>
  <c r="AN68" i="24"/>
  <c r="AU68" i="24" s="1"/>
  <c r="AN69" i="24"/>
  <c r="AU69" i="24" s="1"/>
  <c r="AN70" i="24"/>
  <c r="AU70" i="24" s="1"/>
  <c r="AN71" i="24"/>
  <c r="AU71" i="24" s="1"/>
  <c r="AN72" i="24"/>
  <c r="AU72" i="24" s="1"/>
  <c r="AN73" i="24"/>
  <c r="AU73" i="24" s="1"/>
  <c r="AN74" i="24"/>
  <c r="AU74" i="24" s="1"/>
  <c r="AN75" i="24"/>
  <c r="AU75" i="24" s="1"/>
  <c r="AN76" i="24"/>
  <c r="AU76" i="24" s="1"/>
  <c r="AN77" i="24"/>
  <c r="AU77" i="24" s="1"/>
  <c r="AN78" i="24"/>
  <c r="AU78" i="24" s="1"/>
  <c r="AN79" i="24"/>
  <c r="AU79" i="24" s="1"/>
  <c r="AN80" i="24"/>
  <c r="AU80" i="24" s="1"/>
  <c r="AN81" i="24"/>
  <c r="AU81" i="24" s="1"/>
  <c r="AN82" i="24"/>
  <c r="AU82" i="24" s="1"/>
  <c r="AN83" i="24"/>
  <c r="AU83" i="24" s="1"/>
  <c r="AN84" i="24"/>
  <c r="AU84" i="24" s="1"/>
  <c r="AN85" i="24"/>
  <c r="AU85" i="24" s="1"/>
  <c r="AN86" i="24"/>
  <c r="AU86" i="24" s="1"/>
  <c r="AN87" i="24"/>
  <c r="AU87" i="24" s="1"/>
  <c r="AN88" i="24"/>
  <c r="AU88" i="24" s="1"/>
  <c r="AN89" i="24"/>
  <c r="AU89" i="24" s="1"/>
  <c r="AN90" i="24"/>
  <c r="AU90" i="24" s="1"/>
  <c r="AN91" i="24"/>
  <c r="AU91" i="24" s="1"/>
  <c r="AN92" i="24"/>
  <c r="AU92" i="24" s="1"/>
  <c r="AN93" i="24"/>
  <c r="AU93" i="24" s="1"/>
  <c r="AN94" i="24"/>
  <c r="AU94" i="24" s="1"/>
  <c r="AN95" i="24"/>
  <c r="AU95" i="24" s="1"/>
  <c r="AN96" i="24"/>
  <c r="AU96" i="24" s="1"/>
  <c r="AN97" i="24"/>
  <c r="AU97" i="24" s="1"/>
  <c r="AN98" i="24"/>
  <c r="AU98" i="24" s="1"/>
  <c r="AN99" i="24"/>
  <c r="AU99" i="24" s="1"/>
  <c r="AN100" i="24"/>
  <c r="AU100" i="24" s="1"/>
  <c r="AN101" i="24"/>
  <c r="AU101" i="24" s="1"/>
  <c r="AN102" i="24"/>
  <c r="AU102" i="24" s="1"/>
  <c r="AN103" i="24"/>
  <c r="AU103" i="24" s="1"/>
  <c r="AN104" i="24"/>
  <c r="AU104" i="24" s="1"/>
  <c r="AN105" i="24"/>
  <c r="AU105" i="24" s="1"/>
  <c r="AN106" i="24"/>
  <c r="AU106" i="24" s="1"/>
  <c r="AN107" i="24"/>
  <c r="AU107" i="24" s="1"/>
  <c r="AN108" i="24"/>
  <c r="AU108" i="24" s="1"/>
  <c r="AN109" i="24"/>
  <c r="AU109" i="24" s="1"/>
  <c r="AN110" i="24"/>
  <c r="AU110" i="24" s="1"/>
  <c r="AN111" i="24"/>
  <c r="AU111" i="24" s="1"/>
  <c r="AN112" i="24"/>
  <c r="AU112" i="24" s="1"/>
  <c r="AN113" i="24"/>
  <c r="AU113" i="24" s="1"/>
  <c r="AN114" i="24"/>
  <c r="AU114" i="24" s="1"/>
  <c r="AN115" i="24"/>
  <c r="AU115" i="24" s="1"/>
  <c r="AN116" i="24"/>
  <c r="AU116" i="24" s="1"/>
  <c r="AN117" i="24"/>
  <c r="AU117" i="24" s="1"/>
  <c r="AN118" i="24"/>
  <c r="AU118" i="24" s="1"/>
  <c r="AN119" i="24"/>
  <c r="AU119" i="24" s="1"/>
  <c r="AN120" i="24"/>
  <c r="AU120" i="24" s="1"/>
  <c r="AN121" i="24"/>
  <c r="AU121" i="24" s="1"/>
  <c r="AN122" i="24"/>
  <c r="AU122" i="24" s="1"/>
  <c r="AN123" i="24"/>
  <c r="AU123" i="24" s="1"/>
  <c r="AN124" i="24"/>
  <c r="AU124" i="24" s="1"/>
  <c r="AN125" i="24"/>
  <c r="AU125" i="24" s="1"/>
  <c r="AN126" i="24"/>
  <c r="AU126" i="24" s="1"/>
  <c r="AN127" i="24"/>
  <c r="AU127" i="24" s="1"/>
  <c r="AN128" i="24"/>
  <c r="AU128" i="24" s="1"/>
  <c r="AN129" i="24"/>
  <c r="AU129" i="24" s="1"/>
  <c r="AN130" i="24"/>
  <c r="AU130" i="24" s="1"/>
  <c r="AN131" i="24"/>
  <c r="AU131" i="24" s="1"/>
  <c r="AN132" i="24"/>
  <c r="AU132" i="24" s="1"/>
  <c r="AN133" i="24"/>
  <c r="AU133" i="24" s="1"/>
  <c r="AN134" i="24"/>
  <c r="AU134" i="24" s="1"/>
  <c r="AN135" i="24"/>
  <c r="AU135" i="24" s="1"/>
  <c r="AN136" i="24"/>
  <c r="AU136" i="24" s="1"/>
  <c r="AN137" i="24"/>
  <c r="AU137" i="24" s="1"/>
  <c r="AN138" i="24"/>
  <c r="AU138" i="24" s="1"/>
  <c r="AN139" i="24"/>
  <c r="AU139" i="24" s="1"/>
  <c r="AN140" i="24"/>
  <c r="AU140" i="24" s="1"/>
  <c r="AN141" i="24"/>
  <c r="AU141" i="24" s="1"/>
  <c r="AN142" i="24"/>
  <c r="AU142" i="24" s="1"/>
  <c r="AN143" i="24"/>
  <c r="AU143" i="24" s="1"/>
  <c r="AN144" i="24"/>
  <c r="AU144" i="24" s="1"/>
  <c r="AN145" i="24"/>
  <c r="AU145" i="24" s="1"/>
  <c r="AN146" i="24"/>
  <c r="AU146" i="24" s="1"/>
  <c r="AN147" i="24"/>
  <c r="AU147" i="24" s="1"/>
  <c r="AN148" i="24"/>
  <c r="AU148" i="24" s="1"/>
  <c r="AN149" i="24"/>
  <c r="AU149" i="24" s="1"/>
  <c r="AN150" i="24"/>
  <c r="AU150" i="24" s="1"/>
  <c r="AN151" i="24"/>
  <c r="AU151" i="24" s="1"/>
  <c r="AN152" i="24"/>
  <c r="AU152" i="24" s="1"/>
  <c r="AN153" i="24"/>
  <c r="AU153" i="24" s="1"/>
  <c r="AN154" i="24"/>
  <c r="AU154" i="24" s="1"/>
  <c r="AN155" i="24"/>
  <c r="AU155" i="24" s="1"/>
  <c r="AN156" i="24"/>
  <c r="AU156" i="24" s="1"/>
  <c r="AN157" i="24"/>
  <c r="AU157" i="24" s="1"/>
  <c r="AN158" i="24"/>
  <c r="AU158" i="24" s="1"/>
  <c r="AN159" i="24"/>
  <c r="AU159" i="24" s="1"/>
  <c r="AN160" i="24"/>
  <c r="AU160" i="24" s="1"/>
  <c r="AN161" i="24"/>
  <c r="AU161" i="24" s="1"/>
  <c r="AN162" i="24"/>
  <c r="AU162" i="24" s="1"/>
  <c r="AN163" i="24"/>
  <c r="AU163" i="24" s="1"/>
  <c r="AN164" i="24"/>
  <c r="AU164" i="24" s="1"/>
  <c r="AN165" i="24"/>
  <c r="AU165" i="24" s="1"/>
  <c r="AN166" i="24"/>
  <c r="AU166" i="24" s="1"/>
  <c r="AN167" i="24"/>
  <c r="AU167" i="24" s="1"/>
  <c r="AN168" i="24"/>
  <c r="AU168" i="24" s="1"/>
  <c r="AN169" i="24"/>
  <c r="AU169" i="24" s="1"/>
  <c r="AN170" i="24"/>
  <c r="AU170" i="24" s="1"/>
  <c r="AN171" i="24"/>
  <c r="AU171" i="24" s="1"/>
  <c r="AN172" i="24"/>
  <c r="AU172" i="24" s="1"/>
  <c r="AN173" i="24"/>
  <c r="AU173" i="24" s="1"/>
  <c r="AN174" i="24"/>
  <c r="AU174" i="24" s="1"/>
  <c r="AN175" i="24"/>
  <c r="AU175" i="24" s="1"/>
  <c r="AN176" i="24"/>
  <c r="AU176" i="24" s="1"/>
  <c r="AN177" i="24"/>
  <c r="AU177" i="24" s="1"/>
  <c r="AN178" i="24"/>
  <c r="AU178" i="24" s="1"/>
  <c r="AN179" i="24"/>
  <c r="AU179" i="24" s="1"/>
  <c r="AN180" i="24"/>
  <c r="AU180" i="24" s="1"/>
  <c r="AN181" i="24"/>
  <c r="AU181" i="24" s="1"/>
  <c r="AN182" i="24"/>
  <c r="AU182" i="24" s="1"/>
  <c r="AN183" i="24"/>
  <c r="AU183" i="24" s="1"/>
  <c r="AN184" i="24"/>
  <c r="AU184" i="24" s="1"/>
  <c r="S124" i="22" l="1"/>
  <c r="BB124" i="24"/>
  <c r="BB125" i="24"/>
  <c r="BC126" i="24" s="1"/>
  <c r="BE126" i="24" s="1"/>
  <c r="V125" i="23"/>
  <c r="W126" i="23" s="1"/>
  <c r="S125" i="22"/>
  <c r="BO178" i="24"/>
  <c r="BM178" i="24" s="1"/>
  <c r="BN178" i="24"/>
  <c r="BL178" i="24" s="1"/>
  <c r="BQ178" i="24" s="1"/>
  <c r="BO154" i="24"/>
  <c r="BM154" i="24" s="1"/>
  <c r="BN154" i="24"/>
  <c r="BL154" i="24" s="1"/>
  <c r="BQ154" i="24" s="1"/>
  <c r="BO118" i="24"/>
  <c r="BM118" i="24" s="1"/>
  <c r="BN118" i="24"/>
  <c r="BL118" i="24" s="1"/>
  <c r="BQ118" i="24" s="1"/>
  <c r="BO94" i="24"/>
  <c r="BM94" i="24" s="1"/>
  <c r="BN94" i="24"/>
  <c r="BL94" i="24" s="1"/>
  <c r="BQ94" i="24" s="1"/>
  <c r="BO70" i="24"/>
  <c r="BM70" i="24" s="1"/>
  <c r="BN70" i="24"/>
  <c r="BL70" i="24" s="1"/>
  <c r="BQ70" i="24" s="1"/>
  <c r="BN46" i="24"/>
  <c r="BL46" i="24" s="1"/>
  <c r="BQ46" i="24" s="1"/>
  <c r="BO46" i="24"/>
  <c r="BM46" i="24" s="1"/>
  <c r="BN22" i="24"/>
  <c r="BL22" i="24" s="1"/>
  <c r="BQ22" i="24" s="1"/>
  <c r="BO22" i="24"/>
  <c r="BM22" i="24" s="1"/>
  <c r="BO177" i="24"/>
  <c r="BM177" i="24" s="1"/>
  <c r="BN177" i="24"/>
  <c r="BL177" i="24" s="1"/>
  <c r="BQ177" i="24" s="1"/>
  <c r="BO165" i="24"/>
  <c r="BM165" i="24" s="1"/>
  <c r="BN165" i="24"/>
  <c r="BL165" i="24" s="1"/>
  <c r="BQ165" i="24" s="1"/>
  <c r="BO153" i="24"/>
  <c r="BM153" i="24" s="1"/>
  <c r="BN153" i="24"/>
  <c r="BL153" i="24" s="1"/>
  <c r="BQ153" i="24" s="1"/>
  <c r="BN141" i="24"/>
  <c r="BL141" i="24" s="1"/>
  <c r="BQ141" i="24" s="1"/>
  <c r="BO141" i="24"/>
  <c r="BM141" i="24" s="1"/>
  <c r="BN129" i="24"/>
  <c r="BL129" i="24" s="1"/>
  <c r="BQ129" i="24" s="1"/>
  <c r="BO129" i="24"/>
  <c r="BM129" i="24" s="1"/>
  <c r="BN117" i="24"/>
  <c r="BL117" i="24" s="1"/>
  <c r="BQ117" i="24" s="1"/>
  <c r="BO117" i="24"/>
  <c r="BM117" i="24" s="1"/>
  <c r="BO105" i="24"/>
  <c r="BM105" i="24" s="1"/>
  <c r="BN105" i="24"/>
  <c r="BL105" i="24" s="1"/>
  <c r="BQ105" i="24" s="1"/>
  <c r="BO93" i="24"/>
  <c r="BM93" i="24" s="1"/>
  <c r="BN93" i="24"/>
  <c r="BL93" i="24" s="1"/>
  <c r="BQ93" i="24" s="1"/>
  <c r="BO81" i="24"/>
  <c r="BM81" i="24" s="1"/>
  <c r="BN81" i="24"/>
  <c r="BL81" i="24" s="1"/>
  <c r="BQ81" i="24" s="1"/>
  <c r="BO69" i="24"/>
  <c r="BM69" i="24" s="1"/>
  <c r="BN69" i="24"/>
  <c r="BL69" i="24" s="1"/>
  <c r="BQ69" i="24" s="1"/>
  <c r="BO57" i="24"/>
  <c r="BM57" i="24" s="1"/>
  <c r="BN57" i="24"/>
  <c r="BL57" i="24" s="1"/>
  <c r="BQ57" i="24" s="1"/>
  <c r="BO45" i="24"/>
  <c r="BM45" i="24" s="1"/>
  <c r="BN45" i="24"/>
  <c r="BL45" i="24" s="1"/>
  <c r="BQ45" i="24" s="1"/>
  <c r="BO33" i="24"/>
  <c r="BM33" i="24" s="1"/>
  <c r="BN33" i="24"/>
  <c r="BL33" i="24" s="1"/>
  <c r="BQ33" i="24" s="1"/>
  <c r="BO21" i="24"/>
  <c r="BM21" i="24" s="1"/>
  <c r="BN21" i="24"/>
  <c r="BL21" i="24" s="1"/>
  <c r="BQ21" i="24" s="1"/>
  <c r="BO9" i="24"/>
  <c r="BM9" i="24" s="1"/>
  <c r="BN9" i="24"/>
  <c r="BL9" i="24" s="1"/>
  <c r="BQ9" i="24" s="1"/>
  <c r="BO166" i="24"/>
  <c r="BM166" i="24" s="1"/>
  <c r="BN166" i="24"/>
  <c r="BL166" i="24" s="1"/>
  <c r="BQ166" i="24" s="1"/>
  <c r="BO142" i="24"/>
  <c r="BM142" i="24" s="1"/>
  <c r="BN142" i="24"/>
  <c r="BL142" i="24" s="1"/>
  <c r="BQ142" i="24" s="1"/>
  <c r="BO130" i="24"/>
  <c r="BM130" i="24" s="1"/>
  <c r="BN130" i="24"/>
  <c r="BL130" i="24" s="1"/>
  <c r="BQ130" i="24" s="1"/>
  <c r="BO106" i="24"/>
  <c r="BM106" i="24" s="1"/>
  <c r="BN106" i="24"/>
  <c r="BL106" i="24" s="1"/>
  <c r="BQ106" i="24" s="1"/>
  <c r="BO82" i="24"/>
  <c r="BM82" i="24" s="1"/>
  <c r="BN82" i="24"/>
  <c r="BL82" i="24" s="1"/>
  <c r="BQ82" i="24" s="1"/>
  <c r="BN58" i="24"/>
  <c r="BL58" i="24" s="1"/>
  <c r="BQ58" i="24" s="1"/>
  <c r="BO58" i="24"/>
  <c r="BM58" i="24" s="1"/>
  <c r="BN34" i="24"/>
  <c r="BL34" i="24" s="1"/>
  <c r="BQ34" i="24" s="1"/>
  <c r="BO34" i="24"/>
  <c r="BM34" i="24" s="1"/>
  <c r="BN10" i="24"/>
  <c r="BL10" i="24" s="1"/>
  <c r="BQ10" i="24" s="1"/>
  <c r="BO10" i="24"/>
  <c r="BM10" i="24" s="1"/>
  <c r="BO176" i="24"/>
  <c r="BM176" i="24" s="1"/>
  <c r="BN176" i="24"/>
  <c r="BL176" i="24" s="1"/>
  <c r="BQ176" i="24" s="1"/>
  <c r="BO164" i="24"/>
  <c r="BM164" i="24" s="1"/>
  <c r="BN164" i="24"/>
  <c r="BL164" i="24" s="1"/>
  <c r="BQ164" i="24" s="1"/>
  <c r="BO152" i="24"/>
  <c r="BM152" i="24" s="1"/>
  <c r="BN152" i="24"/>
  <c r="BL152" i="24" s="1"/>
  <c r="BQ152" i="24" s="1"/>
  <c r="BO140" i="24"/>
  <c r="BM140" i="24" s="1"/>
  <c r="BN140" i="24"/>
  <c r="BL140" i="24" s="1"/>
  <c r="BQ140" i="24" s="1"/>
  <c r="BO128" i="24"/>
  <c r="BM128" i="24" s="1"/>
  <c r="BN128" i="24"/>
  <c r="BL128" i="24" s="1"/>
  <c r="BQ128" i="24" s="1"/>
  <c r="BO116" i="24"/>
  <c r="BM116" i="24" s="1"/>
  <c r="BN116" i="24"/>
  <c r="BL116" i="24" s="1"/>
  <c r="BQ116" i="24" s="1"/>
  <c r="BO104" i="24"/>
  <c r="BM104" i="24" s="1"/>
  <c r="BN104" i="24"/>
  <c r="BL104" i="24" s="1"/>
  <c r="BQ104" i="24" s="1"/>
  <c r="BO92" i="24"/>
  <c r="BM92" i="24" s="1"/>
  <c r="BN92" i="24"/>
  <c r="BL92" i="24" s="1"/>
  <c r="BQ92" i="24" s="1"/>
  <c r="BO80" i="24"/>
  <c r="BM80" i="24" s="1"/>
  <c r="BN80" i="24"/>
  <c r="BL80" i="24" s="1"/>
  <c r="BQ80" i="24" s="1"/>
  <c r="BO68" i="24"/>
  <c r="BM68" i="24" s="1"/>
  <c r="BN68" i="24"/>
  <c r="BL68" i="24" s="1"/>
  <c r="BQ68" i="24" s="1"/>
  <c r="BO56" i="24"/>
  <c r="BM56" i="24" s="1"/>
  <c r="BN56" i="24"/>
  <c r="BL56" i="24" s="1"/>
  <c r="BQ56" i="24" s="1"/>
  <c r="BO44" i="24"/>
  <c r="BM44" i="24" s="1"/>
  <c r="BN44" i="24"/>
  <c r="BL44" i="24" s="1"/>
  <c r="BQ44" i="24" s="1"/>
  <c r="BO32" i="24"/>
  <c r="BM32" i="24" s="1"/>
  <c r="BN32" i="24"/>
  <c r="BL32" i="24" s="1"/>
  <c r="BQ32" i="24" s="1"/>
  <c r="BO20" i="24"/>
  <c r="BM20" i="24" s="1"/>
  <c r="BN20" i="24"/>
  <c r="BL20" i="24" s="1"/>
  <c r="BQ20" i="24" s="1"/>
  <c r="BO8" i="24"/>
  <c r="BM8" i="24" s="1"/>
  <c r="BN8" i="24"/>
  <c r="BL8" i="24" s="1"/>
  <c r="BQ8" i="24" s="1"/>
  <c r="BN175" i="24"/>
  <c r="BL175" i="24" s="1"/>
  <c r="BQ175" i="24" s="1"/>
  <c r="BO175" i="24"/>
  <c r="BM175" i="24" s="1"/>
  <c r="BO163" i="24"/>
  <c r="BM163" i="24" s="1"/>
  <c r="BN163" i="24"/>
  <c r="BL163" i="24" s="1"/>
  <c r="BQ163" i="24" s="1"/>
  <c r="BO151" i="24"/>
  <c r="BM151" i="24" s="1"/>
  <c r="BN151" i="24"/>
  <c r="BL151" i="24" s="1"/>
  <c r="BQ151" i="24" s="1"/>
  <c r="BO139" i="24"/>
  <c r="BM139" i="24" s="1"/>
  <c r="BN139" i="24"/>
  <c r="BL139" i="24" s="1"/>
  <c r="BQ139" i="24" s="1"/>
  <c r="BN127" i="24"/>
  <c r="BL127" i="24" s="1"/>
  <c r="BQ127" i="24" s="1"/>
  <c r="BO127" i="24"/>
  <c r="BM127" i="24" s="1"/>
  <c r="BN115" i="24"/>
  <c r="BL115" i="24" s="1"/>
  <c r="BQ115" i="24" s="1"/>
  <c r="BO115" i="24"/>
  <c r="BM115" i="24" s="1"/>
  <c r="BN103" i="24"/>
  <c r="BL103" i="24" s="1"/>
  <c r="BQ103" i="24" s="1"/>
  <c r="BO103" i="24"/>
  <c r="BM103" i="24" s="1"/>
  <c r="BO91" i="24"/>
  <c r="BM91" i="24" s="1"/>
  <c r="BN91" i="24"/>
  <c r="BL91" i="24" s="1"/>
  <c r="BQ91" i="24" s="1"/>
  <c r="BO79" i="24"/>
  <c r="BM79" i="24" s="1"/>
  <c r="BN79" i="24"/>
  <c r="BL79" i="24" s="1"/>
  <c r="BQ79" i="24" s="1"/>
  <c r="BO67" i="24"/>
  <c r="BM67" i="24" s="1"/>
  <c r="BN67" i="24"/>
  <c r="BL67" i="24" s="1"/>
  <c r="BQ67" i="24" s="1"/>
  <c r="BO55" i="24"/>
  <c r="BM55" i="24" s="1"/>
  <c r="BN55" i="24"/>
  <c r="BL55" i="24" s="1"/>
  <c r="BQ55" i="24" s="1"/>
  <c r="BO43" i="24"/>
  <c r="BM43" i="24" s="1"/>
  <c r="BN43" i="24"/>
  <c r="BL43" i="24" s="1"/>
  <c r="BQ43" i="24" s="1"/>
  <c r="BO31" i="24"/>
  <c r="BM31" i="24" s="1"/>
  <c r="BN31" i="24"/>
  <c r="BL31" i="24" s="1"/>
  <c r="BQ31" i="24" s="1"/>
  <c r="BO19" i="24"/>
  <c r="BM19" i="24" s="1"/>
  <c r="BN19" i="24"/>
  <c r="BL19" i="24" s="1"/>
  <c r="BQ19" i="24" s="1"/>
  <c r="BN174" i="24"/>
  <c r="BL174" i="24" s="1"/>
  <c r="BQ174" i="24" s="1"/>
  <c r="BO174" i="24"/>
  <c r="BM174" i="24" s="1"/>
  <c r="BO162" i="24"/>
  <c r="BM162" i="24" s="1"/>
  <c r="BN162" i="24"/>
  <c r="BL162" i="24" s="1"/>
  <c r="BQ162" i="24" s="1"/>
  <c r="BO150" i="24"/>
  <c r="BM150" i="24" s="1"/>
  <c r="BN150" i="24"/>
  <c r="BL150" i="24" s="1"/>
  <c r="BQ150" i="24" s="1"/>
  <c r="BO138" i="24"/>
  <c r="BM138" i="24" s="1"/>
  <c r="BN138" i="24"/>
  <c r="BL138" i="24" s="1"/>
  <c r="BQ138" i="24" s="1"/>
  <c r="BN126" i="24"/>
  <c r="BL126" i="24" s="1"/>
  <c r="BQ126" i="24" s="1"/>
  <c r="BO126" i="24"/>
  <c r="BM126" i="24" s="1"/>
  <c r="BN114" i="24"/>
  <c r="BL114" i="24" s="1"/>
  <c r="BQ114" i="24" s="1"/>
  <c r="BO114" i="24"/>
  <c r="BM114" i="24" s="1"/>
  <c r="BN102" i="24"/>
  <c r="BL102" i="24" s="1"/>
  <c r="BQ102" i="24" s="1"/>
  <c r="BO102" i="24"/>
  <c r="BM102" i="24" s="1"/>
  <c r="BO90" i="24"/>
  <c r="BM90" i="24" s="1"/>
  <c r="BN90" i="24"/>
  <c r="BL90" i="24" s="1"/>
  <c r="BQ90" i="24" s="1"/>
  <c r="BO78" i="24"/>
  <c r="BM78" i="24" s="1"/>
  <c r="BN78" i="24"/>
  <c r="BL78" i="24" s="1"/>
  <c r="BQ78" i="24" s="1"/>
  <c r="BO66" i="24"/>
  <c r="BM66" i="24" s="1"/>
  <c r="BN66" i="24"/>
  <c r="BL66" i="24" s="1"/>
  <c r="BQ66" i="24" s="1"/>
  <c r="BO54" i="24"/>
  <c r="BM54" i="24" s="1"/>
  <c r="BN54" i="24"/>
  <c r="BL54" i="24" s="1"/>
  <c r="BQ54" i="24" s="1"/>
  <c r="BO42" i="24"/>
  <c r="BM42" i="24" s="1"/>
  <c r="BN42" i="24"/>
  <c r="BL42" i="24" s="1"/>
  <c r="BQ42" i="24" s="1"/>
  <c r="BO30" i="24"/>
  <c r="BM30" i="24" s="1"/>
  <c r="BN30" i="24"/>
  <c r="BL30" i="24" s="1"/>
  <c r="BQ30" i="24" s="1"/>
  <c r="BO18" i="24"/>
  <c r="BM18" i="24" s="1"/>
  <c r="BN18" i="24"/>
  <c r="BL18" i="24" s="1"/>
  <c r="BQ18" i="24" s="1"/>
  <c r="BN173" i="24"/>
  <c r="BL173" i="24" s="1"/>
  <c r="BQ173" i="24" s="1"/>
  <c r="BO173" i="24"/>
  <c r="BM173" i="24" s="1"/>
  <c r="BN161" i="24"/>
  <c r="BL161" i="24" s="1"/>
  <c r="BQ161" i="24" s="1"/>
  <c r="BO161" i="24"/>
  <c r="BM161" i="24" s="1"/>
  <c r="BO149" i="24"/>
  <c r="BM149" i="24" s="1"/>
  <c r="BN149" i="24"/>
  <c r="BL149" i="24" s="1"/>
  <c r="BQ149" i="24" s="1"/>
  <c r="BO137" i="24"/>
  <c r="BM137" i="24" s="1"/>
  <c r="BN137" i="24"/>
  <c r="BL137" i="24" s="1"/>
  <c r="BQ137" i="24" s="1"/>
  <c r="BN125" i="24"/>
  <c r="BL125" i="24" s="1"/>
  <c r="BQ125" i="24" s="1"/>
  <c r="BO125" i="24"/>
  <c r="BM125" i="24" s="1"/>
  <c r="BN113" i="24"/>
  <c r="BL113" i="24" s="1"/>
  <c r="BQ113" i="24" s="1"/>
  <c r="BO113" i="24"/>
  <c r="BM113" i="24" s="1"/>
  <c r="BN101" i="24"/>
  <c r="BL101" i="24" s="1"/>
  <c r="BQ101" i="24" s="1"/>
  <c r="BO101" i="24"/>
  <c r="BM101" i="24" s="1"/>
  <c r="BN89" i="24"/>
  <c r="BL89" i="24" s="1"/>
  <c r="BQ89" i="24" s="1"/>
  <c r="BO89" i="24"/>
  <c r="BM89" i="24" s="1"/>
  <c r="BO77" i="24"/>
  <c r="BM77" i="24" s="1"/>
  <c r="BN77" i="24"/>
  <c r="BL77" i="24" s="1"/>
  <c r="BQ77" i="24" s="1"/>
  <c r="BO65" i="24"/>
  <c r="BM65" i="24" s="1"/>
  <c r="BN65" i="24"/>
  <c r="BL65" i="24" s="1"/>
  <c r="BQ65" i="24" s="1"/>
  <c r="BO53" i="24"/>
  <c r="BM53" i="24" s="1"/>
  <c r="BN53" i="24"/>
  <c r="BL53" i="24" s="1"/>
  <c r="BQ53" i="24" s="1"/>
  <c r="BO41" i="24"/>
  <c r="BM41" i="24" s="1"/>
  <c r="BN41" i="24"/>
  <c r="BL41" i="24" s="1"/>
  <c r="BQ41" i="24" s="1"/>
  <c r="BO29" i="24"/>
  <c r="BM29" i="24" s="1"/>
  <c r="BN29" i="24"/>
  <c r="BL29" i="24" s="1"/>
  <c r="BQ29" i="24" s="1"/>
  <c r="BO17" i="24"/>
  <c r="BM17" i="24" s="1"/>
  <c r="BN17" i="24"/>
  <c r="BL17" i="24" s="1"/>
  <c r="BQ17" i="24" s="1"/>
  <c r="BO184" i="24"/>
  <c r="BM184" i="24" s="1"/>
  <c r="BN184" i="24"/>
  <c r="BL184" i="24" s="1"/>
  <c r="BQ184" i="24" s="1"/>
  <c r="BO172" i="24"/>
  <c r="BM172" i="24" s="1"/>
  <c r="BN172" i="24"/>
  <c r="BL172" i="24" s="1"/>
  <c r="BQ172" i="24" s="1"/>
  <c r="BO160" i="24"/>
  <c r="BM160" i="24" s="1"/>
  <c r="BN160" i="24"/>
  <c r="BL160" i="24" s="1"/>
  <c r="BQ160" i="24" s="1"/>
  <c r="BO148" i="24"/>
  <c r="BM148" i="24" s="1"/>
  <c r="BN148" i="24"/>
  <c r="BL148" i="24" s="1"/>
  <c r="BQ148" i="24" s="1"/>
  <c r="BO136" i="24"/>
  <c r="BM136" i="24" s="1"/>
  <c r="BN136" i="24"/>
  <c r="BL136" i="24" s="1"/>
  <c r="BQ136" i="24" s="1"/>
  <c r="BO124" i="24"/>
  <c r="BM124" i="24" s="1"/>
  <c r="BN124" i="24"/>
  <c r="BL124" i="24" s="1"/>
  <c r="BQ124" i="24" s="1"/>
  <c r="BO112" i="24"/>
  <c r="BM112" i="24" s="1"/>
  <c r="BN112" i="24"/>
  <c r="BL112" i="24" s="1"/>
  <c r="BQ112" i="24" s="1"/>
  <c r="BO100" i="24"/>
  <c r="BM100" i="24" s="1"/>
  <c r="BN100" i="24"/>
  <c r="BL100" i="24" s="1"/>
  <c r="BQ100" i="24" s="1"/>
  <c r="BO88" i="24"/>
  <c r="BM88" i="24" s="1"/>
  <c r="BN88" i="24"/>
  <c r="BL88" i="24" s="1"/>
  <c r="BQ88" i="24" s="1"/>
  <c r="BO76" i="24"/>
  <c r="BM76" i="24" s="1"/>
  <c r="BN76" i="24"/>
  <c r="BL76" i="24" s="1"/>
  <c r="BQ76" i="24" s="1"/>
  <c r="BO64" i="24"/>
  <c r="BM64" i="24" s="1"/>
  <c r="BN64" i="24"/>
  <c r="BL64" i="24" s="1"/>
  <c r="BQ64" i="24" s="1"/>
  <c r="BO52" i="24"/>
  <c r="BM52" i="24" s="1"/>
  <c r="BN52" i="24"/>
  <c r="BL52" i="24" s="1"/>
  <c r="BQ52" i="24" s="1"/>
  <c r="BO40" i="24"/>
  <c r="BM40" i="24" s="1"/>
  <c r="BN40" i="24"/>
  <c r="BL40" i="24" s="1"/>
  <c r="BQ40" i="24" s="1"/>
  <c r="BO28" i="24"/>
  <c r="BM28" i="24" s="1"/>
  <c r="BN28" i="24"/>
  <c r="BL28" i="24" s="1"/>
  <c r="BQ28" i="24" s="1"/>
  <c r="BO16" i="24"/>
  <c r="BM16" i="24" s="1"/>
  <c r="BN16" i="24"/>
  <c r="BL16" i="24" s="1"/>
  <c r="BQ16" i="24" s="1"/>
  <c r="BN183" i="24"/>
  <c r="BL183" i="24" s="1"/>
  <c r="BQ183" i="24" s="1"/>
  <c r="BO183" i="24"/>
  <c r="BM183" i="24" s="1"/>
  <c r="BN171" i="24"/>
  <c r="BL171" i="24" s="1"/>
  <c r="BQ171" i="24" s="1"/>
  <c r="BO171" i="24"/>
  <c r="BM171" i="24" s="1"/>
  <c r="BN159" i="24"/>
  <c r="BL159" i="24" s="1"/>
  <c r="BQ159" i="24" s="1"/>
  <c r="BO159" i="24"/>
  <c r="BM159" i="24" s="1"/>
  <c r="BO147" i="24"/>
  <c r="BM147" i="24" s="1"/>
  <c r="BN147" i="24"/>
  <c r="BL147" i="24" s="1"/>
  <c r="BQ147" i="24" s="1"/>
  <c r="BO135" i="24"/>
  <c r="BM135" i="24" s="1"/>
  <c r="BN135" i="24"/>
  <c r="BL135" i="24" s="1"/>
  <c r="BQ135" i="24" s="1"/>
  <c r="BN123" i="24"/>
  <c r="BL123" i="24" s="1"/>
  <c r="BQ123" i="24" s="1"/>
  <c r="BO123" i="24"/>
  <c r="BM123" i="24" s="1"/>
  <c r="BN111" i="24"/>
  <c r="BL111" i="24" s="1"/>
  <c r="BQ111" i="24" s="1"/>
  <c r="BO111" i="24"/>
  <c r="BM111" i="24" s="1"/>
  <c r="BN99" i="24"/>
  <c r="BL99" i="24" s="1"/>
  <c r="BQ99" i="24" s="1"/>
  <c r="BO99" i="24"/>
  <c r="BM99" i="24" s="1"/>
  <c r="BN87" i="24"/>
  <c r="BL87" i="24" s="1"/>
  <c r="BQ87" i="24" s="1"/>
  <c r="BO87" i="24"/>
  <c r="BM87" i="24" s="1"/>
  <c r="BN75" i="24"/>
  <c r="BL75" i="24" s="1"/>
  <c r="BQ75" i="24" s="1"/>
  <c r="BO75" i="24"/>
  <c r="BM75" i="24" s="1"/>
  <c r="BO63" i="24"/>
  <c r="BM63" i="24" s="1"/>
  <c r="BN63" i="24"/>
  <c r="BL63" i="24" s="1"/>
  <c r="BQ63" i="24" s="1"/>
  <c r="BO51" i="24"/>
  <c r="BM51" i="24" s="1"/>
  <c r="BN51" i="24"/>
  <c r="BL51" i="24" s="1"/>
  <c r="BQ51" i="24" s="1"/>
  <c r="BO39" i="24"/>
  <c r="BM39" i="24" s="1"/>
  <c r="BN39" i="24"/>
  <c r="BL39" i="24" s="1"/>
  <c r="BQ39" i="24" s="1"/>
  <c r="BO27" i="24"/>
  <c r="BM27" i="24" s="1"/>
  <c r="BN27" i="24"/>
  <c r="BL27" i="24" s="1"/>
  <c r="BQ27" i="24" s="1"/>
  <c r="BO15" i="24"/>
  <c r="BM15" i="24" s="1"/>
  <c r="BN15" i="24"/>
  <c r="BL15" i="24" s="1"/>
  <c r="BQ15" i="24" s="1"/>
  <c r="BN182" i="24"/>
  <c r="BL182" i="24" s="1"/>
  <c r="BQ182" i="24" s="1"/>
  <c r="BO182" i="24"/>
  <c r="BM182" i="24" s="1"/>
  <c r="BN170" i="24"/>
  <c r="BL170" i="24" s="1"/>
  <c r="BQ170" i="24" s="1"/>
  <c r="BO170" i="24"/>
  <c r="BM170" i="24" s="1"/>
  <c r="BN158" i="24"/>
  <c r="BL158" i="24" s="1"/>
  <c r="BQ158" i="24" s="1"/>
  <c r="BO158" i="24"/>
  <c r="BM158" i="24" s="1"/>
  <c r="BN146" i="24"/>
  <c r="BL146" i="24" s="1"/>
  <c r="BQ146" i="24" s="1"/>
  <c r="BO146" i="24"/>
  <c r="BM146" i="24" s="1"/>
  <c r="BO134" i="24"/>
  <c r="BM134" i="24" s="1"/>
  <c r="BN134" i="24"/>
  <c r="BL134" i="24" s="1"/>
  <c r="BQ134" i="24" s="1"/>
  <c r="BN122" i="24"/>
  <c r="BL122" i="24" s="1"/>
  <c r="BQ122" i="24" s="1"/>
  <c r="BO122" i="24"/>
  <c r="BM122" i="24" s="1"/>
  <c r="BN110" i="24"/>
  <c r="BL110" i="24" s="1"/>
  <c r="BQ110" i="24" s="1"/>
  <c r="BO110" i="24"/>
  <c r="BM110" i="24" s="1"/>
  <c r="BN98" i="24"/>
  <c r="BL98" i="24" s="1"/>
  <c r="BQ98" i="24" s="1"/>
  <c r="BO98" i="24"/>
  <c r="BM98" i="24" s="1"/>
  <c r="BN86" i="24"/>
  <c r="BL86" i="24" s="1"/>
  <c r="BQ86" i="24" s="1"/>
  <c r="BO86" i="24"/>
  <c r="BM86" i="24" s="1"/>
  <c r="BN74" i="24"/>
  <c r="BL74" i="24" s="1"/>
  <c r="BQ74" i="24" s="1"/>
  <c r="BO74" i="24"/>
  <c r="BM74" i="24" s="1"/>
  <c r="BN62" i="24"/>
  <c r="BL62" i="24" s="1"/>
  <c r="BQ62" i="24" s="1"/>
  <c r="BO62" i="24"/>
  <c r="BM62" i="24" s="1"/>
  <c r="BN50" i="24"/>
  <c r="BL50" i="24" s="1"/>
  <c r="BQ50" i="24" s="1"/>
  <c r="BO50" i="24"/>
  <c r="BM50" i="24" s="1"/>
  <c r="BN38" i="24"/>
  <c r="BL38" i="24" s="1"/>
  <c r="BQ38" i="24" s="1"/>
  <c r="BO38" i="24"/>
  <c r="BM38" i="24" s="1"/>
  <c r="BN26" i="24"/>
  <c r="BL26" i="24" s="1"/>
  <c r="BQ26" i="24" s="1"/>
  <c r="BO26" i="24"/>
  <c r="BM26" i="24" s="1"/>
  <c r="BN14" i="24"/>
  <c r="BL14" i="24" s="1"/>
  <c r="BQ14" i="24" s="1"/>
  <c r="BO14" i="24"/>
  <c r="BM14" i="24" s="1"/>
  <c r="BN181" i="24"/>
  <c r="BL181" i="24" s="1"/>
  <c r="BQ181" i="24" s="1"/>
  <c r="BO181" i="24"/>
  <c r="BM181" i="24" s="1"/>
  <c r="BN169" i="24"/>
  <c r="BL169" i="24" s="1"/>
  <c r="BQ169" i="24" s="1"/>
  <c r="BO169" i="24"/>
  <c r="BM169" i="24" s="1"/>
  <c r="BN157" i="24"/>
  <c r="BL157" i="24" s="1"/>
  <c r="BQ157" i="24" s="1"/>
  <c r="BO157" i="24"/>
  <c r="BM157" i="24" s="1"/>
  <c r="BN145" i="24"/>
  <c r="BL145" i="24" s="1"/>
  <c r="BQ145" i="24" s="1"/>
  <c r="BO145" i="24"/>
  <c r="BM145" i="24" s="1"/>
  <c r="BO133" i="24"/>
  <c r="BM133" i="24" s="1"/>
  <c r="BN133" i="24"/>
  <c r="BL133" i="24" s="1"/>
  <c r="BQ133" i="24" s="1"/>
  <c r="BN121" i="24"/>
  <c r="BL121" i="24" s="1"/>
  <c r="BQ121" i="24" s="1"/>
  <c r="BO121" i="24"/>
  <c r="BM121" i="24" s="1"/>
  <c r="BN109" i="24"/>
  <c r="BL109" i="24" s="1"/>
  <c r="BQ109" i="24" s="1"/>
  <c r="BO109" i="24"/>
  <c r="BM109" i="24" s="1"/>
  <c r="BN97" i="24"/>
  <c r="BL97" i="24" s="1"/>
  <c r="BQ97" i="24" s="1"/>
  <c r="BO97" i="24"/>
  <c r="BM97" i="24" s="1"/>
  <c r="BN85" i="24"/>
  <c r="BL85" i="24" s="1"/>
  <c r="BQ85" i="24" s="1"/>
  <c r="BO85" i="24"/>
  <c r="BM85" i="24" s="1"/>
  <c r="BN73" i="24"/>
  <c r="BL73" i="24" s="1"/>
  <c r="BQ73" i="24" s="1"/>
  <c r="BO73" i="24"/>
  <c r="BM73" i="24" s="1"/>
  <c r="BN61" i="24"/>
  <c r="BL61" i="24" s="1"/>
  <c r="BQ61" i="24" s="1"/>
  <c r="BO61" i="24"/>
  <c r="BM61" i="24" s="1"/>
  <c r="BN49" i="24"/>
  <c r="BL49" i="24" s="1"/>
  <c r="BQ49" i="24" s="1"/>
  <c r="BO49" i="24"/>
  <c r="BM49" i="24" s="1"/>
  <c r="BN37" i="24"/>
  <c r="BL37" i="24" s="1"/>
  <c r="BQ37" i="24" s="1"/>
  <c r="BO37" i="24"/>
  <c r="BM37" i="24" s="1"/>
  <c r="BN25" i="24"/>
  <c r="BL25" i="24" s="1"/>
  <c r="BQ25" i="24" s="1"/>
  <c r="BO25" i="24"/>
  <c r="BM25" i="24" s="1"/>
  <c r="BN13" i="24"/>
  <c r="BL13" i="24" s="1"/>
  <c r="BQ13" i="24" s="1"/>
  <c r="BO13" i="24"/>
  <c r="BM13" i="24" s="1"/>
  <c r="BO180" i="24"/>
  <c r="BM180" i="24" s="1"/>
  <c r="BN180" i="24"/>
  <c r="BL180" i="24" s="1"/>
  <c r="BQ180" i="24" s="1"/>
  <c r="BO168" i="24"/>
  <c r="BM168" i="24" s="1"/>
  <c r="BN168" i="24"/>
  <c r="BL168" i="24" s="1"/>
  <c r="BQ168" i="24" s="1"/>
  <c r="BO156" i="24"/>
  <c r="BM156" i="24" s="1"/>
  <c r="BN156" i="24"/>
  <c r="BL156" i="24" s="1"/>
  <c r="BQ156" i="24" s="1"/>
  <c r="BO144" i="24"/>
  <c r="BM144" i="24" s="1"/>
  <c r="BN144" i="24"/>
  <c r="BL144" i="24" s="1"/>
  <c r="BQ144" i="24" s="1"/>
  <c r="BN132" i="24"/>
  <c r="BL132" i="24" s="1"/>
  <c r="BQ132" i="24" s="1"/>
  <c r="BO132" i="24"/>
  <c r="BM132" i="24" s="1"/>
  <c r="BO120" i="24"/>
  <c r="BM120" i="24" s="1"/>
  <c r="BN120" i="24"/>
  <c r="BL120" i="24" s="1"/>
  <c r="BQ120" i="24" s="1"/>
  <c r="BO108" i="24"/>
  <c r="BM108" i="24" s="1"/>
  <c r="BN108" i="24"/>
  <c r="BL108" i="24" s="1"/>
  <c r="BQ108" i="24" s="1"/>
  <c r="BO96" i="24"/>
  <c r="BM96" i="24" s="1"/>
  <c r="BN96" i="24"/>
  <c r="BL96" i="24" s="1"/>
  <c r="BQ96" i="24" s="1"/>
  <c r="BO84" i="24"/>
  <c r="BM84" i="24" s="1"/>
  <c r="BN84" i="24"/>
  <c r="BL84" i="24" s="1"/>
  <c r="BQ84" i="24" s="1"/>
  <c r="BO72" i="24"/>
  <c r="BM72" i="24" s="1"/>
  <c r="BN72" i="24"/>
  <c r="BL72" i="24" s="1"/>
  <c r="BQ72" i="24" s="1"/>
  <c r="BO60" i="24"/>
  <c r="BM60" i="24" s="1"/>
  <c r="BN60" i="24"/>
  <c r="BL60" i="24" s="1"/>
  <c r="BQ60" i="24" s="1"/>
  <c r="BO48" i="24"/>
  <c r="BM48" i="24" s="1"/>
  <c r="BN48" i="24"/>
  <c r="BL48" i="24" s="1"/>
  <c r="BQ48" i="24" s="1"/>
  <c r="BO36" i="24"/>
  <c r="BM36" i="24" s="1"/>
  <c r="BN36" i="24"/>
  <c r="BL36" i="24" s="1"/>
  <c r="BQ36" i="24" s="1"/>
  <c r="BO24" i="24"/>
  <c r="BM24" i="24" s="1"/>
  <c r="BN24" i="24"/>
  <c r="BL24" i="24" s="1"/>
  <c r="BQ24" i="24" s="1"/>
  <c r="BO12" i="24"/>
  <c r="BM12" i="24" s="1"/>
  <c r="BN12" i="24"/>
  <c r="BL12" i="24" s="1"/>
  <c r="BQ12" i="24" s="1"/>
  <c r="BO179" i="24"/>
  <c r="BM179" i="24" s="1"/>
  <c r="BN179" i="24"/>
  <c r="BL179" i="24" s="1"/>
  <c r="BQ179" i="24" s="1"/>
  <c r="BO167" i="24"/>
  <c r="BM167" i="24" s="1"/>
  <c r="BN167" i="24"/>
  <c r="BL167" i="24" s="1"/>
  <c r="BQ167" i="24" s="1"/>
  <c r="BO155" i="24"/>
  <c r="BM155" i="24" s="1"/>
  <c r="BN155" i="24"/>
  <c r="BL155" i="24" s="1"/>
  <c r="BQ155" i="24" s="1"/>
  <c r="BO143" i="24"/>
  <c r="BM143" i="24" s="1"/>
  <c r="BN143" i="24"/>
  <c r="BL143" i="24" s="1"/>
  <c r="BQ143" i="24" s="1"/>
  <c r="BO131" i="24"/>
  <c r="BM131" i="24" s="1"/>
  <c r="BN131" i="24"/>
  <c r="BL131" i="24" s="1"/>
  <c r="BQ131" i="24" s="1"/>
  <c r="BO119" i="24"/>
  <c r="BM119" i="24" s="1"/>
  <c r="BN119" i="24"/>
  <c r="BL119" i="24" s="1"/>
  <c r="BQ119" i="24" s="1"/>
  <c r="BO107" i="24"/>
  <c r="BM107" i="24" s="1"/>
  <c r="BN107" i="24"/>
  <c r="BL107" i="24" s="1"/>
  <c r="BQ107" i="24" s="1"/>
  <c r="BO95" i="24"/>
  <c r="BM95" i="24" s="1"/>
  <c r="BN95" i="24"/>
  <c r="BL95" i="24" s="1"/>
  <c r="BQ95" i="24" s="1"/>
  <c r="BO83" i="24"/>
  <c r="BM83" i="24" s="1"/>
  <c r="BN83" i="24"/>
  <c r="BL83" i="24" s="1"/>
  <c r="BQ83" i="24" s="1"/>
  <c r="BN71" i="24"/>
  <c r="BL71" i="24" s="1"/>
  <c r="BQ71" i="24" s="1"/>
  <c r="BO71" i="24"/>
  <c r="BM71" i="24" s="1"/>
  <c r="BO59" i="24"/>
  <c r="BM59" i="24" s="1"/>
  <c r="BN59" i="24"/>
  <c r="BL59" i="24" s="1"/>
  <c r="BQ59" i="24" s="1"/>
  <c r="BO47" i="24"/>
  <c r="BM47" i="24" s="1"/>
  <c r="BN47" i="24"/>
  <c r="BL47" i="24" s="1"/>
  <c r="BQ47" i="24" s="1"/>
  <c r="BO35" i="24"/>
  <c r="BM35" i="24" s="1"/>
  <c r="BN35" i="24"/>
  <c r="BL35" i="24" s="1"/>
  <c r="BQ35" i="24" s="1"/>
  <c r="BO23" i="24"/>
  <c r="BM23" i="24" s="1"/>
  <c r="BN23" i="24"/>
  <c r="BL23" i="24" s="1"/>
  <c r="BQ23" i="24" s="1"/>
  <c r="BO11" i="24"/>
  <c r="BM11" i="24" s="1"/>
  <c r="BN11" i="24"/>
  <c r="BL11" i="24" s="1"/>
  <c r="BQ11" i="24" s="1"/>
  <c r="AT146" i="24"/>
  <c r="AR146" i="24" s="1"/>
  <c r="AS146" i="24"/>
  <c r="AQ146" i="24" s="1"/>
  <c r="AV146" i="24" s="1"/>
  <c r="AT184" i="24"/>
  <c r="AR184" i="24" s="1"/>
  <c r="AS184" i="24"/>
  <c r="AQ184" i="24" s="1"/>
  <c r="AV184" i="24" s="1"/>
  <c r="AT160" i="24"/>
  <c r="AR160" i="24" s="1"/>
  <c r="AS160" i="24"/>
  <c r="AQ160" i="24" s="1"/>
  <c r="AV160" i="24" s="1"/>
  <c r="AT136" i="24"/>
  <c r="AR136" i="24" s="1"/>
  <c r="AS136" i="24"/>
  <c r="AQ136" i="24" s="1"/>
  <c r="AV136" i="24" s="1"/>
  <c r="AT112" i="24"/>
  <c r="AR112" i="24" s="1"/>
  <c r="AS112" i="24"/>
  <c r="AQ112" i="24" s="1"/>
  <c r="AV112" i="24" s="1"/>
  <c r="AT88" i="24"/>
  <c r="AR88" i="24" s="1"/>
  <c r="AS88" i="24"/>
  <c r="AQ88" i="24" s="1"/>
  <c r="AV88" i="24" s="1"/>
  <c r="AT76" i="24"/>
  <c r="AR76" i="24" s="1"/>
  <c r="AS76" i="24"/>
  <c r="AQ76" i="24" s="1"/>
  <c r="AV76" i="24" s="1"/>
  <c r="AT52" i="24"/>
  <c r="AR52" i="24" s="1"/>
  <c r="AS52" i="24"/>
  <c r="AQ52" i="24" s="1"/>
  <c r="AV52" i="24" s="1"/>
  <c r="AT40" i="24"/>
  <c r="AR40" i="24" s="1"/>
  <c r="AS40" i="24"/>
  <c r="AQ40" i="24" s="1"/>
  <c r="AV40" i="24" s="1"/>
  <c r="AT28" i="24"/>
  <c r="AR28" i="24" s="1"/>
  <c r="AS28" i="24"/>
  <c r="AQ28" i="24" s="1"/>
  <c r="AV28" i="24" s="1"/>
  <c r="AT16" i="24"/>
  <c r="AR16" i="24" s="1"/>
  <c r="AS16" i="24"/>
  <c r="AQ16" i="24" s="1"/>
  <c r="AV16" i="24" s="1"/>
  <c r="AT50" i="24"/>
  <c r="AR50" i="24" s="1"/>
  <c r="AS50" i="24"/>
  <c r="AQ50" i="24" s="1"/>
  <c r="AV50" i="24" s="1"/>
  <c r="AT172" i="24"/>
  <c r="AR172" i="24" s="1"/>
  <c r="AS172" i="24"/>
  <c r="AQ172" i="24" s="1"/>
  <c r="AV172" i="24" s="1"/>
  <c r="AT148" i="24"/>
  <c r="AR148" i="24" s="1"/>
  <c r="AS148" i="24"/>
  <c r="AQ148" i="24" s="1"/>
  <c r="AV148" i="24" s="1"/>
  <c r="AT124" i="24"/>
  <c r="AR124" i="24" s="1"/>
  <c r="AS124" i="24"/>
  <c r="AQ124" i="24" s="1"/>
  <c r="AV124" i="24" s="1"/>
  <c r="AT100" i="24"/>
  <c r="AR100" i="24" s="1"/>
  <c r="AS100" i="24"/>
  <c r="AQ100" i="24" s="1"/>
  <c r="AV100" i="24" s="1"/>
  <c r="AT64" i="24"/>
  <c r="AR64" i="24" s="1"/>
  <c r="AS64" i="24"/>
  <c r="AQ64" i="24" s="1"/>
  <c r="AV64" i="24" s="1"/>
  <c r="AT183" i="24"/>
  <c r="AR183" i="24" s="1"/>
  <c r="AS183" i="24"/>
  <c r="AQ183" i="24" s="1"/>
  <c r="AV183" i="24" s="1"/>
  <c r="AT171" i="24"/>
  <c r="AR171" i="24" s="1"/>
  <c r="AS171" i="24"/>
  <c r="AQ171" i="24" s="1"/>
  <c r="AV171" i="24" s="1"/>
  <c r="AT159" i="24"/>
  <c r="AR159" i="24" s="1"/>
  <c r="AS159" i="24"/>
  <c r="AQ159" i="24" s="1"/>
  <c r="AV159" i="24" s="1"/>
  <c r="AT147" i="24"/>
  <c r="AR147" i="24" s="1"/>
  <c r="AS147" i="24"/>
  <c r="AQ147" i="24" s="1"/>
  <c r="AV147" i="24" s="1"/>
  <c r="AT135" i="24"/>
  <c r="AR135" i="24" s="1"/>
  <c r="AS135" i="24"/>
  <c r="AQ135" i="24" s="1"/>
  <c r="AV135" i="24" s="1"/>
  <c r="AT123" i="24"/>
  <c r="AR123" i="24" s="1"/>
  <c r="AS123" i="24"/>
  <c r="AQ123" i="24" s="1"/>
  <c r="AV123" i="24" s="1"/>
  <c r="AT111" i="24"/>
  <c r="AR111" i="24" s="1"/>
  <c r="AS111" i="24"/>
  <c r="AQ111" i="24" s="1"/>
  <c r="AV111" i="24" s="1"/>
  <c r="AT99" i="24"/>
  <c r="AR99" i="24" s="1"/>
  <c r="AS99" i="24"/>
  <c r="AQ99" i="24" s="1"/>
  <c r="AV99" i="24" s="1"/>
  <c r="AT87" i="24"/>
  <c r="AR87" i="24" s="1"/>
  <c r="AS87" i="24"/>
  <c r="AQ87" i="24" s="1"/>
  <c r="AV87" i="24" s="1"/>
  <c r="AT75" i="24"/>
  <c r="AR75" i="24" s="1"/>
  <c r="AS75" i="24"/>
  <c r="AQ75" i="24" s="1"/>
  <c r="AV75" i="24" s="1"/>
  <c r="AT63" i="24"/>
  <c r="AR63" i="24" s="1"/>
  <c r="AS63" i="24"/>
  <c r="AQ63" i="24" s="1"/>
  <c r="AV63" i="24" s="1"/>
  <c r="AT51" i="24"/>
  <c r="AR51" i="24" s="1"/>
  <c r="AS51" i="24"/>
  <c r="AQ51" i="24" s="1"/>
  <c r="AV51" i="24" s="1"/>
  <c r="AT39" i="24"/>
  <c r="AR39" i="24" s="1"/>
  <c r="AS39" i="24"/>
  <c r="AQ39" i="24" s="1"/>
  <c r="AV39" i="24" s="1"/>
  <c r="AT27" i="24"/>
  <c r="AR27" i="24" s="1"/>
  <c r="AS27" i="24"/>
  <c r="AQ27" i="24" s="1"/>
  <c r="AV27" i="24" s="1"/>
  <c r="AT15" i="24"/>
  <c r="AR15" i="24" s="1"/>
  <c r="AS15" i="24"/>
  <c r="AQ15" i="24" s="1"/>
  <c r="AV15" i="24" s="1"/>
  <c r="AT110" i="24"/>
  <c r="AR110" i="24" s="1"/>
  <c r="AS110" i="24"/>
  <c r="AQ110" i="24" s="1"/>
  <c r="AV110" i="24" s="1"/>
  <c r="AS109" i="24"/>
  <c r="AQ109" i="24" s="1"/>
  <c r="AV109" i="24" s="1"/>
  <c r="AT109" i="24"/>
  <c r="AR109" i="24" s="1"/>
  <c r="AS180" i="24"/>
  <c r="AQ180" i="24" s="1"/>
  <c r="AV180" i="24" s="1"/>
  <c r="AT180" i="24"/>
  <c r="AR180" i="24" s="1"/>
  <c r="AS168" i="24"/>
  <c r="AQ168" i="24" s="1"/>
  <c r="AV168" i="24" s="1"/>
  <c r="AT168" i="24"/>
  <c r="AR168" i="24" s="1"/>
  <c r="AS156" i="24"/>
  <c r="AQ156" i="24" s="1"/>
  <c r="AV156" i="24" s="1"/>
  <c r="AT156" i="24"/>
  <c r="AR156" i="24" s="1"/>
  <c r="AS144" i="24"/>
  <c r="AQ144" i="24" s="1"/>
  <c r="AV144" i="24" s="1"/>
  <c r="AT144" i="24"/>
  <c r="AR144" i="24" s="1"/>
  <c r="AS132" i="24"/>
  <c r="AQ132" i="24" s="1"/>
  <c r="AV132" i="24" s="1"/>
  <c r="AT132" i="24"/>
  <c r="AR132" i="24" s="1"/>
  <c r="AS120" i="24"/>
  <c r="AQ120" i="24" s="1"/>
  <c r="AV120" i="24" s="1"/>
  <c r="AT120" i="24"/>
  <c r="AR120" i="24" s="1"/>
  <c r="AS108" i="24"/>
  <c r="AQ108" i="24" s="1"/>
  <c r="AV108" i="24" s="1"/>
  <c r="AT108" i="24"/>
  <c r="AR108" i="24" s="1"/>
  <c r="AS96" i="24"/>
  <c r="AQ96" i="24" s="1"/>
  <c r="AV96" i="24" s="1"/>
  <c r="AT96" i="24"/>
  <c r="AR96" i="24" s="1"/>
  <c r="AS84" i="24"/>
  <c r="AQ84" i="24" s="1"/>
  <c r="AV84" i="24" s="1"/>
  <c r="AT84" i="24"/>
  <c r="AR84" i="24" s="1"/>
  <c r="AS72" i="24"/>
  <c r="AQ72" i="24" s="1"/>
  <c r="AV72" i="24" s="1"/>
  <c r="AT72" i="24"/>
  <c r="AR72" i="24" s="1"/>
  <c r="AS60" i="24"/>
  <c r="AQ60" i="24" s="1"/>
  <c r="AV60" i="24" s="1"/>
  <c r="AT60" i="24"/>
  <c r="AR60" i="24" s="1"/>
  <c r="AS48" i="24"/>
  <c r="AQ48" i="24" s="1"/>
  <c r="AV48" i="24" s="1"/>
  <c r="AT48" i="24"/>
  <c r="AR48" i="24" s="1"/>
  <c r="AS36" i="24"/>
  <c r="AQ36" i="24" s="1"/>
  <c r="AV36" i="24" s="1"/>
  <c r="AT36" i="24"/>
  <c r="AR36" i="24" s="1"/>
  <c r="AS24" i="24"/>
  <c r="AQ24" i="24" s="1"/>
  <c r="AV24" i="24" s="1"/>
  <c r="AT24" i="24"/>
  <c r="AR24" i="24" s="1"/>
  <c r="AS12" i="24"/>
  <c r="AQ12" i="24" s="1"/>
  <c r="AV12" i="24" s="1"/>
  <c r="AT12" i="24"/>
  <c r="AR12" i="24" s="1"/>
  <c r="AT98" i="24"/>
  <c r="AR98" i="24" s="1"/>
  <c r="AS98" i="24"/>
  <c r="AQ98" i="24" s="1"/>
  <c r="AV98" i="24" s="1"/>
  <c r="AS85" i="24"/>
  <c r="AQ85" i="24" s="1"/>
  <c r="AV85" i="24" s="1"/>
  <c r="AT85" i="24"/>
  <c r="AR85" i="24" s="1"/>
  <c r="AS179" i="24"/>
  <c r="AQ179" i="24" s="1"/>
  <c r="AV179" i="24" s="1"/>
  <c r="AT179" i="24"/>
  <c r="AR179" i="24" s="1"/>
  <c r="AS167" i="24"/>
  <c r="AQ167" i="24" s="1"/>
  <c r="AV167" i="24" s="1"/>
  <c r="AT167" i="24"/>
  <c r="AR167" i="24" s="1"/>
  <c r="AS155" i="24"/>
  <c r="AQ155" i="24" s="1"/>
  <c r="AV155" i="24" s="1"/>
  <c r="AT155" i="24"/>
  <c r="AR155" i="24" s="1"/>
  <c r="AS143" i="24"/>
  <c r="AQ143" i="24" s="1"/>
  <c r="AV143" i="24" s="1"/>
  <c r="AT143" i="24"/>
  <c r="AR143" i="24" s="1"/>
  <c r="AS131" i="24"/>
  <c r="AQ131" i="24" s="1"/>
  <c r="AV131" i="24" s="1"/>
  <c r="AT131" i="24"/>
  <c r="AR131" i="24" s="1"/>
  <c r="AS119" i="24"/>
  <c r="AQ119" i="24" s="1"/>
  <c r="AV119" i="24" s="1"/>
  <c r="AT119" i="24"/>
  <c r="AR119" i="24" s="1"/>
  <c r="AS107" i="24"/>
  <c r="AQ107" i="24" s="1"/>
  <c r="AV107" i="24" s="1"/>
  <c r="AT107" i="24"/>
  <c r="AR107" i="24" s="1"/>
  <c r="AS95" i="24"/>
  <c r="AQ95" i="24" s="1"/>
  <c r="AV95" i="24" s="1"/>
  <c r="AT95" i="24"/>
  <c r="AR95" i="24" s="1"/>
  <c r="AS83" i="24"/>
  <c r="AQ83" i="24" s="1"/>
  <c r="AV83" i="24" s="1"/>
  <c r="AT83" i="24"/>
  <c r="AR83" i="24" s="1"/>
  <c r="AS71" i="24"/>
  <c r="AQ71" i="24" s="1"/>
  <c r="AV71" i="24" s="1"/>
  <c r="AT71" i="24"/>
  <c r="AR71" i="24" s="1"/>
  <c r="AS59" i="24"/>
  <c r="AQ59" i="24" s="1"/>
  <c r="AV59" i="24" s="1"/>
  <c r="AT59" i="24"/>
  <c r="AR59" i="24" s="1"/>
  <c r="AS47" i="24"/>
  <c r="AQ47" i="24" s="1"/>
  <c r="AV47" i="24" s="1"/>
  <c r="AT47" i="24"/>
  <c r="AR47" i="24" s="1"/>
  <c r="AS35" i="24"/>
  <c r="AQ35" i="24" s="1"/>
  <c r="AV35" i="24" s="1"/>
  <c r="AT35" i="24"/>
  <c r="AR35" i="24" s="1"/>
  <c r="AS23" i="24"/>
  <c r="AQ23" i="24" s="1"/>
  <c r="AV23" i="24" s="1"/>
  <c r="AT23" i="24"/>
  <c r="AR23" i="24" s="1"/>
  <c r="AS11" i="24"/>
  <c r="AQ11" i="24" s="1"/>
  <c r="AV11" i="24" s="1"/>
  <c r="AT11" i="24"/>
  <c r="AR11" i="24" s="1"/>
  <c r="AT14" i="24"/>
  <c r="AR14" i="24" s="1"/>
  <c r="AS14" i="24"/>
  <c r="AQ14" i="24" s="1"/>
  <c r="AV14" i="24" s="1"/>
  <c r="AS169" i="24"/>
  <c r="AQ169" i="24" s="1"/>
  <c r="AV169" i="24" s="1"/>
  <c r="AT169" i="24"/>
  <c r="AR169" i="24" s="1"/>
  <c r="AS61" i="24"/>
  <c r="AQ61" i="24" s="1"/>
  <c r="AV61" i="24" s="1"/>
  <c r="AT61" i="24"/>
  <c r="AR61" i="24" s="1"/>
  <c r="AS178" i="24"/>
  <c r="AQ178" i="24" s="1"/>
  <c r="AV178" i="24" s="1"/>
  <c r="AT178" i="24"/>
  <c r="AR178" i="24" s="1"/>
  <c r="AS94" i="24"/>
  <c r="AQ94" i="24" s="1"/>
  <c r="AV94" i="24" s="1"/>
  <c r="AT94" i="24"/>
  <c r="AR94" i="24" s="1"/>
  <c r="AS22" i="24"/>
  <c r="AQ22" i="24" s="1"/>
  <c r="AV22" i="24" s="1"/>
  <c r="AT22" i="24"/>
  <c r="AR22" i="24" s="1"/>
  <c r="AT182" i="24"/>
  <c r="AR182" i="24" s="1"/>
  <c r="AS182" i="24"/>
  <c r="AQ182" i="24" s="1"/>
  <c r="AV182" i="24" s="1"/>
  <c r="AT86" i="24"/>
  <c r="AR86" i="24" s="1"/>
  <c r="AS86" i="24"/>
  <c r="AQ86" i="24" s="1"/>
  <c r="AV86" i="24" s="1"/>
  <c r="AS157" i="24"/>
  <c r="AQ157" i="24" s="1"/>
  <c r="AV157" i="24" s="1"/>
  <c r="AT157" i="24"/>
  <c r="AR157" i="24" s="1"/>
  <c r="AS73" i="24"/>
  <c r="AQ73" i="24" s="1"/>
  <c r="AV73" i="24" s="1"/>
  <c r="AT73" i="24"/>
  <c r="AR73" i="24" s="1"/>
  <c r="AS118" i="24"/>
  <c r="AQ118" i="24" s="1"/>
  <c r="AV118" i="24" s="1"/>
  <c r="AT118" i="24"/>
  <c r="AR118" i="24" s="1"/>
  <c r="AS46" i="24"/>
  <c r="AQ46" i="24" s="1"/>
  <c r="AV46" i="24" s="1"/>
  <c r="AT46" i="24"/>
  <c r="AR46" i="24" s="1"/>
  <c r="AS177" i="24"/>
  <c r="AQ177" i="24" s="1"/>
  <c r="AV177" i="24" s="1"/>
  <c r="AT177" i="24"/>
  <c r="AR177" i="24" s="1"/>
  <c r="AS165" i="24"/>
  <c r="AQ165" i="24" s="1"/>
  <c r="AV165" i="24" s="1"/>
  <c r="AT165" i="24"/>
  <c r="AR165" i="24" s="1"/>
  <c r="AS153" i="24"/>
  <c r="AQ153" i="24" s="1"/>
  <c r="AV153" i="24" s="1"/>
  <c r="AT153" i="24"/>
  <c r="AR153" i="24" s="1"/>
  <c r="AS141" i="24"/>
  <c r="AQ141" i="24" s="1"/>
  <c r="AV141" i="24" s="1"/>
  <c r="AT141" i="24"/>
  <c r="AR141" i="24" s="1"/>
  <c r="AS129" i="24"/>
  <c r="AQ129" i="24" s="1"/>
  <c r="AV129" i="24" s="1"/>
  <c r="AT129" i="24"/>
  <c r="AR129" i="24" s="1"/>
  <c r="AS117" i="24"/>
  <c r="AQ117" i="24" s="1"/>
  <c r="AV117" i="24" s="1"/>
  <c r="AT117" i="24"/>
  <c r="AR117" i="24" s="1"/>
  <c r="AS105" i="24"/>
  <c r="AQ105" i="24" s="1"/>
  <c r="AV105" i="24" s="1"/>
  <c r="AT105" i="24"/>
  <c r="AR105" i="24" s="1"/>
  <c r="AS93" i="24"/>
  <c r="AQ93" i="24" s="1"/>
  <c r="AV93" i="24" s="1"/>
  <c r="AT93" i="24"/>
  <c r="AR93" i="24" s="1"/>
  <c r="AS81" i="24"/>
  <c r="AQ81" i="24" s="1"/>
  <c r="AV81" i="24" s="1"/>
  <c r="AT81" i="24"/>
  <c r="AR81" i="24" s="1"/>
  <c r="AS69" i="24"/>
  <c r="AQ69" i="24" s="1"/>
  <c r="AV69" i="24" s="1"/>
  <c r="AT69" i="24"/>
  <c r="AR69" i="24" s="1"/>
  <c r="AS57" i="24"/>
  <c r="AQ57" i="24" s="1"/>
  <c r="AV57" i="24" s="1"/>
  <c r="AT57" i="24"/>
  <c r="AR57" i="24" s="1"/>
  <c r="AS45" i="24"/>
  <c r="AQ45" i="24" s="1"/>
  <c r="AV45" i="24" s="1"/>
  <c r="AT45" i="24"/>
  <c r="AR45" i="24" s="1"/>
  <c r="AS33" i="24"/>
  <c r="AQ33" i="24" s="1"/>
  <c r="AV33" i="24" s="1"/>
  <c r="AT33" i="24"/>
  <c r="AR33" i="24" s="1"/>
  <c r="AS21" i="24"/>
  <c r="AQ21" i="24" s="1"/>
  <c r="AV21" i="24" s="1"/>
  <c r="AT21" i="24"/>
  <c r="AR21" i="24" s="1"/>
  <c r="AS9" i="24"/>
  <c r="AQ9" i="24" s="1"/>
  <c r="AV9" i="24" s="1"/>
  <c r="AT9" i="24"/>
  <c r="AR9" i="24" s="1"/>
  <c r="AT134" i="24"/>
  <c r="AR134" i="24" s="1"/>
  <c r="AS134" i="24"/>
  <c r="AQ134" i="24" s="1"/>
  <c r="AV134" i="24" s="1"/>
  <c r="AT38" i="24"/>
  <c r="AR38" i="24" s="1"/>
  <c r="AS38" i="24"/>
  <c r="AQ38" i="24" s="1"/>
  <c r="AV38" i="24" s="1"/>
  <c r="AS181" i="24"/>
  <c r="AQ181" i="24" s="1"/>
  <c r="AV181" i="24" s="1"/>
  <c r="AT181" i="24"/>
  <c r="AR181" i="24" s="1"/>
  <c r="AS97" i="24"/>
  <c r="AQ97" i="24" s="1"/>
  <c r="AV97" i="24" s="1"/>
  <c r="AT97" i="24"/>
  <c r="AR97" i="24" s="1"/>
  <c r="AS13" i="24"/>
  <c r="AQ13" i="24" s="1"/>
  <c r="AV13" i="24" s="1"/>
  <c r="AT13" i="24"/>
  <c r="AR13" i="24" s="1"/>
  <c r="AS142" i="24"/>
  <c r="AQ142" i="24" s="1"/>
  <c r="AV142" i="24" s="1"/>
  <c r="AT142" i="24"/>
  <c r="AR142" i="24" s="1"/>
  <c r="AS70" i="24"/>
  <c r="AQ70" i="24" s="1"/>
  <c r="AV70" i="24" s="1"/>
  <c r="AT70" i="24"/>
  <c r="AR70" i="24" s="1"/>
  <c r="AT176" i="24"/>
  <c r="AR176" i="24" s="1"/>
  <c r="AS176" i="24"/>
  <c r="AQ176" i="24" s="1"/>
  <c r="AV176" i="24" s="1"/>
  <c r="AS164" i="24"/>
  <c r="AQ164" i="24" s="1"/>
  <c r="AV164" i="24" s="1"/>
  <c r="AT164" i="24"/>
  <c r="AR164" i="24" s="1"/>
  <c r="AS152" i="24"/>
  <c r="AQ152" i="24" s="1"/>
  <c r="AV152" i="24" s="1"/>
  <c r="AT152" i="24"/>
  <c r="AR152" i="24" s="1"/>
  <c r="AS140" i="24"/>
  <c r="AQ140" i="24" s="1"/>
  <c r="AV140" i="24" s="1"/>
  <c r="AT140" i="24"/>
  <c r="AR140" i="24" s="1"/>
  <c r="AS128" i="24"/>
  <c r="AQ128" i="24" s="1"/>
  <c r="AV128" i="24" s="1"/>
  <c r="AT128" i="24"/>
  <c r="AR128" i="24" s="1"/>
  <c r="AS116" i="24"/>
  <c r="AQ116" i="24" s="1"/>
  <c r="AV116" i="24" s="1"/>
  <c r="AT116" i="24"/>
  <c r="AR116" i="24" s="1"/>
  <c r="AS104" i="24"/>
  <c r="AQ104" i="24" s="1"/>
  <c r="AV104" i="24" s="1"/>
  <c r="AT104" i="24"/>
  <c r="AR104" i="24" s="1"/>
  <c r="AS92" i="24"/>
  <c r="AQ92" i="24" s="1"/>
  <c r="AV92" i="24" s="1"/>
  <c r="AT92" i="24"/>
  <c r="AR92" i="24" s="1"/>
  <c r="AS80" i="24"/>
  <c r="AQ80" i="24" s="1"/>
  <c r="AV80" i="24" s="1"/>
  <c r="AT80" i="24"/>
  <c r="AR80" i="24" s="1"/>
  <c r="AS68" i="24"/>
  <c r="AQ68" i="24" s="1"/>
  <c r="AV68" i="24" s="1"/>
  <c r="AT68" i="24"/>
  <c r="AR68" i="24" s="1"/>
  <c r="AS56" i="24"/>
  <c r="AQ56" i="24" s="1"/>
  <c r="AV56" i="24" s="1"/>
  <c r="AT56" i="24"/>
  <c r="AR56" i="24" s="1"/>
  <c r="AS44" i="24"/>
  <c r="AQ44" i="24" s="1"/>
  <c r="AV44" i="24" s="1"/>
  <c r="AT44" i="24"/>
  <c r="AR44" i="24" s="1"/>
  <c r="AS32" i="24"/>
  <c r="AQ32" i="24" s="1"/>
  <c r="AV32" i="24" s="1"/>
  <c r="AT32" i="24"/>
  <c r="AR32" i="24" s="1"/>
  <c r="AS20" i="24"/>
  <c r="AQ20" i="24" s="1"/>
  <c r="AV20" i="24" s="1"/>
  <c r="AT20" i="24"/>
  <c r="AR20" i="24" s="1"/>
  <c r="AS8" i="24"/>
  <c r="AQ8" i="24" s="1"/>
  <c r="AV8" i="24" s="1"/>
  <c r="AT8" i="24"/>
  <c r="AR8" i="24" s="1"/>
  <c r="AT170" i="24"/>
  <c r="AR170" i="24" s="1"/>
  <c r="AS170" i="24"/>
  <c r="AQ170" i="24" s="1"/>
  <c r="AV170" i="24" s="1"/>
  <c r="AT74" i="24"/>
  <c r="AR74" i="24" s="1"/>
  <c r="AS74" i="24"/>
  <c r="AQ74" i="24" s="1"/>
  <c r="AV74" i="24" s="1"/>
  <c r="AS133" i="24"/>
  <c r="AQ133" i="24" s="1"/>
  <c r="AV133" i="24" s="1"/>
  <c r="AT133" i="24"/>
  <c r="AR133" i="24" s="1"/>
  <c r="AS25" i="24"/>
  <c r="AQ25" i="24" s="1"/>
  <c r="AV25" i="24" s="1"/>
  <c r="AT25" i="24"/>
  <c r="AR25" i="24" s="1"/>
  <c r="AS166" i="24"/>
  <c r="AQ166" i="24" s="1"/>
  <c r="AV166" i="24" s="1"/>
  <c r="AT166" i="24"/>
  <c r="AR166" i="24" s="1"/>
  <c r="AS106" i="24"/>
  <c r="AQ106" i="24" s="1"/>
  <c r="AV106" i="24" s="1"/>
  <c r="AT106" i="24"/>
  <c r="AR106" i="24" s="1"/>
  <c r="AS34" i="24"/>
  <c r="AQ34" i="24" s="1"/>
  <c r="AV34" i="24" s="1"/>
  <c r="AT34" i="24"/>
  <c r="AR34" i="24" s="1"/>
  <c r="AS10" i="24"/>
  <c r="AQ10" i="24" s="1"/>
  <c r="AV10" i="24" s="1"/>
  <c r="AT10" i="24"/>
  <c r="AR10" i="24" s="1"/>
  <c r="AT175" i="24"/>
  <c r="AR175" i="24" s="1"/>
  <c r="AS175" i="24"/>
  <c r="AQ175" i="24" s="1"/>
  <c r="AV175" i="24" s="1"/>
  <c r="AT163" i="24"/>
  <c r="AR163" i="24" s="1"/>
  <c r="AS163" i="24"/>
  <c r="AQ163" i="24" s="1"/>
  <c r="AV163" i="24" s="1"/>
  <c r="AT151" i="24"/>
  <c r="AR151" i="24" s="1"/>
  <c r="AS151" i="24"/>
  <c r="AQ151" i="24" s="1"/>
  <c r="AV151" i="24" s="1"/>
  <c r="AS139" i="24"/>
  <c r="AQ139" i="24" s="1"/>
  <c r="AV139" i="24" s="1"/>
  <c r="AT139" i="24"/>
  <c r="AR139" i="24" s="1"/>
  <c r="AS127" i="24"/>
  <c r="AQ127" i="24" s="1"/>
  <c r="AV127" i="24" s="1"/>
  <c r="AT127" i="24"/>
  <c r="AR127" i="24" s="1"/>
  <c r="AS115" i="24"/>
  <c r="AQ115" i="24" s="1"/>
  <c r="AV115" i="24" s="1"/>
  <c r="AT115" i="24"/>
  <c r="AR115" i="24" s="1"/>
  <c r="AS103" i="24"/>
  <c r="AQ103" i="24" s="1"/>
  <c r="AV103" i="24" s="1"/>
  <c r="AT103" i="24"/>
  <c r="AR103" i="24" s="1"/>
  <c r="AS91" i="24"/>
  <c r="AQ91" i="24" s="1"/>
  <c r="AV91" i="24" s="1"/>
  <c r="AT91" i="24"/>
  <c r="AR91" i="24" s="1"/>
  <c r="AS79" i="24"/>
  <c r="AQ79" i="24" s="1"/>
  <c r="AV79" i="24" s="1"/>
  <c r="AT79" i="24"/>
  <c r="AR79" i="24" s="1"/>
  <c r="AS67" i="24"/>
  <c r="AQ67" i="24" s="1"/>
  <c r="AV67" i="24" s="1"/>
  <c r="AT67" i="24"/>
  <c r="AR67" i="24" s="1"/>
  <c r="AS55" i="24"/>
  <c r="AQ55" i="24" s="1"/>
  <c r="AV55" i="24" s="1"/>
  <c r="AT55" i="24"/>
  <c r="AR55" i="24" s="1"/>
  <c r="AS43" i="24"/>
  <c r="AQ43" i="24" s="1"/>
  <c r="AV43" i="24" s="1"/>
  <c r="AT43" i="24"/>
  <c r="AR43" i="24" s="1"/>
  <c r="AS31" i="24"/>
  <c r="AQ31" i="24" s="1"/>
  <c r="AV31" i="24" s="1"/>
  <c r="AT31" i="24"/>
  <c r="AR31" i="24" s="1"/>
  <c r="AS19" i="24"/>
  <c r="AQ19" i="24" s="1"/>
  <c r="AV19" i="24" s="1"/>
  <c r="AT19" i="24"/>
  <c r="AR19" i="24" s="1"/>
  <c r="AT158" i="24"/>
  <c r="AR158" i="24" s="1"/>
  <c r="AS158" i="24"/>
  <c r="AQ158" i="24" s="1"/>
  <c r="AV158" i="24" s="1"/>
  <c r="AT62" i="24"/>
  <c r="AR62" i="24" s="1"/>
  <c r="AS62" i="24"/>
  <c r="AQ62" i="24" s="1"/>
  <c r="AV62" i="24" s="1"/>
  <c r="AS145" i="24"/>
  <c r="AQ145" i="24" s="1"/>
  <c r="AV145" i="24" s="1"/>
  <c r="AT145" i="24"/>
  <c r="AR145" i="24" s="1"/>
  <c r="AS49" i="24"/>
  <c r="AQ49" i="24" s="1"/>
  <c r="AV49" i="24" s="1"/>
  <c r="AT49" i="24"/>
  <c r="AR49" i="24" s="1"/>
  <c r="AS154" i="24"/>
  <c r="AQ154" i="24" s="1"/>
  <c r="AV154" i="24" s="1"/>
  <c r="AT154" i="24"/>
  <c r="AR154" i="24" s="1"/>
  <c r="AS82" i="24"/>
  <c r="AQ82" i="24" s="1"/>
  <c r="AV82" i="24" s="1"/>
  <c r="AT82" i="24"/>
  <c r="AR82" i="24" s="1"/>
  <c r="AT174" i="24"/>
  <c r="AR174" i="24" s="1"/>
  <c r="AS174" i="24"/>
  <c r="AQ174" i="24" s="1"/>
  <c r="AV174" i="24" s="1"/>
  <c r="AT162" i="24"/>
  <c r="AR162" i="24" s="1"/>
  <c r="AS162" i="24"/>
  <c r="AQ162" i="24" s="1"/>
  <c r="AV162" i="24" s="1"/>
  <c r="AT150" i="24"/>
  <c r="AR150" i="24" s="1"/>
  <c r="AS150" i="24"/>
  <c r="AQ150" i="24" s="1"/>
  <c r="AV150" i="24" s="1"/>
  <c r="AT138" i="24"/>
  <c r="AR138" i="24" s="1"/>
  <c r="AS138" i="24"/>
  <c r="AQ138" i="24" s="1"/>
  <c r="AV138" i="24" s="1"/>
  <c r="AS126" i="24"/>
  <c r="AQ126" i="24" s="1"/>
  <c r="AV126" i="24" s="1"/>
  <c r="AT126" i="24"/>
  <c r="AR126" i="24" s="1"/>
  <c r="AS114" i="24"/>
  <c r="AQ114" i="24" s="1"/>
  <c r="AV114" i="24" s="1"/>
  <c r="AT114" i="24"/>
  <c r="AR114" i="24" s="1"/>
  <c r="AS102" i="24"/>
  <c r="AQ102" i="24" s="1"/>
  <c r="AV102" i="24" s="1"/>
  <c r="AT102" i="24"/>
  <c r="AR102" i="24" s="1"/>
  <c r="AS90" i="24"/>
  <c r="AQ90" i="24" s="1"/>
  <c r="AV90" i="24" s="1"/>
  <c r="AT90" i="24"/>
  <c r="AR90" i="24" s="1"/>
  <c r="AS78" i="24"/>
  <c r="AQ78" i="24" s="1"/>
  <c r="AV78" i="24" s="1"/>
  <c r="AT78" i="24"/>
  <c r="AR78" i="24" s="1"/>
  <c r="AS66" i="24"/>
  <c r="AQ66" i="24" s="1"/>
  <c r="AV66" i="24" s="1"/>
  <c r="AT66" i="24"/>
  <c r="AR66" i="24" s="1"/>
  <c r="AS54" i="24"/>
  <c r="AQ54" i="24" s="1"/>
  <c r="AV54" i="24" s="1"/>
  <c r="AT54" i="24"/>
  <c r="AR54" i="24" s="1"/>
  <c r="AS42" i="24"/>
  <c r="AQ42" i="24" s="1"/>
  <c r="AV42" i="24" s="1"/>
  <c r="AT42" i="24"/>
  <c r="AR42" i="24" s="1"/>
  <c r="AS30" i="24"/>
  <c r="AQ30" i="24" s="1"/>
  <c r="AV30" i="24" s="1"/>
  <c r="AT30" i="24"/>
  <c r="AR30" i="24" s="1"/>
  <c r="AS18" i="24"/>
  <c r="AQ18" i="24" s="1"/>
  <c r="AV18" i="24" s="1"/>
  <c r="AT18" i="24"/>
  <c r="AR18" i="24" s="1"/>
  <c r="AT122" i="24"/>
  <c r="AR122" i="24" s="1"/>
  <c r="AS122" i="24"/>
  <c r="AQ122" i="24" s="1"/>
  <c r="AV122" i="24" s="1"/>
  <c r="AT26" i="24"/>
  <c r="AR26" i="24" s="1"/>
  <c r="AS26" i="24"/>
  <c r="AQ26" i="24" s="1"/>
  <c r="AV26" i="24" s="1"/>
  <c r="AS121" i="24"/>
  <c r="AQ121" i="24" s="1"/>
  <c r="AV121" i="24" s="1"/>
  <c r="AT121" i="24"/>
  <c r="AR121" i="24" s="1"/>
  <c r="AS37" i="24"/>
  <c r="AQ37" i="24" s="1"/>
  <c r="AV37" i="24" s="1"/>
  <c r="AT37" i="24"/>
  <c r="AR37" i="24" s="1"/>
  <c r="AS130" i="24"/>
  <c r="AQ130" i="24" s="1"/>
  <c r="AV130" i="24" s="1"/>
  <c r="AT130" i="24"/>
  <c r="AR130" i="24" s="1"/>
  <c r="AS58" i="24"/>
  <c r="AQ58" i="24" s="1"/>
  <c r="AV58" i="24" s="1"/>
  <c r="AT58" i="24"/>
  <c r="AR58" i="24" s="1"/>
  <c r="AS173" i="24"/>
  <c r="AQ173" i="24" s="1"/>
  <c r="AV173" i="24" s="1"/>
  <c r="AT173" i="24"/>
  <c r="AR173" i="24" s="1"/>
  <c r="AS161" i="24"/>
  <c r="AQ161" i="24" s="1"/>
  <c r="AV161" i="24" s="1"/>
  <c r="AT161" i="24"/>
  <c r="AR161" i="24" s="1"/>
  <c r="AS149" i="24"/>
  <c r="AQ149" i="24" s="1"/>
  <c r="AV149" i="24" s="1"/>
  <c r="AT149" i="24"/>
  <c r="AR149" i="24" s="1"/>
  <c r="AS137" i="24"/>
  <c r="AQ137" i="24" s="1"/>
  <c r="AV137" i="24" s="1"/>
  <c r="AT137" i="24"/>
  <c r="AR137" i="24" s="1"/>
  <c r="AS125" i="24"/>
  <c r="AQ125" i="24" s="1"/>
  <c r="AV125" i="24" s="1"/>
  <c r="AT125" i="24"/>
  <c r="AR125" i="24" s="1"/>
  <c r="AS113" i="24"/>
  <c r="AQ113" i="24" s="1"/>
  <c r="AV113" i="24" s="1"/>
  <c r="AT113" i="24"/>
  <c r="AR113" i="24" s="1"/>
  <c r="AS101" i="24"/>
  <c r="AQ101" i="24" s="1"/>
  <c r="AV101" i="24" s="1"/>
  <c r="AT101" i="24"/>
  <c r="AR101" i="24" s="1"/>
  <c r="AS89" i="24"/>
  <c r="AQ89" i="24" s="1"/>
  <c r="AV89" i="24" s="1"/>
  <c r="AT89" i="24"/>
  <c r="AR89" i="24" s="1"/>
  <c r="AS77" i="24"/>
  <c r="AQ77" i="24" s="1"/>
  <c r="AV77" i="24" s="1"/>
  <c r="AT77" i="24"/>
  <c r="AR77" i="24" s="1"/>
  <c r="AS65" i="24"/>
  <c r="AQ65" i="24" s="1"/>
  <c r="AV65" i="24" s="1"/>
  <c r="AT65" i="24"/>
  <c r="AR65" i="24" s="1"/>
  <c r="AS53" i="24"/>
  <c r="AQ53" i="24" s="1"/>
  <c r="AV53" i="24" s="1"/>
  <c r="AT53" i="24"/>
  <c r="AR53" i="24" s="1"/>
  <c r="AS41" i="24"/>
  <c r="AQ41" i="24" s="1"/>
  <c r="AV41" i="24" s="1"/>
  <c r="AT41" i="24"/>
  <c r="AR41" i="24" s="1"/>
  <c r="AS29" i="24"/>
  <c r="AQ29" i="24" s="1"/>
  <c r="AV29" i="24" s="1"/>
  <c r="AT29" i="24"/>
  <c r="AR29" i="24" s="1"/>
  <c r="AS17" i="24"/>
  <c r="AQ17" i="24" s="1"/>
  <c r="AV17" i="24" s="1"/>
  <c r="AT17" i="24"/>
  <c r="AR17" i="24" s="1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236" i="23"/>
  <c r="O237" i="23"/>
  <c r="O238" i="23"/>
  <c r="O239" i="23"/>
  <c r="O240" i="23"/>
  <c r="O241" i="23"/>
  <c r="O242" i="23"/>
  <c r="O243" i="23"/>
  <c r="O244" i="23"/>
  <c r="O245" i="23"/>
  <c r="O246" i="23"/>
  <c r="O247" i="23"/>
  <c r="O248" i="23"/>
  <c r="O249" i="23"/>
  <c r="O250" i="23"/>
  <c r="O251" i="23"/>
  <c r="O252" i="23"/>
  <c r="O253" i="23"/>
  <c r="O254" i="23"/>
  <c r="O255" i="23"/>
  <c r="O256" i="23"/>
  <c r="O257" i="23"/>
  <c r="O258" i="23"/>
  <c r="O259" i="23"/>
  <c r="O260" i="23"/>
  <c r="O261" i="23"/>
  <c r="O262" i="23"/>
  <c r="O263" i="23"/>
  <c r="O264" i="23"/>
  <c r="O265" i="23"/>
  <c r="O266" i="23"/>
  <c r="O267" i="23"/>
  <c r="O268" i="23"/>
  <c r="O269" i="23"/>
  <c r="O270" i="23"/>
  <c r="O271" i="23"/>
  <c r="O272" i="23"/>
  <c r="O273" i="23"/>
  <c r="O274" i="23"/>
  <c r="O275" i="23"/>
  <c r="O276" i="23"/>
  <c r="O277" i="23"/>
  <c r="O278" i="23"/>
  <c r="O279" i="23"/>
  <c r="O280" i="23"/>
  <c r="O281" i="23"/>
  <c r="G19" i="24"/>
  <c r="D61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29" i="24"/>
  <c r="G8" i="24"/>
  <c r="G9" i="24"/>
  <c r="G10" i="24"/>
  <c r="G11" i="24"/>
  <c r="G12" i="24"/>
  <c r="G13" i="24"/>
  <c r="G14" i="24"/>
  <c r="G15" i="24"/>
  <c r="G16" i="24"/>
  <c r="G17" i="24"/>
  <c r="AJ8" i="24"/>
  <c r="AJ9" i="24"/>
  <c r="AJ10" i="24"/>
  <c r="AJ11" i="24"/>
  <c r="AJ12" i="24"/>
  <c r="AJ13" i="24"/>
  <c r="AJ14" i="24"/>
  <c r="AJ15" i="24"/>
  <c r="AJ16" i="24"/>
  <c r="AJ17" i="24"/>
  <c r="BE8" i="24"/>
  <c r="BE9" i="24"/>
  <c r="BE10" i="24"/>
  <c r="BE11" i="24"/>
  <c r="BE12" i="24"/>
  <c r="BE13" i="24"/>
  <c r="BE14" i="24"/>
  <c r="BE15" i="24"/>
  <c r="BE16" i="24"/>
  <c r="BE17" i="24"/>
  <c r="AJ18" i="24"/>
  <c r="BE18" i="24"/>
  <c r="G20" i="24"/>
  <c r="G21" i="24"/>
  <c r="G22" i="24"/>
  <c r="G23" i="24"/>
  <c r="G24" i="24"/>
  <c r="G25" i="24"/>
  <c r="G26" i="24"/>
  <c r="G27" i="24"/>
  <c r="AJ19" i="24"/>
  <c r="AJ20" i="24"/>
  <c r="AJ21" i="24"/>
  <c r="AJ22" i="24"/>
  <c r="AJ23" i="24"/>
  <c r="AJ24" i="24"/>
  <c r="AJ25" i="24"/>
  <c r="AJ26" i="24"/>
  <c r="AJ27" i="24"/>
  <c r="AJ28" i="24"/>
  <c r="AJ29" i="24"/>
  <c r="AJ30" i="24"/>
  <c r="AJ31" i="24"/>
  <c r="AJ32" i="24"/>
  <c r="AJ33" i="24"/>
  <c r="AJ34" i="24"/>
  <c r="AJ35" i="24"/>
  <c r="AJ36" i="24"/>
  <c r="AJ37" i="24"/>
  <c r="AJ38" i="24"/>
  <c r="AJ39" i="24"/>
  <c r="BE19" i="24"/>
  <c r="BE20" i="24"/>
  <c r="BE21" i="24"/>
  <c r="BE22" i="24"/>
  <c r="BE23" i="24"/>
  <c r="BE24" i="24"/>
  <c r="BE25" i="24"/>
  <c r="BE26" i="24"/>
  <c r="BE27" i="24"/>
  <c r="BE28" i="24"/>
  <c r="BE29" i="24"/>
  <c r="BE30" i="24"/>
  <c r="BE31" i="24"/>
  <c r="BE32" i="24"/>
  <c r="BE33" i="24"/>
  <c r="BE34" i="24"/>
  <c r="BE35" i="24"/>
  <c r="BE36" i="24"/>
  <c r="BE37" i="24"/>
  <c r="BE38" i="24"/>
  <c r="BE39" i="24"/>
  <c r="AJ40" i="24"/>
  <c r="AJ41" i="24"/>
  <c r="AJ42" i="24"/>
  <c r="AJ43" i="24"/>
  <c r="AJ44" i="24"/>
  <c r="AJ45" i="24"/>
  <c r="AJ46" i="24"/>
  <c r="AJ47" i="24"/>
  <c r="AJ48" i="24"/>
  <c r="AJ49" i="24"/>
  <c r="AJ50" i="24"/>
  <c r="AJ51" i="24"/>
  <c r="AJ52" i="24"/>
  <c r="AJ53" i="24"/>
  <c r="AJ54" i="24"/>
  <c r="AJ55" i="24"/>
  <c r="AJ56" i="24"/>
  <c r="AJ57" i="24"/>
  <c r="AJ58" i="24"/>
  <c r="AJ59" i="24"/>
  <c r="BE40" i="24"/>
  <c r="BE41" i="24"/>
  <c r="BE42" i="24"/>
  <c r="BE43" i="24"/>
  <c r="BE44" i="24"/>
  <c r="BE45" i="24"/>
  <c r="BE46" i="24"/>
  <c r="BE47" i="24"/>
  <c r="BE48" i="24"/>
  <c r="BE49" i="24"/>
  <c r="BE50" i="24"/>
  <c r="BE51" i="24"/>
  <c r="BE52" i="24"/>
  <c r="BE53" i="24"/>
  <c r="BE54" i="24"/>
  <c r="BE55" i="24"/>
  <c r="BE56" i="24"/>
  <c r="BE57" i="24"/>
  <c r="BE58" i="24"/>
  <c r="BE59" i="24"/>
  <c r="AJ60" i="24"/>
  <c r="BE60" i="24"/>
  <c r="AJ61" i="24"/>
  <c r="BE61" i="24"/>
  <c r="F280" i="23"/>
  <c r="N280" i="23"/>
  <c r="X280" i="23"/>
  <c r="Y280" i="23"/>
  <c r="F281" i="23"/>
  <c r="N281" i="23"/>
  <c r="X281" i="23"/>
  <c r="Y281" i="23"/>
  <c r="F247" i="23"/>
  <c r="N247" i="23"/>
  <c r="X247" i="23"/>
  <c r="Y247" i="23"/>
  <c r="F248" i="23"/>
  <c r="N248" i="23"/>
  <c r="X248" i="23"/>
  <c r="Y248" i="23"/>
  <c r="F249" i="23"/>
  <c r="N249" i="23"/>
  <c r="X249" i="23"/>
  <c r="Y249" i="23"/>
  <c r="F250" i="23"/>
  <c r="N250" i="23"/>
  <c r="X250" i="23"/>
  <c r="Y250" i="23"/>
  <c r="F251" i="23"/>
  <c r="N251" i="23"/>
  <c r="X251" i="23"/>
  <c r="Y251" i="23"/>
  <c r="F252" i="23"/>
  <c r="N252" i="23"/>
  <c r="X252" i="23"/>
  <c r="Y252" i="23"/>
  <c r="F253" i="23"/>
  <c r="N253" i="23"/>
  <c r="X253" i="23"/>
  <c r="Y253" i="23"/>
  <c r="F254" i="23"/>
  <c r="N254" i="23"/>
  <c r="X254" i="23"/>
  <c r="Y254" i="23"/>
  <c r="F255" i="23"/>
  <c r="N255" i="23"/>
  <c r="X255" i="23"/>
  <c r="Y255" i="23"/>
  <c r="F256" i="23"/>
  <c r="N256" i="23"/>
  <c r="X256" i="23"/>
  <c r="Y256" i="23"/>
  <c r="F257" i="23"/>
  <c r="N257" i="23"/>
  <c r="X257" i="23"/>
  <c r="Y257" i="23"/>
  <c r="F258" i="23"/>
  <c r="N258" i="23"/>
  <c r="X258" i="23"/>
  <c r="Y258" i="23"/>
  <c r="F259" i="23"/>
  <c r="N259" i="23"/>
  <c r="X259" i="23"/>
  <c r="Y259" i="23"/>
  <c r="F260" i="23"/>
  <c r="N260" i="23"/>
  <c r="X260" i="23"/>
  <c r="Y260" i="23"/>
  <c r="F261" i="23"/>
  <c r="N261" i="23"/>
  <c r="X261" i="23"/>
  <c r="Y261" i="23"/>
  <c r="F262" i="23"/>
  <c r="N262" i="23"/>
  <c r="X262" i="23"/>
  <c r="Y262" i="23"/>
  <c r="F263" i="23"/>
  <c r="N263" i="23"/>
  <c r="X263" i="23"/>
  <c r="Y263" i="23"/>
  <c r="F264" i="23"/>
  <c r="N264" i="23"/>
  <c r="X264" i="23"/>
  <c r="Y264" i="23"/>
  <c r="F265" i="23"/>
  <c r="N265" i="23"/>
  <c r="X265" i="23"/>
  <c r="Y265" i="23"/>
  <c r="F266" i="23"/>
  <c r="N266" i="23"/>
  <c r="X266" i="23"/>
  <c r="Y266" i="23"/>
  <c r="F267" i="23"/>
  <c r="N267" i="23"/>
  <c r="X267" i="23"/>
  <c r="Y267" i="23"/>
  <c r="F268" i="23"/>
  <c r="N268" i="23"/>
  <c r="X268" i="23"/>
  <c r="Y268" i="23"/>
  <c r="F269" i="23"/>
  <c r="N269" i="23"/>
  <c r="X269" i="23"/>
  <c r="Y269" i="23"/>
  <c r="F270" i="23"/>
  <c r="N270" i="23"/>
  <c r="X270" i="23"/>
  <c r="Y270" i="23"/>
  <c r="F271" i="23"/>
  <c r="N271" i="23"/>
  <c r="X271" i="23"/>
  <c r="Y271" i="23"/>
  <c r="F272" i="23"/>
  <c r="N272" i="23"/>
  <c r="X272" i="23"/>
  <c r="Y272" i="23"/>
  <c r="F273" i="23"/>
  <c r="N273" i="23"/>
  <c r="X273" i="23"/>
  <c r="Y273" i="23"/>
  <c r="F274" i="23"/>
  <c r="N274" i="23"/>
  <c r="X274" i="23"/>
  <c r="Y274" i="23"/>
  <c r="F275" i="23"/>
  <c r="N275" i="23"/>
  <c r="X275" i="23"/>
  <c r="Y275" i="23"/>
  <c r="F276" i="23"/>
  <c r="N276" i="23"/>
  <c r="X276" i="23"/>
  <c r="Y276" i="23"/>
  <c r="F277" i="23"/>
  <c r="N277" i="23"/>
  <c r="X277" i="23"/>
  <c r="Y277" i="23"/>
  <c r="F278" i="23"/>
  <c r="N278" i="23"/>
  <c r="X278" i="23"/>
  <c r="Y278" i="23"/>
  <c r="F279" i="23"/>
  <c r="N279" i="23"/>
  <c r="X279" i="23"/>
  <c r="Y279" i="23"/>
  <c r="F222" i="23"/>
  <c r="N222" i="23"/>
  <c r="X222" i="23"/>
  <c r="Y222" i="23"/>
  <c r="F223" i="23"/>
  <c r="N223" i="23"/>
  <c r="X223" i="23"/>
  <c r="Y223" i="23"/>
  <c r="F224" i="23"/>
  <c r="N224" i="23"/>
  <c r="X224" i="23"/>
  <c r="Y224" i="23"/>
  <c r="F225" i="23"/>
  <c r="N225" i="23"/>
  <c r="X225" i="23"/>
  <c r="Y225" i="23"/>
  <c r="F226" i="23"/>
  <c r="N226" i="23"/>
  <c r="X226" i="23"/>
  <c r="Y226" i="23"/>
  <c r="F227" i="23"/>
  <c r="N227" i="23"/>
  <c r="X227" i="23"/>
  <c r="Y227" i="23"/>
  <c r="F228" i="23"/>
  <c r="N228" i="23"/>
  <c r="X228" i="23"/>
  <c r="Y228" i="23"/>
  <c r="F229" i="23"/>
  <c r="N229" i="23"/>
  <c r="X229" i="23"/>
  <c r="Y229" i="23"/>
  <c r="F230" i="23"/>
  <c r="N230" i="23"/>
  <c r="X230" i="23"/>
  <c r="Y230" i="23"/>
  <c r="F231" i="23"/>
  <c r="N231" i="23"/>
  <c r="X231" i="23"/>
  <c r="Y231" i="23"/>
  <c r="F232" i="23"/>
  <c r="N232" i="23"/>
  <c r="X232" i="23"/>
  <c r="Y232" i="23"/>
  <c r="F233" i="23"/>
  <c r="N233" i="23"/>
  <c r="X233" i="23"/>
  <c r="Y233" i="23"/>
  <c r="F234" i="23"/>
  <c r="N234" i="23"/>
  <c r="X234" i="23"/>
  <c r="Y234" i="23"/>
  <c r="F235" i="23"/>
  <c r="N235" i="23"/>
  <c r="X235" i="23"/>
  <c r="Y235" i="23"/>
  <c r="F236" i="23"/>
  <c r="N236" i="23"/>
  <c r="X236" i="23"/>
  <c r="Y236" i="23"/>
  <c r="F237" i="23"/>
  <c r="N237" i="23"/>
  <c r="X237" i="23"/>
  <c r="Y237" i="23"/>
  <c r="F238" i="23"/>
  <c r="N238" i="23"/>
  <c r="X238" i="23"/>
  <c r="Y238" i="23"/>
  <c r="F239" i="23"/>
  <c r="N239" i="23"/>
  <c r="X239" i="23"/>
  <c r="Y239" i="23"/>
  <c r="F240" i="23"/>
  <c r="N240" i="23"/>
  <c r="X240" i="23"/>
  <c r="Y240" i="23"/>
  <c r="F241" i="23"/>
  <c r="N241" i="23"/>
  <c r="X241" i="23"/>
  <c r="Y241" i="23"/>
  <c r="F242" i="23"/>
  <c r="N242" i="23"/>
  <c r="X242" i="23"/>
  <c r="Y242" i="23"/>
  <c r="F243" i="23"/>
  <c r="N243" i="23"/>
  <c r="X243" i="23"/>
  <c r="Y243" i="23"/>
  <c r="F244" i="23"/>
  <c r="N244" i="23"/>
  <c r="X244" i="23"/>
  <c r="Y244" i="23"/>
  <c r="F245" i="23"/>
  <c r="N245" i="23"/>
  <c r="X245" i="23"/>
  <c r="Y245" i="23"/>
  <c r="F246" i="23"/>
  <c r="N246" i="23"/>
  <c r="X246" i="23"/>
  <c r="Y246" i="23"/>
  <c r="F185" i="23"/>
  <c r="N185" i="23"/>
  <c r="X185" i="23"/>
  <c r="Y185" i="23"/>
  <c r="F186" i="23"/>
  <c r="N186" i="23"/>
  <c r="X186" i="23"/>
  <c r="Y186" i="23"/>
  <c r="F187" i="23"/>
  <c r="N187" i="23"/>
  <c r="X187" i="23"/>
  <c r="Y187" i="23"/>
  <c r="F188" i="23"/>
  <c r="N188" i="23"/>
  <c r="X188" i="23"/>
  <c r="Y188" i="23"/>
  <c r="F189" i="23"/>
  <c r="N189" i="23"/>
  <c r="X189" i="23"/>
  <c r="Y189" i="23"/>
  <c r="F190" i="23"/>
  <c r="N190" i="23"/>
  <c r="X190" i="23"/>
  <c r="Y190" i="23"/>
  <c r="F191" i="23"/>
  <c r="N191" i="23"/>
  <c r="X191" i="23"/>
  <c r="Y191" i="23"/>
  <c r="F192" i="23"/>
  <c r="N192" i="23"/>
  <c r="X192" i="23"/>
  <c r="Y192" i="23"/>
  <c r="F193" i="23"/>
  <c r="N193" i="23"/>
  <c r="X193" i="23"/>
  <c r="Y193" i="23"/>
  <c r="F194" i="23"/>
  <c r="N194" i="23"/>
  <c r="X194" i="23"/>
  <c r="Y194" i="23"/>
  <c r="F195" i="23"/>
  <c r="N195" i="23"/>
  <c r="X195" i="23"/>
  <c r="Y195" i="23"/>
  <c r="F196" i="23"/>
  <c r="N196" i="23"/>
  <c r="X196" i="23"/>
  <c r="Y196" i="23"/>
  <c r="F197" i="23"/>
  <c r="N197" i="23"/>
  <c r="X197" i="23"/>
  <c r="Y197" i="23"/>
  <c r="F198" i="23"/>
  <c r="N198" i="23"/>
  <c r="X198" i="23"/>
  <c r="Y198" i="23"/>
  <c r="F199" i="23"/>
  <c r="N199" i="23"/>
  <c r="X199" i="23"/>
  <c r="Y199" i="23"/>
  <c r="F200" i="23"/>
  <c r="N200" i="23"/>
  <c r="X200" i="23"/>
  <c r="Y200" i="23"/>
  <c r="F201" i="23"/>
  <c r="N201" i="23"/>
  <c r="X201" i="23"/>
  <c r="Y201" i="23"/>
  <c r="F202" i="23"/>
  <c r="N202" i="23"/>
  <c r="X202" i="23"/>
  <c r="Y202" i="23"/>
  <c r="F203" i="23"/>
  <c r="N203" i="23"/>
  <c r="X203" i="23"/>
  <c r="Y203" i="23"/>
  <c r="F204" i="23"/>
  <c r="N204" i="23"/>
  <c r="X204" i="23"/>
  <c r="Y204" i="23"/>
  <c r="F205" i="23"/>
  <c r="N205" i="23"/>
  <c r="X205" i="23"/>
  <c r="Y205" i="23"/>
  <c r="F206" i="23"/>
  <c r="N206" i="23"/>
  <c r="X206" i="23"/>
  <c r="Y206" i="23"/>
  <c r="F207" i="23"/>
  <c r="N207" i="23"/>
  <c r="X207" i="23"/>
  <c r="Y207" i="23"/>
  <c r="F208" i="23"/>
  <c r="N208" i="23"/>
  <c r="X208" i="23"/>
  <c r="Y208" i="23"/>
  <c r="F209" i="23"/>
  <c r="N209" i="23"/>
  <c r="X209" i="23"/>
  <c r="Y209" i="23"/>
  <c r="F210" i="23"/>
  <c r="N210" i="23"/>
  <c r="X210" i="23"/>
  <c r="Y210" i="23"/>
  <c r="F211" i="23"/>
  <c r="N211" i="23"/>
  <c r="X211" i="23"/>
  <c r="Y211" i="23"/>
  <c r="F212" i="23"/>
  <c r="N212" i="23"/>
  <c r="X212" i="23"/>
  <c r="Y212" i="23"/>
  <c r="F213" i="23"/>
  <c r="N213" i="23"/>
  <c r="X213" i="23"/>
  <c r="Y213" i="23"/>
  <c r="F214" i="23"/>
  <c r="N214" i="23"/>
  <c r="X214" i="23"/>
  <c r="Y214" i="23"/>
  <c r="F215" i="23"/>
  <c r="N215" i="23"/>
  <c r="X215" i="23"/>
  <c r="Y215" i="23"/>
  <c r="F216" i="23"/>
  <c r="N216" i="23"/>
  <c r="X216" i="23"/>
  <c r="Y216" i="23"/>
  <c r="F217" i="23"/>
  <c r="N217" i="23"/>
  <c r="X217" i="23"/>
  <c r="Y217" i="23"/>
  <c r="F218" i="23"/>
  <c r="N218" i="23"/>
  <c r="X218" i="23"/>
  <c r="Y218" i="23"/>
  <c r="F219" i="23"/>
  <c r="N219" i="23"/>
  <c r="X219" i="23"/>
  <c r="Y219" i="23"/>
  <c r="F220" i="23"/>
  <c r="N220" i="23"/>
  <c r="X220" i="23"/>
  <c r="Y220" i="23"/>
  <c r="F221" i="23"/>
  <c r="N221" i="23"/>
  <c r="X221" i="23"/>
  <c r="Y221" i="23"/>
  <c r="X15" i="23"/>
  <c r="X19" i="23"/>
  <c r="X27" i="23"/>
  <c r="X31" i="23"/>
  <c r="X43" i="23"/>
  <c r="X44" i="23"/>
  <c r="X45" i="23"/>
  <c r="X55" i="23"/>
  <c r="X56" i="23"/>
  <c r="X57" i="23"/>
  <c r="N8" i="23"/>
  <c r="N19" i="23"/>
  <c r="N20" i="23"/>
  <c r="N31" i="23"/>
  <c r="N32" i="23"/>
  <c r="N43" i="23"/>
  <c r="N55" i="23"/>
  <c r="AH44" i="23"/>
  <c r="AH31" i="23"/>
  <c r="F17" i="23"/>
  <c r="F19" i="23"/>
  <c r="F29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F8" i="23"/>
  <c r="F9" i="23"/>
  <c r="F10" i="23"/>
  <c r="F11" i="23"/>
  <c r="F12" i="23"/>
  <c r="F13" i="23"/>
  <c r="F14" i="23"/>
  <c r="F15" i="23"/>
  <c r="F16" i="23"/>
  <c r="F18" i="23"/>
  <c r="F20" i="23"/>
  <c r="F21" i="23"/>
  <c r="F22" i="23"/>
  <c r="F23" i="23"/>
  <c r="F24" i="23"/>
  <c r="F25" i="23"/>
  <c r="F26" i="23"/>
  <c r="F27" i="23"/>
  <c r="F28" i="23"/>
  <c r="N9" i="23"/>
  <c r="N10" i="23"/>
  <c r="N11" i="23"/>
  <c r="N12" i="23"/>
  <c r="N13" i="23"/>
  <c r="N14" i="23"/>
  <c r="N15" i="23"/>
  <c r="N16" i="23"/>
  <c r="N17" i="23"/>
  <c r="N18" i="23"/>
  <c r="N21" i="23"/>
  <c r="N22" i="23"/>
  <c r="N23" i="23"/>
  <c r="N24" i="23"/>
  <c r="N25" i="23"/>
  <c r="N26" i="23"/>
  <c r="N27" i="23"/>
  <c r="N28" i="23"/>
  <c r="N29" i="23"/>
  <c r="N30" i="23"/>
  <c r="N33" i="23"/>
  <c r="X8" i="23"/>
  <c r="X9" i="23"/>
  <c r="X10" i="23"/>
  <c r="X11" i="23"/>
  <c r="X12" i="23"/>
  <c r="X13" i="23"/>
  <c r="X14" i="23"/>
  <c r="X16" i="23"/>
  <c r="X17" i="23"/>
  <c r="X18" i="23"/>
  <c r="X20" i="23"/>
  <c r="X21" i="23"/>
  <c r="X22" i="23"/>
  <c r="X23" i="23"/>
  <c r="X24" i="23"/>
  <c r="X25" i="23"/>
  <c r="X26" i="23"/>
  <c r="X28" i="23"/>
  <c r="X29" i="23"/>
  <c r="X30" i="23"/>
  <c r="X32" i="23"/>
  <c r="X33" i="23"/>
  <c r="Y19" i="23"/>
  <c r="N34" i="23"/>
  <c r="N35" i="23"/>
  <c r="N36" i="23"/>
  <c r="N37" i="23"/>
  <c r="N38" i="23"/>
  <c r="N39" i="23"/>
  <c r="N40" i="23"/>
  <c r="N41" i="23"/>
  <c r="N42" i="23"/>
  <c r="N44" i="23"/>
  <c r="N45" i="23"/>
  <c r="N46" i="23"/>
  <c r="N47" i="23"/>
  <c r="N48" i="23"/>
  <c r="N49" i="23"/>
  <c r="N50" i="23"/>
  <c r="N51" i="23"/>
  <c r="N52" i="23"/>
  <c r="N53" i="23"/>
  <c r="N54" i="23"/>
  <c r="N56" i="23"/>
  <c r="N57" i="23"/>
  <c r="N58" i="23"/>
  <c r="N59" i="23"/>
  <c r="N60" i="23"/>
  <c r="N61" i="23"/>
  <c r="X34" i="23"/>
  <c r="X35" i="23"/>
  <c r="X36" i="23"/>
  <c r="X37" i="23"/>
  <c r="X38" i="23"/>
  <c r="X39" i="23"/>
  <c r="X40" i="23"/>
  <c r="X41" i="23"/>
  <c r="X42" i="23"/>
  <c r="X46" i="23"/>
  <c r="X47" i="23"/>
  <c r="X48" i="23"/>
  <c r="X49" i="23"/>
  <c r="X50" i="23"/>
  <c r="X51" i="23"/>
  <c r="X52" i="23"/>
  <c r="X53" i="23"/>
  <c r="X54" i="23"/>
  <c r="X58" i="23"/>
  <c r="X59" i="23"/>
  <c r="X60" i="23"/>
  <c r="X61" i="23"/>
  <c r="T9" i="22"/>
  <c r="BF9" i="24" s="1"/>
  <c r="BJ9" i="24" s="1"/>
  <c r="T10" i="22"/>
  <c r="U10" i="22" s="1"/>
  <c r="T11" i="22"/>
  <c r="BF11" i="24" s="1"/>
  <c r="BJ11" i="24" s="1"/>
  <c r="T12" i="22"/>
  <c r="BF12" i="24" s="1"/>
  <c r="BJ12" i="24" s="1"/>
  <c r="T13" i="22"/>
  <c r="Y13" i="23" s="1"/>
  <c r="T14" i="22"/>
  <c r="BF14" i="24" s="1"/>
  <c r="BJ14" i="24" s="1"/>
  <c r="T15" i="22"/>
  <c r="BF15" i="24" s="1"/>
  <c r="BJ15" i="24" s="1"/>
  <c r="T16" i="22"/>
  <c r="BF16" i="24" s="1"/>
  <c r="BJ16" i="24" s="1"/>
  <c r="T17" i="22"/>
  <c r="U17" i="22" s="1"/>
  <c r="T18" i="22"/>
  <c r="BF18" i="24" s="1"/>
  <c r="BJ18" i="24" s="1"/>
  <c r="T19" i="22"/>
  <c r="BF19" i="24" s="1"/>
  <c r="BJ19" i="24" s="1"/>
  <c r="T20" i="22"/>
  <c r="Y20" i="23" s="1"/>
  <c r="T21" i="22"/>
  <c r="BF21" i="24" s="1"/>
  <c r="BJ21" i="24" s="1"/>
  <c r="T22" i="22"/>
  <c r="T23" i="22"/>
  <c r="BF23" i="24" s="1"/>
  <c r="BJ23" i="24" s="1"/>
  <c r="T24" i="22"/>
  <c r="BF24" i="24" s="1"/>
  <c r="BJ24" i="24" s="1"/>
  <c r="T25" i="22"/>
  <c r="Y25" i="23" s="1"/>
  <c r="T26" i="22"/>
  <c r="BF26" i="24" s="1"/>
  <c r="BJ26" i="24" s="1"/>
  <c r="T27" i="22"/>
  <c r="BF27" i="24" s="1"/>
  <c r="BJ27" i="24" s="1"/>
  <c r="T28" i="22"/>
  <c r="BF28" i="24" s="1"/>
  <c r="BJ28" i="24" s="1"/>
  <c r="T29" i="22"/>
  <c r="U29" i="22" s="1"/>
  <c r="T30" i="22"/>
  <c r="BF30" i="24" s="1"/>
  <c r="BJ30" i="24" s="1"/>
  <c r="T31" i="22"/>
  <c r="BF31" i="24" s="1"/>
  <c r="BJ31" i="24" s="1"/>
  <c r="T32" i="22"/>
  <c r="Y32" i="23" s="1"/>
  <c r="T33" i="22"/>
  <c r="BF33" i="24" s="1"/>
  <c r="BJ33" i="24" s="1"/>
  <c r="T34" i="22"/>
  <c r="BF34" i="24" s="1"/>
  <c r="BJ34" i="24" s="1"/>
  <c r="T35" i="22"/>
  <c r="BF35" i="24" s="1"/>
  <c r="BJ35" i="24" s="1"/>
  <c r="T36" i="22"/>
  <c r="BF36" i="24" s="1"/>
  <c r="BJ36" i="24" s="1"/>
  <c r="T37" i="22"/>
  <c r="T38" i="22"/>
  <c r="BF38" i="24" s="1"/>
  <c r="BJ38" i="24" s="1"/>
  <c r="T39" i="22"/>
  <c r="BF39" i="24" s="1"/>
  <c r="BJ39" i="24" s="1"/>
  <c r="T40" i="22"/>
  <c r="BF40" i="24" s="1"/>
  <c r="BJ40" i="24" s="1"/>
  <c r="T41" i="22"/>
  <c r="BF41" i="24" s="1"/>
  <c r="BJ41" i="24" s="1"/>
  <c r="T42" i="22"/>
  <c r="U42" i="22" s="1"/>
  <c r="T43" i="22"/>
  <c r="BF43" i="24" s="1"/>
  <c r="BJ43" i="24" s="1"/>
  <c r="T44" i="22"/>
  <c r="T45" i="22"/>
  <c r="BF45" i="24" s="1"/>
  <c r="BJ45" i="24" s="1"/>
  <c r="T46" i="22"/>
  <c r="BF46" i="24" s="1"/>
  <c r="BJ46" i="24" s="1"/>
  <c r="T47" i="22"/>
  <c r="BF47" i="24" s="1"/>
  <c r="BJ47" i="24" s="1"/>
  <c r="T48" i="22"/>
  <c r="BF48" i="24" s="1"/>
  <c r="BJ48" i="24" s="1"/>
  <c r="T49" i="22"/>
  <c r="T50" i="22"/>
  <c r="BF50" i="24" s="1"/>
  <c r="BJ50" i="24" s="1"/>
  <c r="T51" i="22"/>
  <c r="BF51" i="24" s="1"/>
  <c r="BJ51" i="24" s="1"/>
  <c r="T52" i="22"/>
  <c r="BF52" i="24" s="1"/>
  <c r="BJ52" i="24" s="1"/>
  <c r="T53" i="22"/>
  <c r="BF53" i="24" s="1"/>
  <c r="BJ53" i="24" s="1"/>
  <c r="T54" i="22"/>
  <c r="U54" i="22" s="1"/>
  <c r="T55" i="22"/>
  <c r="BF55" i="24" s="1"/>
  <c r="BJ55" i="24" s="1"/>
  <c r="T56" i="22"/>
  <c r="Y56" i="23" s="1"/>
  <c r="T57" i="22"/>
  <c r="BF57" i="24" s="1"/>
  <c r="BJ57" i="24" s="1"/>
  <c r="T58" i="22"/>
  <c r="BF58" i="24" s="1"/>
  <c r="BJ58" i="24" s="1"/>
  <c r="T59" i="22"/>
  <c r="BF59" i="24" s="1"/>
  <c r="BJ59" i="24" s="1"/>
  <c r="T60" i="22"/>
  <c r="BF60" i="24" s="1"/>
  <c r="BJ60" i="24" s="1"/>
  <c r="T61" i="22"/>
  <c r="T62" i="22"/>
  <c r="U62" i="22" s="1"/>
  <c r="T63" i="22"/>
  <c r="U63" i="22" s="1"/>
  <c r="T64" i="22"/>
  <c r="U64" i="22" s="1"/>
  <c r="T65" i="22"/>
  <c r="U65" i="22" s="1"/>
  <c r="T66" i="22"/>
  <c r="U66" i="22" s="1"/>
  <c r="T67" i="22"/>
  <c r="U67" i="22" s="1"/>
  <c r="T68" i="22"/>
  <c r="U68" i="22" s="1"/>
  <c r="T69" i="22"/>
  <c r="U69" i="22" s="1"/>
  <c r="T70" i="22"/>
  <c r="U70" i="22" s="1"/>
  <c r="T71" i="22"/>
  <c r="U71" i="22" s="1"/>
  <c r="T72" i="22"/>
  <c r="U72" i="22" s="1"/>
  <c r="T73" i="22"/>
  <c r="U73" i="22" s="1"/>
  <c r="T74" i="22"/>
  <c r="U74" i="22" s="1"/>
  <c r="T75" i="22"/>
  <c r="U75" i="22" s="1"/>
  <c r="T76" i="22"/>
  <c r="U76" i="22" s="1"/>
  <c r="T77" i="22"/>
  <c r="U77" i="22" s="1"/>
  <c r="T78" i="22"/>
  <c r="U78" i="22" s="1"/>
  <c r="T79" i="22"/>
  <c r="U79" i="22" s="1"/>
  <c r="T80" i="22"/>
  <c r="U80" i="22" s="1"/>
  <c r="T81" i="22"/>
  <c r="U81" i="22" s="1"/>
  <c r="T82" i="22"/>
  <c r="U82" i="22" s="1"/>
  <c r="T83" i="22"/>
  <c r="U83" i="22" s="1"/>
  <c r="T84" i="22"/>
  <c r="U84" i="22" s="1"/>
  <c r="T85" i="22"/>
  <c r="U85" i="22" s="1"/>
  <c r="T86" i="22"/>
  <c r="U86" i="22" s="1"/>
  <c r="T87" i="22"/>
  <c r="U87" i="22" s="1"/>
  <c r="T88" i="22"/>
  <c r="U88" i="22" s="1"/>
  <c r="T89" i="22"/>
  <c r="U89" i="22" s="1"/>
  <c r="T90" i="22"/>
  <c r="U90" i="22" s="1"/>
  <c r="T91" i="22"/>
  <c r="U91" i="22" s="1"/>
  <c r="T92" i="22"/>
  <c r="U92" i="22" s="1"/>
  <c r="T93" i="22"/>
  <c r="U93" i="22" s="1"/>
  <c r="T94" i="22"/>
  <c r="U94" i="22" s="1"/>
  <c r="T95" i="22"/>
  <c r="U95" i="22" s="1"/>
  <c r="T96" i="22"/>
  <c r="U96" i="22" s="1"/>
  <c r="T97" i="22"/>
  <c r="U97" i="22" s="1"/>
  <c r="T98" i="22"/>
  <c r="U98" i="22" s="1"/>
  <c r="T99" i="22"/>
  <c r="U99" i="22" s="1"/>
  <c r="T100" i="22"/>
  <c r="U100" i="22" s="1"/>
  <c r="T101" i="22"/>
  <c r="U101" i="22" s="1"/>
  <c r="T102" i="22"/>
  <c r="U102" i="22" s="1"/>
  <c r="T103" i="22"/>
  <c r="U103" i="22" s="1"/>
  <c r="T104" i="22"/>
  <c r="U104" i="22" s="1"/>
  <c r="T105" i="22"/>
  <c r="U105" i="22" s="1"/>
  <c r="T106" i="22"/>
  <c r="U106" i="22" s="1"/>
  <c r="T107" i="22"/>
  <c r="U107" i="22" s="1"/>
  <c r="T108" i="22"/>
  <c r="U108" i="22" s="1"/>
  <c r="T109" i="22"/>
  <c r="U109" i="22" s="1"/>
  <c r="T110" i="22"/>
  <c r="U110" i="22" s="1"/>
  <c r="T111" i="22"/>
  <c r="U111" i="22" s="1"/>
  <c r="T112" i="22"/>
  <c r="U112" i="22" s="1"/>
  <c r="T113" i="22"/>
  <c r="U113" i="22" s="1"/>
  <c r="T114" i="22"/>
  <c r="U114" i="22" s="1"/>
  <c r="T115" i="22"/>
  <c r="U115" i="22" s="1"/>
  <c r="T116" i="22"/>
  <c r="U116" i="22" s="1"/>
  <c r="T117" i="22"/>
  <c r="U117" i="22" s="1"/>
  <c r="T118" i="22"/>
  <c r="U118" i="22" s="1"/>
  <c r="T119" i="22"/>
  <c r="U119" i="22" s="1"/>
  <c r="T120" i="22"/>
  <c r="U120" i="22" s="1"/>
  <c r="T121" i="22"/>
  <c r="U121" i="22" s="1"/>
  <c r="T122" i="22"/>
  <c r="U122" i="22" s="1"/>
  <c r="T123" i="22"/>
  <c r="U123" i="22" s="1"/>
  <c r="T124" i="22"/>
  <c r="U124" i="22" s="1"/>
  <c r="T125" i="22"/>
  <c r="U125" i="22" s="1"/>
  <c r="T126" i="22"/>
  <c r="U126" i="22" s="1"/>
  <c r="T127" i="22"/>
  <c r="U127" i="22" s="1"/>
  <c r="T128" i="22"/>
  <c r="U128" i="22" s="1"/>
  <c r="T129" i="22"/>
  <c r="U129" i="22" s="1"/>
  <c r="T130" i="22"/>
  <c r="U130" i="22" s="1"/>
  <c r="T131" i="22"/>
  <c r="U131" i="22" s="1"/>
  <c r="T132" i="22"/>
  <c r="U132" i="22" s="1"/>
  <c r="T133" i="22"/>
  <c r="U133" i="22" s="1"/>
  <c r="T134" i="22"/>
  <c r="U134" i="22" s="1"/>
  <c r="T135" i="22"/>
  <c r="U135" i="22" s="1"/>
  <c r="T136" i="22"/>
  <c r="U136" i="22" s="1"/>
  <c r="T137" i="22"/>
  <c r="U137" i="22" s="1"/>
  <c r="T138" i="22"/>
  <c r="U138" i="22" s="1"/>
  <c r="T139" i="22"/>
  <c r="U139" i="22" s="1"/>
  <c r="T140" i="22"/>
  <c r="U140" i="22" s="1"/>
  <c r="T141" i="22"/>
  <c r="U141" i="22" s="1"/>
  <c r="T142" i="22"/>
  <c r="U142" i="22" s="1"/>
  <c r="T143" i="22"/>
  <c r="U143" i="22" s="1"/>
  <c r="T144" i="22"/>
  <c r="U144" i="22" s="1"/>
  <c r="T145" i="22"/>
  <c r="U145" i="22" s="1"/>
  <c r="T146" i="22"/>
  <c r="U146" i="22" s="1"/>
  <c r="T147" i="22"/>
  <c r="U147" i="22" s="1"/>
  <c r="T148" i="22"/>
  <c r="U148" i="22" s="1"/>
  <c r="T149" i="22"/>
  <c r="U149" i="22" s="1"/>
  <c r="T150" i="22"/>
  <c r="U150" i="22" s="1"/>
  <c r="T151" i="22"/>
  <c r="U151" i="22" s="1"/>
  <c r="T152" i="22"/>
  <c r="U152" i="22" s="1"/>
  <c r="T153" i="22"/>
  <c r="U153" i="22" s="1"/>
  <c r="T154" i="22"/>
  <c r="U154" i="22" s="1"/>
  <c r="T155" i="22"/>
  <c r="U155" i="22" s="1"/>
  <c r="T156" i="22"/>
  <c r="U156" i="22" s="1"/>
  <c r="T157" i="22"/>
  <c r="U157" i="22" s="1"/>
  <c r="T158" i="22"/>
  <c r="U158" i="22" s="1"/>
  <c r="T159" i="22"/>
  <c r="U159" i="22" s="1"/>
  <c r="T160" i="22"/>
  <c r="U160" i="22" s="1"/>
  <c r="T161" i="22"/>
  <c r="U161" i="22" s="1"/>
  <c r="T162" i="22"/>
  <c r="U162" i="22" s="1"/>
  <c r="T163" i="22"/>
  <c r="U163" i="22" s="1"/>
  <c r="T164" i="22"/>
  <c r="U164" i="22" s="1"/>
  <c r="T165" i="22"/>
  <c r="U165" i="22" s="1"/>
  <c r="T166" i="22"/>
  <c r="U166" i="22" s="1"/>
  <c r="T167" i="22"/>
  <c r="U167" i="22" s="1"/>
  <c r="T168" i="22"/>
  <c r="U168" i="22" s="1"/>
  <c r="T169" i="22"/>
  <c r="U169" i="22" s="1"/>
  <c r="T170" i="22"/>
  <c r="U170" i="22" s="1"/>
  <c r="T171" i="22"/>
  <c r="U171" i="22" s="1"/>
  <c r="T172" i="22"/>
  <c r="U172" i="22" s="1"/>
  <c r="T173" i="22"/>
  <c r="U173" i="22" s="1"/>
  <c r="T174" i="22"/>
  <c r="U174" i="22" s="1"/>
  <c r="T175" i="22"/>
  <c r="U175" i="22" s="1"/>
  <c r="T176" i="22"/>
  <c r="U176" i="22" s="1"/>
  <c r="T177" i="22"/>
  <c r="U177" i="22" s="1"/>
  <c r="T178" i="22"/>
  <c r="U178" i="22" s="1"/>
  <c r="T179" i="22"/>
  <c r="U179" i="22" s="1"/>
  <c r="T180" i="22"/>
  <c r="U180" i="22" s="1"/>
  <c r="T181" i="22"/>
  <c r="U181" i="22" s="1"/>
  <c r="T182" i="22"/>
  <c r="U182" i="22" s="1"/>
  <c r="T183" i="22"/>
  <c r="U183" i="22" s="1"/>
  <c r="T184" i="22"/>
  <c r="U184" i="22" s="1"/>
  <c r="D121" i="24"/>
  <c r="D122" i="24"/>
  <c r="E123" i="24" s="1"/>
  <c r="F124" i="24" s="1"/>
  <c r="M9" i="22"/>
  <c r="M10" i="22"/>
  <c r="M11" i="22"/>
  <c r="AK11" i="24" s="1"/>
  <c r="AL11" i="24" s="1"/>
  <c r="M12" i="22"/>
  <c r="M13" i="22"/>
  <c r="AK13" i="24" s="1"/>
  <c r="AL13" i="24" s="1"/>
  <c r="M14" i="22"/>
  <c r="AK14" i="24" s="1"/>
  <c r="AL14" i="24" s="1"/>
  <c r="M15" i="22"/>
  <c r="AK15" i="24" s="1"/>
  <c r="AL15" i="24" s="1"/>
  <c r="M16" i="22"/>
  <c r="AK16" i="24" s="1"/>
  <c r="AL16" i="24" s="1"/>
  <c r="M17" i="22"/>
  <c r="M18" i="22"/>
  <c r="AK18" i="24" s="1"/>
  <c r="AL18" i="24" s="1"/>
  <c r="M19" i="22"/>
  <c r="AK19" i="24" s="1"/>
  <c r="AL19" i="24" s="1"/>
  <c r="M20" i="22"/>
  <c r="AK20" i="24" s="1"/>
  <c r="AL20" i="24" s="1"/>
  <c r="M21" i="22"/>
  <c r="AK21" i="24" s="1"/>
  <c r="AL21" i="24" s="1"/>
  <c r="M22" i="22"/>
  <c r="M23" i="22"/>
  <c r="AK23" i="24" s="1"/>
  <c r="AL23" i="24" s="1"/>
  <c r="M24" i="22"/>
  <c r="AK24" i="24" s="1"/>
  <c r="AL24" i="24" s="1"/>
  <c r="M25" i="22"/>
  <c r="AK25" i="24" s="1"/>
  <c r="AL25" i="24" s="1"/>
  <c r="M26" i="22"/>
  <c r="AK26" i="24" s="1"/>
  <c r="AL26" i="24" s="1"/>
  <c r="M27" i="22"/>
  <c r="AK27" i="24" s="1"/>
  <c r="AL27" i="24" s="1"/>
  <c r="M28" i="22"/>
  <c r="AK28" i="24" s="1"/>
  <c r="AL28" i="24" s="1"/>
  <c r="M29" i="22"/>
  <c r="M30" i="22"/>
  <c r="AK30" i="24" s="1"/>
  <c r="AL30" i="24" s="1"/>
  <c r="M31" i="22"/>
  <c r="AK31" i="24" s="1"/>
  <c r="AL31" i="24" s="1"/>
  <c r="M32" i="22"/>
  <c r="AK32" i="24" s="1"/>
  <c r="AL32" i="24" s="1"/>
  <c r="M33" i="22"/>
  <c r="AK33" i="24" s="1"/>
  <c r="AL33" i="24" s="1"/>
  <c r="M34" i="22"/>
  <c r="AK34" i="24" s="1"/>
  <c r="AL34" i="24" s="1"/>
  <c r="M35" i="22"/>
  <c r="AK35" i="24" s="1"/>
  <c r="AL35" i="24" s="1"/>
  <c r="M36" i="22"/>
  <c r="AK36" i="24" s="1"/>
  <c r="AL36" i="24" s="1"/>
  <c r="M37" i="22"/>
  <c r="AK37" i="24" s="1"/>
  <c r="AL37" i="24" s="1"/>
  <c r="M38" i="22"/>
  <c r="AK38" i="24" s="1"/>
  <c r="AL38" i="24" s="1"/>
  <c r="M39" i="22"/>
  <c r="M40" i="22"/>
  <c r="AK40" i="24" s="1"/>
  <c r="AL40" i="24" s="1"/>
  <c r="M41" i="22"/>
  <c r="AK41" i="24" s="1"/>
  <c r="M42" i="22"/>
  <c r="AK42" i="24" s="1"/>
  <c r="AL42" i="24" s="1"/>
  <c r="M43" i="22"/>
  <c r="AK43" i="24" s="1"/>
  <c r="AL43" i="24" s="1"/>
  <c r="M44" i="22"/>
  <c r="M45" i="22"/>
  <c r="AK45" i="24" s="1"/>
  <c r="AL45" i="24" s="1"/>
  <c r="M46" i="22"/>
  <c r="AK46" i="24" s="1"/>
  <c r="AL46" i="24" s="1"/>
  <c r="M47" i="22"/>
  <c r="AK47" i="24" s="1"/>
  <c r="AL47" i="24" s="1"/>
  <c r="M48" i="22"/>
  <c r="AK48" i="24" s="1"/>
  <c r="AL48" i="24" s="1"/>
  <c r="M49" i="22"/>
  <c r="AK49" i="24" s="1"/>
  <c r="AL49" i="24" s="1"/>
  <c r="M50" i="22"/>
  <c r="AK50" i="24" s="1"/>
  <c r="AL50" i="24" s="1"/>
  <c r="M51" i="22"/>
  <c r="M52" i="22"/>
  <c r="AK52" i="24" s="1"/>
  <c r="AL52" i="24" s="1"/>
  <c r="M53" i="22"/>
  <c r="AK53" i="24" s="1"/>
  <c r="M54" i="22"/>
  <c r="AK54" i="24" s="1"/>
  <c r="AL54" i="24" s="1"/>
  <c r="M55" i="22"/>
  <c r="AK55" i="24" s="1"/>
  <c r="AL55" i="24" s="1"/>
  <c r="M56" i="22"/>
  <c r="M57" i="22"/>
  <c r="AK57" i="24" s="1"/>
  <c r="AL57" i="24" s="1"/>
  <c r="M58" i="22"/>
  <c r="AK58" i="24" s="1"/>
  <c r="AL58" i="24" s="1"/>
  <c r="M59" i="22"/>
  <c r="AK59" i="24" s="1"/>
  <c r="AL59" i="24" s="1"/>
  <c r="M60" i="22"/>
  <c r="AK60" i="24" s="1"/>
  <c r="AL60" i="24" s="1"/>
  <c r="M61" i="22"/>
  <c r="AK61" i="24" s="1"/>
  <c r="AL61" i="24" s="1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8" i="22"/>
  <c r="AK8" i="24" s="1"/>
  <c r="AL8" i="24" s="1"/>
  <c r="T8" i="22"/>
  <c r="BF8" i="24" s="1"/>
  <c r="BJ8" i="24" s="1"/>
  <c r="AO32" i="22"/>
  <c r="AO31" i="22"/>
  <c r="AO30" i="22"/>
  <c r="AO29" i="22"/>
  <c r="U48" i="22" l="1"/>
  <c r="Y60" i="23"/>
  <c r="Y27" i="23"/>
  <c r="U52" i="22"/>
  <c r="U50" i="22"/>
  <c r="U12" i="22"/>
  <c r="Y24" i="23"/>
  <c r="U46" i="22"/>
  <c r="Y59" i="23"/>
  <c r="Y16" i="23"/>
  <c r="U41" i="22"/>
  <c r="Y15" i="23"/>
  <c r="O26" i="23"/>
  <c r="U40" i="22"/>
  <c r="Y41" i="23"/>
  <c r="O57" i="23"/>
  <c r="U36" i="22"/>
  <c r="Y36" i="23"/>
  <c r="O53" i="23"/>
  <c r="U35" i="22"/>
  <c r="O42" i="23"/>
  <c r="U34" i="22"/>
  <c r="O38" i="23"/>
  <c r="U31" i="22"/>
  <c r="U60" i="22"/>
  <c r="U19" i="22"/>
  <c r="Y31" i="23"/>
  <c r="E58" i="23"/>
  <c r="F58" i="23" s="1"/>
  <c r="E46" i="23"/>
  <c r="F46" i="23" s="1"/>
  <c r="E34" i="23"/>
  <c r="F34" i="23" s="1"/>
  <c r="E53" i="23"/>
  <c r="F53" i="23" s="1"/>
  <c r="E51" i="23"/>
  <c r="F51" i="23" s="1"/>
  <c r="E39" i="23"/>
  <c r="F39" i="23" s="1"/>
  <c r="E61" i="23"/>
  <c r="F61" i="23" s="1"/>
  <c r="E49" i="23"/>
  <c r="F49" i="23" s="1"/>
  <c r="BF29" i="24"/>
  <c r="BJ29" i="24" s="1"/>
  <c r="Y29" i="23"/>
  <c r="BF17" i="24"/>
  <c r="BJ17" i="24" s="1"/>
  <c r="Y17" i="23"/>
  <c r="U59" i="22"/>
  <c r="U45" i="22"/>
  <c r="U30" i="22"/>
  <c r="U16" i="22"/>
  <c r="Y55" i="23"/>
  <c r="Y40" i="23"/>
  <c r="O52" i="23"/>
  <c r="O37" i="23"/>
  <c r="Y26" i="23"/>
  <c r="Y12" i="23"/>
  <c r="O21" i="23"/>
  <c r="U58" i="22"/>
  <c r="U43" i="22"/>
  <c r="U15" i="22"/>
  <c r="Y53" i="23"/>
  <c r="Y39" i="23"/>
  <c r="O50" i="23"/>
  <c r="O36" i="23"/>
  <c r="Y11" i="23"/>
  <c r="O20" i="23"/>
  <c r="AK29" i="24"/>
  <c r="AL29" i="24" s="1"/>
  <c r="O29" i="23"/>
  <c r="O17" i="23"/>
  <c r="AK17" i="24"/>
  <c r="AO17" i="24" s="1"/>
  <c r="U57" i="22"/>
  <c r="U28" i="22"/>
  <c r="U14" i="22"/>
  <c r="Y52" i="23"/>
  <c r="Y38" i="23"/>
  <c r="O49" i="23"/>
  <c r="O35" i="23"/>
  <c r="Y9" i="23"/>
  <c r="O33" i="23"/>
  <c r="O19" i="23"/>
  <c r="AK44" i="24"/>
  <c r="AL44" i="24" s="1"/>
  <c r="O44" i="23"/>
  <c r="BF42" i="24"/>
  <c r="BJ42" i="24" s="1"/>
  <c r="Y42" i="23"/>
  <c r="U55" i="22"/>
  <c r="U27" i="22"/>
  <c r="Y51" i="23"/>
  <c r="O48" i="23"/>
  <c r="O34" i="23"/>
  <c r="Y23" i="23"/>
  <c r="Y8" i="23"/>
  <c r="O32" i="23"/>
  <c r="O18" i="23"/>
  <c r="BF61" i="24"/>
  <c r="BJ61" i="24" s="1"/>
  <c r="Y61" i="23"/>
  <c r="U61" i="22"/>
  <c r="BF49" i="24"/>
  <c r="BJ49" i="24" s="1"/>
  <c r="Y49" i="23"/>
  <c r="U49" i="22"/>
  <c r="BF37" i="24"/>
  <c r="BJ37" i="24" s="1"/>
  <c r="Y37" i="23"/>
  <c r="U37" i="22"/>
  <c r="BF25" i="24"/>
  <c r="BJ25" i="24" s="1"/>
  <c r="U25" i="22"/>
  <c r="BF13" i="24"/>
  <c r="BJ13" i="24" s="1"/>
  <c r="U13" i="22"/>
  <c r="U26" i="22"/>
  <c r="U11" i="22"/>
  <c r="Y50" i="23"/>
  <c r="Y35" i="23"/>
  <c r="O61" i="23"/>
  <c r="O47" i="23"/>
  <c r="Y21" i="23"/>
  <c r="O31" i="23"/>
  <c r="O16" i="23"/>
  <c r="O23" i="23"/>
  <c r="O51" i="23"/>
  <c r="AK51" i="24"/>
  <c r="AL51" i="24" s="1"/>
  <c r="O39" i="23"/>
  <c r="AK39" i="24"/>
  <c r="AL39" i="24" s="1"/>
  <c r="U53" i="22"/>
  <c r="U39" i="22"/>
  <c r="U24" i="22"/>
  <c r="Y48" i="23"/>
  <c r="Y34" i="23"/>
  <c r="O60" i="23"/>
  <c r="O46" i="23"/>
  <c r="O30" i="23"/>
  <c r="O15" i="23"/>
  <c r="U38" i="22"/>
  <c r="U23" i="22"/>
  <c r="U9" i="22"/>
  <c r="Y47" i="23"/>
  <c r="O59" i="23"/>
  <c r="O45" i="23"/>
  <c r="Y33" i="23"/>
  <c r="O28" i="23"/>
  <c r="O14" i="23"/>
  <c r="AK56" i="24"/>
  <c r="AL56" i="24" s="1"/>
  <c r="O56" i="23"/>
  <c r="BF54" i="24"/>
  <c r="BJ54" i="24" s="1"/>
  <c r="Y54" i="23"/>
  <c r="O12" i="23"/>
  <c r="AK12" i="24"/>
  <c r="AL12" i="24" s="1"/>
  <c r="BF22" i="24"/>
  <c r="BJ22" i="24" s="1"/>
  <c r="Y22" i="23"/>
  <c r="BF10" i="24"/>
  <c r="BJ10" i="24" s="1"/>
  <c r="Y10" i="23"/>
  <c r="U51" i="22"/>
  <c r="U22" i="22"/>
  <c r="Y46" i="23"/>
  <c r="O58" i="23"/>
  <c r="O43" i="23"/>
  <c r="Y18" i="23"/>
  <c r="O27" i="23"/>
  <c r="O13" i="23"/>
  <c r="U21" i="22"/>
  <c r="Y45" i="23"/>
  <c r="O11" i="23"/>
  <c r="AK22" i="24"/>
  <c r="AL22" i="24" s="1"/>
  <c r="O22" i="23"/>
  <c r="AK10" i="24"/>
  <c r="AL10" i="24" s="1"/>
  <c r="O10" i="23"/>
  <c r="BF56" i="24"/>
  <c r="BJ56" i="24" s="1"/>
  <c r="U56" i="22"/>
  <c r="BF44" i="24"/>
  <c r="BJ44" i="24" s="1"/>
  <c r="U44" i="22"/>
  <c r="BF32" i="24"/>
  <c r="BJ32" i="24" s="1"/>
  <c r="U32" i="22"/>
  <c r="U20" i="22"/>
  <c r="BF20" i="24"/>
  <c r="BJ20" i="24" s="1"/>
  <c r="Y58" i="23"/>
  <c r="Y44" i="23"/>
  <c r="O55" i="23"/>
  <c r="O41" i="23"/>
  <c r="Y30" i="23"/>
  <c r="O25" i="23"/>
  <c r="O8" i="23"/>
  <c r="AK9" i="24"/>
  <c r="AL9" i="24" s="1"/>
  <c r="O9" i="23"/>
  <c r="U47" i="22"/>
  <c r="U33" i="22"/>
  <c r="U18" i="22"/>
  <c r="Y57" i="23"/>
  <c r="Y43" i="23"/>
  <c r="O54" i="23"/>
  <c r="O40" i="23"/>
  <c r="Y28" i="23"/>
  <c r="Y14" i="23"/>
  <c r="O24" i="23"/>
  <c r="E30" i="23"/>
  <c r="F30" i="23" s="1"/>
  <c r="E37" i="23"/>
  <c r="F37" i="23" s="1"/>
  <c r="E55" i="23"/>
  <c r="F55" i="23" s="1"/>
  <c r="E43" i="23"/>
  <c r="F43" i="23" s="1"/>
  <c r="E31" i="23"/>
  <c r="F31" i="23" s="1"/>
  <c r="E44" i="23"/>
  <c r="F44" i="23" s="1"/>
  <c r="E56" i="23"/>
  <c r="F56" i="23" s="1"/>
  <c r="E41" i="23"/>
  <c r="F41" i="23" s="1"/>
  <c r="E45" i="23"/>
  <c r="F45" i="23" s="1"/>
  <c r="E40" i="23"/>
  <c r="F40" i="23" s="1"/>
  <c r="E32" i="23"/>
  <c r="F32" i="23" s="1"/>
  <c r="E50" i="23"/>
  <c r="F50" i="23" s="1"/>
  <c r="E48" i="23"/>
  <c r="F48" i="23" s="1"/>
  <c r="E38" i="23"/>
  <c r="F38" i="23" s="1"/>
  <c r="E59" i="23"/>
  <c r="F59" i="23" s="1"/>
  <c r="E47" i="23"/>
  <c r="F47" i="23" s="1"/>
  <c r="E35" i="23"/>
  <c r="F35" i="23" s="1"/>
  <c r="E36" i="23"/>
  <c r="F36" i="23" s="1"/>
  <c r="E33" i="23"/>
  <c r="F33" i="23" s="1"/>
  <c r="E54" i="23"/>
  <c r="F54" i="23" s="1"/>
  <c r="E42" i="23"/>
  <c r="F42" i="23" s="1"/>
  <c r="E60" i="23"/>
  <c r="F60" i="23" s="1"/>
  <c r="E52" i="23"/>
  <c r="F52" i="23" s="1"/>
  <c r="E57" i="23"/>
  <c r="F57" i="23" s="1"/>
  <c r="BC125" i="24"/>
  <c r="AG121" i="24"/>
  <c r="AG124" i="24"/>
  <c r="AH125" i="24" s="1"/>
  <c r="AI126" i="24" s="1"/>
  <c r="L124" i="23"/>
  <c r="M125" i="23" s="1"/>
  <c r="AG123" i="24"/>
  <c r="R123" i="22"/>
  <c r="AG122" i="24"/>
  <c r="AO61" i="24"/>
  <c r="AO16" i="24"/>
  <c r="AO21" i="24"/>
  <c r="AO45" i="24"/>
  <c r="AO18" i="24"/>
  <c r="AL53" i="24"/>
  <c r="AO53" i="24"/>
  <c r="AL41" i="24"/>
  <c r="AO41" i="24"/>
  <c r="AO28" i="24"/>
  <c r="AO30" i="24"/>
  <c r="AO57" i="24"/>
  <c r="AO14" i="24"/>
  <c r="AO40" i="24"/>
  <c r="AO42" i="24"/>
  <c r="AO19" i="24"/>
  <c r="AO34" i="24"/>
  <c r="AO26" i="24"/>
  <c r="AO52" i="24"/>
  <c r="AO31" i="24"/>
  <c r="AO54" i="24"/>
  <c r="AO43" i="24"/>
  <c r="AO47" i="24"/>
  <c r="AO46" i="24"/>
  <c r="AO35" i="24"/>
  <c r="AO38" i="24"/>
  <c r="AO55" i="24"/>
  <c r="AO58" i="24"/>
  <c r="AO11" i="24"/>
  <c r="AO50" i="24"/>
  <c r="AO15" i="24"/>
  <c r="AO59" i="24"/>
  <c r="AO48" i="24"/>
  <c r="AO23" i="24"/>
  <c r="AO27" i="24"/>
  <c r="AO60" i="24"/>
  <c r="AO36" i="24"/>
  <c r="AO25" i="24"/>
  <c r="AO24" i="24"/>
  <c r="AO37" i="24"/>
  <c r="AO8" i="24"/>
  <c r="AO13" i="24"/>
  <c r="AO20" i="24"/>
  <c r="AO32" i="24"/>
  <c r="AO49" i="24"/>
  <c r="AO33" i="24"/>
  <c r="E49" i="24"/>
  <c r="G49" i="24" s="1"/>
  <c r="E58" i="24"/>
  <c r="G58" i="24" s="1"/>
  <c r="E46" i="24"/>
  <c r="G46" i="24" s="1"/>
  <c r="E34" i="24"/>
  <c r="E56" i="24"/>
  <c r="G56" i="24" s="1"/>
  <c r="E44" i="24"/>
  <c r="G44" i="24" s="1"/>
  <c r="E32" i="24"/>
  <c r="G32" i="24" s="1"/>
  <c r="BG55" i="24"/>
  <c r="BG43" i="24"/>
  <c r="BG36" i="24"/>
  <c r="BG24" i="24"/>
  <c r="BG16" i="24"/>
  <c r="E122" i="24"/>
  <c r="F123" i="24" s="1"/>
  <c r="BG15" i="24"/>
  <c r="BG52" i="24"/>
  <c r="BG40" i="24"/>
  <c r="BG34" i="24"/>
  <c r="BG22" i="24"/>
  <c r="BG14" i="24"/>
  <c r="E60" i="24"/>
  <c r="E48" i="24"/>
  <c r="E36" i="24"/>
  <c r="BG51" i="24"/>
  <c r="BG33" i="24"/>
  <c r="BG21" i="24"/>
  <c r="BG50" i="24"/>
  <c r="BG12" i="24"/>
  <c r="BG53" i="24"/>
  <c r="BG31" i="24"/>
  <c r="BG19" i="24"/>
  <c r="BG11" i="24"/>
  <c r="BG41" i="24"/>
  <c r="BG23" i="24"/>
  <c r="BG59" i="24"/>
  <c r="BG47" i="24"/>
  <c r="BG18" i="24"/>
  <c r="BG9" i="24"/>
  <c r="BG35" i="24"/>
  <c r="BG58" i="24"/>
  <c r="BG46" i="24"/>
  <c r="BG28" i="24"/>
  <c r="BG8" i="24"/>
  <c r="BG30" i="24"/>
  <c r="BG57" i="24"/>
  <c r="BG45" i="24"/>
  <c r="BG39" i="24"/>
  <c r="BG27" i="24"/>
  <c r="BG48" i="24"/>
  <c r="BG60" i="24"/>
  <c r="BG38" i="24"/>
  <c r="BG26" i="24"/>
  <c r="E61" i="24"/>
  <c r="E53" i="24"/>
  <c r="G53" i="24" s="1"/>
  <c r="E41" i="24"/>
  <c r="G41" i="24" s="1"/>
  <c r="E51" i="24"/>
  <c r="G51" i="24" s="1"/>
  <c r="E39" i="24"/>
  <c r="E55" i="24"/>
  <c r="G55" i="24" s="1"/>
  <c r="E43" i="24"/>
  <c r="G43" i="24" s="1"/>
  <c r="E31" i="24"/>
  <c r="G31" i="24" s="1"/>
  <c r="E57" i="24"/>
  <c r="E52" i="24"/>
  <c r="G52" i="24" s="1"/>
  <c r="E40" i="24"/>
  <c r="G40" i="24" s="1"/>
  <c r="E30" i="24"/>
  <c r="E50" i="24"/>
  <c r="G50" i="24" s="1"/>
  <c r="E38" i="24"/>
  <c r="G38" i="24" s="1"/>
  <c r="E45" i="24"/>
  <c r="G45" i="24" s="1"/>
  <c r="E37" i="24"/>
  <c r="E59" i="24"/>
  <c r="E47" i="24"/>
  <c r="G47" i="24" s="1"/>
  <c r="E35" i="24"/>
  <c r="E33" i="24"/>
  <c r="E54" i="24"/>
  <c r="E42" i="24"/>
  <c r="G29" i="24"/>
  <c r="G28" i="24"/>
  <c r="G18" i="24"/>
  <c r="BG13" i="24" l="1"/>
  <c r="BG17" i="24"/>
  <c r="AO39" i="24"/>
  <c r="AO22" i="24"/>
  <c r="BG54" i="24"/>
  <c r="AL17" i="24"/>
  <c r="BG20" i="24"/>
  <c r="BG37" i="24"/>
  <c r="BG32" i="24"/>
  <c r="BG29" i="24"/>
  <c r="AO29" i="24"/>
  <c r="AO56" i="24"/>
  <c r="AO10" i="24"/>
  <c r="BG25" i="24"/>
  <c r="AO9" i="24"/>
  <c r="BG61" i="24"/>
  <c r="AO12" i="24"/>
  <c r="BG44" i="24"/>
  <c r="BG10" i="24"/>
  <c r="BG49" i="24"/>
  <c r="BG42" i="24"/>
  <c r="AO51" i="24"/>
  <c r="AO44" i="24"/>
  <c r="BG56" i="24"/>
  <c r="BE125" i="24"/>
  <c r="BD126" i="24"/>
  <c r="S123" i="22"/>
  <c r="BB123" i="24"/>
  <c r="BC124" i="24" s="1"/>
  <c r="BD125" i="24" s="1"/>
  <c r="AH122" i="24"/>
  <c r="AH123" i="24"/>
  <c r="AH124" i="24"/>
  <c r="AI125" i="24" s="1"/>
  <c r="V124" i="23"/>
  <c r="W125" i="23" s="1"/>
  <c r="G36" i="24"/>
  <c r="F36" i="24"/>
  <c r="G57" i="24"/>
  <c r="F54" i="24"/>
  <c r="F58" i="24"/>
  <c r="F32" i="24"/>
  <c r="F49" i="24"/>
  <c r="F48" i="24"/>
  <c r="G48" i="24"/>
  <c r="F44" i="24"/>
  <c r="G34" i="24"/>
  <c r="F57" i="24"/>
  <c r="F56" i="24"/>
  <c r="F46" i="24"/>
  <c r="G61" i="24"/>
  <c r="F33" i="24"/>
  <c r="G33" i="24"/>
  <c r="F34" i="24"/>
  <c r="F38" i="24"/>
  <c r="G37" i="24"/>
  <c r="G60" i="24"/>
  <c r="F61" i="24"/>
  <c r="F60" i="24"/>
  <c r="F50" i="24"/>
  <c r="F42" i="24"/>
  <c r="F39" i="24"/>
  <c r="G39" i="24"/>
  <c r="F53" i="24"/>
  <c r="F37" i="24"/>
  <c r="G35" i="24"/>
  <c r="F35" i="24"/>
  <c r="F51" i="24"/>
  <c r="G59" i="24"/>
  <c r="F31" i="24"/>
  <c r="F59" i="24"/>
  <c r="G30" i="24"/>
  <c r="F52" i="24"/>
  <c r="F47" i="24"/>
  <c r="F40" i="24"/>
  <c r="F41" i="24"/>
  <c r="F45" i="24"/>
  <c r="G42" i="24"/>
  <c r="F43" i="24"/>
  <c r="G54" i="24"/>
  <c r="F55" i="24"/>
  <c r="AI124" i="24" l="1"/>
  <c r="AI123" i="24"/>
  <c r="AO22" i="22"/>
  <c r="AO21" i="22"/>
  <c r="AO20" i="22"/>
  <c r="AO19" i="22"/>
  <c r="AO42" i="22"/>
  <c r="AO41" i="22"/>
  <c r="AO43" i="22" l="1"/>
  <c r="S11" i="22"/>
  <c r="S16" i="22"/>
  <c r="S17" i="22"/>
  <c r="S18" i="22"/>
  <c r="S23" i="22"/>
  <c r="S30" i="22"/>
  <c r="S31" i="22"/>
  <c r="S34" i="22"/>
  <c r="S41" i="22"/>
  <c r="S42" i="22"/>
  <c r="S43" i="22"/>
  <c r="S45" i="22"/>
  <c r="S47" i="22"/>
  <c r="S48" i="22"/>
  <c r="S52" i="22"/>
  <c r="S54" i="22"/>
  <c r="S55" i="22"/>
  <c r="S58" i="22"/>
  <c r="S60" i="22"/>
  <c r="E29" i="22"/>
  <c r="L29" i="22"/>
  <c r="S29" i="22"/>
  <c r="E30" i="22"/>
  <c r="L30" i="22"/>
  <c r="N30" i="22"/>
  <c r="E31" i="22"/>
  <c r="L31" i="22"/>
  <c r="N31" i="22"/>
  <c r="E32" i="22"/>
  <c r="L32" i="22"/>
  <c r="S32" i="22"/>
  <c r="E33" i="22"/>
  <c r="L33" i="22"/>
  <c r="S33" i="22"/>
  <c r="E34" i="22"/>
  <c r="L34" i="22"/>
  <c r="E35" i="22"/>
  <c r="L35" i="22"/>
  <c r="S35" i="22"/>
  <c r="E36" i="22"/>
  <c r="L36" i="22"/>
  <c r="S36" i="22"/>
  <c r="E37" i="22"/>
  <c r="L37" i="22"/>
  <c r="O37" i="22"/>
  <c r="S37" i="22"/>
  <c r="E38" i="22"/>
  <c r="L38" i="22"/>
  <c r="N38" i="22"/>
  <c r="S38" i="22"/>
  <c r="E39" i="22"/>
  <c r="L39" i="22"/>
  <c r="S39" i="22"/>
  <c r="E40" i="22"/>
  <c r="L40" i="22"/>
  <c r="S40" i="22"/>
  <c r="E41" i="22"/>
  <c r="L41" i="22"/>
  <c r="E42" i="22"/>
  <c r="L42" i="22"/>
  <c r="E43" i="22"/>
  <c r="L43" i="22"/>
  <c r="N43" i="22"/>
  <c r="E44" i="22"/>
  <c r="L44" i="22"/>
  <c r="O44" i="22"/>
  <c r="S44" i="22"/>
  <c r="E45" i="22"/>
  <c r="L45" i="22"/>
  <c r="E46" i="22"/>
  <c r="L46" i="22"/>
  <c r="S46" i="22"/>
  <c r="E47" i="22"/>
  <c r="L47" i="22"/>
  <c r="N47" i="22"/>
  <c r="E48" i="22"/>
  <c r="L48" i="22"/>
  <c r="E49" i="22"/>
  <c r="L49" i="22"/>
  <c r="N49" i="22"/>
  <c r="S49" i="22"/>
  <c r="V49" i="22"/>
  <c r="E50" i="22"/>
  <c r="L50" i="22"/>
  <c r="N50" i="22"/>
  <c r="S50" i="22"/>
  <c r="V50" i="22"/>
  <c r="E51" i="22"/>
  <c r="L51" i="22"/>
  <c r="S51" i="22"/>
  <c r="V51" i="22"/>
  <c r="E52" i="22"/>
  <c r="L52" i="22"/>
  <c r="V52" i="22"/>
  <c r="E53" i="22"/>
  <c r="L53" i="22"/>
  <c r="S53" i="22"/>
  <c r="E54" i="22"/>
  <c r="L54" i="22"/>
  <c r="E55" i="22"/>
  <c r="L55" i="22"/>
  <c r="O55" i="22"/>
  <c r="E56" i="22"/>
  <c r="L56" i="22"/>
  <c r="S56" i="22"/>
  <c r="V56" i="22"/>
  <c r="E57" i="22"/>
  <c r="L57" i="22"/>
  <c r="S57" i="22"/>
  <c r="E58" i="22"/>
  <c r="L58" i="22"/>
  <c r="O58" i="22"/>
  <c r="E59" i="22"/>
  <c r="L59" i="22"/>
  <c r="S59" i="22"/>
  <c r="E60" i="22"/>
  <c r="L60" i="22"/>
  <c r="O60" i="22"/>
  <c r="E61" i="22"/>
  <c r="L61" i="22"/>
  <c r="O61" i="22"/>
  <c r="S61" i="22"/>
  <c r="E28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O8" i="22"/>
  <c r="N11" i="22"/>
  <c r="O13" i="22"/>
  <c r="N14" i="22"/>
  <c r="O15" i="22"/>
  <c r="N18" i="22"/>
  <c r="O19" i="22"/>
  <c r="O20" i="22"/>
  <c r="O23" i="22"/>
  <c r="O25" i="22"/>
  <c r="S8" i="22"/>
  <c r="S9" i="22"/>
  <c r="S10" i="22"/>
  <c r="S12" i="22"/>
  <c r="S13" i="22"/>
  <c r="S14" i="22"/>
  <c r="S15" i="22"/>
  <c r="S20" i="22"/>
  <c r="S21" i="22"/>
  <c r="S22" i="22"/>
  <c r="S24" i="22"/>
  <c r="S25" i="22"/>
  <c r="V8" i="22"/>
  <c r="V9" i="22"/>
  <c r="V13" i="22"/>
  <c r="V14" i="22"/>
  <c r="V17" i="22"/>
  <c r="V20" i="22"/>
  <c r="V21" i="22"/>
  <c r="V25" i="22"/>
  <c r="E26" i="22"/>
  <c r="E27" i="22"/>
  <c r="L26" i="22"/>
  <c r="L27" i="22"/>
  <c r="L28" i="22"/>
  <c r="S26" i="22"/>
  <c r="S27" i="22"/>
  <c r="S28" i="22"/>
  <c r="V28" i="22"/>
  <c r="E62" i="22" l="1"/>
  <c r="D62" i="24"/>
  <c r="V44" i="22"/>
  <c r="V40" i="22"/>
  <c r="V34" i="22"/>
  <c r="V29" i="22"/>
  <c r="V33" i="22"/>
  <c r="V27" i="22"/>
  <c r="V26" i="22"/>
  <c r="N37" i="22"/>
  <c r="N55" i="22"/>
  <c r="N33" i="22"/>
  <c r="N25" i="22"/>
  <c r="O11" i="22"/>
  <c r="O51" i="22"/>
  <c r="O49" i="22"/>
  <c r="N52" i="22"/>
  <c r="N23" i="22"/>
  <c r="O47" i="22"/>
  <c r="N26" i="22"/>
  <c r="N19" i="22"/>
  <c r="O46" i="22"/>
  <c r="N13" i="22"/>
  <c r="N42" i="22"/>
  <c r="O36" i="22"/>
  <c r="O12" i="22"/>
  <c r="N40" i="22"/>
  <c r="N28" i="22"/>
  <c r="N16" i="22"/>
  <c r="O34" i="22"/>
  <c r="O22" i="22"/>
  <c r="O10" i="22"/>
  <c r="N51" i="22"/>
  <c r="N39" i="22"/>
  <c r="N27" i="22"/>
  <c r="N15" i="22"/>
  <c r="O57" i="22"/>
  <c r="O45" i="22"/>
  <c r="O33" i="22"/>
  <c r="O21" i="22"/>
  <c r="O9" i="22"/>
  <c r="N61" i="22"/>
  <c r="O43" i="22"/>
  <c r="O31" i="22"/>
  <c r="N60" i="22"/>
  <c r="N48" i="22"/>
  <c r="N36" i="22"/>
  <c r="N24" i="22"/>
  <c r="N12" i="22"/>
  <c r="O54" i="22"/>
  <c r="O42" i="22"/>
  <c r="O30" i="22"/>
  <c r="O18" i="22"/>
  <c r="O32" i="22"/>
  <c r="O29" i="22"/>
  <c r="O56" i="22"/>
  <c r="N59" i="22"/>
  <c r="N35" i="22"/>
  <c r="O53" i="22"/>
  <c r="O41" i="22"/>
  <c r="O17" i="22"/>
  <c r="N58" i="22"/>
  <c r="N46" i="22"/>
  <c r="N34" i="22"/>
  <c r="N22" i="22"/>
  <c r="N10" i="22"/>
  <c r="O52" i="22"/>
  <c r="O40" i="22"/>
  <c r="O28" i="22"/>
  <c r="O16" i="22"/>
  <c r="N57" i="22"/>
  <c r="N45" i="22"/>
  <c r="N21" i="22"/>
  <c r="N9" i="22"/>
  <c r="O39" i="22"/>
  <c r="O27" i="22"/>
  <c r="N56" i="22"/>
  <c r="N44" i="22"/>
  <c r="N32" i="22"/>
  <c r="N20" i="22"/>
  <c r="N8" i="22"/>
  <c r="O50" i="22"/>
  <c r="O38" i="22"/>
  <c r="O26" i="22"/>
  <c r="O14" i="22"/>
  <c r="N54" i="22"/>
  <c r="O48" i="22"/>
  <c r="O24" i="22"/>
  <c r="N53" i="22"/>
  <c r="N41" i="22"/>
  <c r="N29" i="22"/>
  <c r="N17" i="22"/>
  <c r="O59" i="22"/>
  <c r="O35" i="22"/>
  <c r="V24" i="22"/>
  <c r="V12" i="22"/>
  <c r="V60" i="22"/>
  <c r="V41" i="22"/>
  <c r="S19" i="22"/>
  <c r="V23" i="22"/>
  <c r="V11" i="22"/>
  <c r="V22" i="22"/>
  <c r="V10" i="22"/>
  <c r="V45" i="22"/>
  <c r="V55" i="22"/>
  <c r="V54" i="22"/>
  <c r="V47" i="22"/>
  <c r="V58" i="22"/>
  <c r="V38" i="22"/>
  <c r="V37" i="22"/>
  <c r="V31" i="22"/>
  <c r="V59" i="22"/>
  <c r="V32" i="22"/>
  <c r="V35" i="22"/>
  <c r="V61" i="22"/>
  <c r="V57" i="22"/>
  <c r="V53" i="22"/>
  <c r="V30" i="22"/>
  <c r="V43" i="22"/>
  <c r="V39" i="22"/>
  <c r="V46" i="22"/>
  <c r="V36" i="22"/>
  <c r="V48" i="22"/>
  <c r="V42" i="22"/>
  <c r="V19" i="22"/>
  <c r="V16" i="22"/>
  <c r="U8" i="22"/>
  <c r="V18" i="22"/>
  <c r="V15" i="22"/>
  <c r="L62" i="22"/>
  <c r="O62" i="22"/>
  <c r="R62" i="22"/>
  <c r="D63" i="24"/>
  <c r="E63" i="24" l="1"/>
  <c r="E62" i="24"/>
  <c r="E63" i="22"/>
  <c r="S62" i="22"/>
  <c r="V62" i="22"/>
  <c r="N62" i="22"/>
  <c r="L63" i="22"/>
  <c r="O63" i="22"/>
  <c r="R63" i="22"/>
  <c r="S63" i="22" s="1"/>
  <c r="D64" i="24"/>
  <c r="E64" i="24" s="1"/>
  <c r="F64" i="24" l="1"/>
  <c r="F63" i="24"/>
  <c r="F62" i="24"/>
  <c r="E64" i="22"/>
  <c r="V63" i="22"/>
  <c r="N63" i="22"/>
  <c r="L64" i="22"/>
  <c r="O64" i="22"/>
  <c r="R64" i="22"/>
  <c r="D65" i="24"/>
  <c r="E65" i="22"/>
  <c r="E65" i="24" l="1"/>
  <c r="S64" i="22"/>
  <c r="N64" i="22"/>
  <c r="V64" i="22"/>
  <c r="L65" i="22"/>
  <c r="R65" i="22"/>
  <c r="S65" i="22" s="1"/>
  <c r="D66" i="24"/>
  <c r="E66" i="24" s="1"/>
  <c r="E66" i="22" l="1"/>
  <c r="F66" i="24"/>
  <c r="F65" i="24"/>
  <c r="V65" i="22"/>
  <c r="O65" i="22"/>
  <c r="N65" i="22"/>
  <c r="L66" i="22"/>
  <c r="R66" i="22"/>
  <c r="D67" i="24"/>
  <c r="E67" i="24" l="1"/>
  <c r="E67" i="22"/>
  <c r="S66" i="22"/>
  <c r="O66" i="22"/>
  <c r="V66" i="22"/>
  <c r="N66" i="22"/>
  <c r="L67" i="22"/>
  <c r="R67" i="22"/>
  <c r="S67" i="22" s="1"/>
  <c r="E68" i="22" l="1"/>
  <c r="D68" i="24"/>
  <c r="V67" i="22"/>
  <c r="N67" i="22"/>
  <c r="O67" i="22"/>
  <c r="L68" i="22"/>
  <c r="N68" i="22"/>
  <c r="R68" i="22"/>
  <c r="V68" i="22" s="1"/>
  <c r="E69" i="22" l="1"/>
  <c r="D69" i="24"/>
  <c r="E68" i="24"/>
  <c r="S68" i="22"/>
  <c r="O68" i="22"/>
  <c r="L69" i="22"/>
  <c r="R69" i="22"/>
  <c r="S69" i="22" s="1"/>
  <c r="E69" i="24" l="1"/>
  <c r="E70" i="22"/>
  <c r="D70" i="24"/>
  <c r="E70" i="24" s="1"/>
  <c r="O69" i="22"/>
  <c r="N69" i="22"/>
  <c r="V69" i="22"/>
  <c r="L70" i="22"/>
  <c r="N70" i="22"/>
  <c r="R70" i="22"/>
  <c r="V70" i="22" s="1"/>
  <c r="E71" i="22" l="1"/>
  <c r="D71" i="24"/>
  <c r="E71" i="24" s="1"/>
  <c r="S70" i="22"/>
  <c r="O70" i="22"/>
  <c r="L71" i="22"/>
  <c r="N71" i="22"/>
  <c r="R71" i="22"/>
  <c r="S71" i="22" s="1"/>
  <c r="E72" i="22" l="1"/>
  <c r="D72" i="24"/>
  <c r="O71" i="22"/>
  <c r="V71" i="22"/>
  <c r="L72" i="22"/>
  <c r="N72" i="22"/>
  <c r="R72" i="22"/>
  <c r="S72" i="22" s="1"/>
  <c r="D73" i="24"/>
  <c r="E73" i="22" l="1"/>
  <c r="V72" i="22"/>
  <c r="O72" i="22"/>
  <c r="L73" i="22"/>
  <c r="R73" i="22"/>
  <c r="S73" i="22" s="1"/>
  <c r="E74" i="22" l="1"/>
  <c r="D74" i="24"/>
  <c r="N73" i="22"/>
  <c r="V73" i="22"/>
  <c r="O73" i="22"/>
  <c r="L74" i="22"/>
  <c r="N74" i="22"/>
  <c r="R74" i="22"/>
  <c r="S74" i="22" s="1"/>
  <c r="D75" i="24"/>
  <c r="E75" i="22" l="1"/>
  <c r="O74" i="22"/>
  <c r="V74" i="22"/>
  <c r="L75" i="22"/>
  <c r="R75" i="22"/>
  <c r="S75" i="22" s="1"/>
  <c r="E76" i="22" l="1"/>
  <c r="D76" i="24"/>
  <c r="V75" i="22"/>
  <c r="O75" i="22"/>
  <c r="N75" i="22"/>
  <c r="L76" i="22"/>
  <c r="N76" i="22"/>
  <c r="R76" i="22"/>
  <c r="S76" i="22" s="1"/>
  <c r="E77" i="22" l="1"/>
  <c r="D77" i="24"/>
  <c r="O76" i="22"/>
  <c r="V76" i="22"/>
  <c r="L77" i="22"/>
  <c r="R77" i="22"/>
  <c r="S77" i="22" s="1"/>
  <c r="D78" i="24"/>
  <c r="E79" i="24" s="1"/>
  <c r="E78" i="22" l="1"/>
  <c r="O77" i="22"/>
  <c r="N77" i="22"/>
  <c r="V77" i="22"/>
  <c r="L78" i="22"/>
  <c r="O78" i="22"/>
  <c r="R78" i="22"/>
  <c r="S78" i="22" s="1"/>
  <c r="E79" i="22" l="1"/>
  <c r="V78" i="22"/>
  <c r="N78" i="22"/>
  <c r="L79" i="22"/>
  <c r="R79" i="22"/>
  <c r="S79" i="22" s="1"/>
  <c r="E80" i="22" l="1"/>
  <c r="D80" i="24"/>
  <c r="V79" i="22"/>
  <c r="O79" i="22"/>
  <c r="N79" i="22"/>
  <c r="L80" i="22"/>
  <c r="R80" i="22"/>
  <c r="S80" i="22" s="1"/>
  <c r="D81" i="24"/>
  <c r="E81" i="22"/>
  <c r="V80" i="22" l="1"/>
  <c r="O80" i="22"/>
  <c r="N80" i="22"/>
  <c r="L81" i="22"/>
  <c r="O81" i="22"/>
  <c r="R81" i="22"/>
  <c r="S81" i="22" s="1"/>
  <c r="E82" i="22" l="1"/>
  <c r="D82" i="24"/>
  <c r="N81" i="22"/>
  <c r="V81" i="22"/>
  <c r="L82" i="22"/>
  <c r="O82" i="22"/>
  <c r="R82" i="22"/>
  <c r="S82" i="22" s="1"/>
  <c r="E83" i="22" l="1"/>
  <c r="D83" i="24"/>
  <c r="V82" i="22"/>
  <c r="N82" i="22"/>
  <c r="L83" i="22"/>
  <c r="R83" i="22"/>
  <c r="S83" i="22" s="1"/>
  <c r="D84" i="24"/>
  <c r="E84" i="22" l="1"/>
  <c r="O83" i="22"/>
  <c r="N83" i="22"/>
  <c r="V83" i="22"/>
  <c r="L84" i="22"/>
  <c r="R84" i="22"/>
  <c r="S84" i="22" s="1"/>
  <c r="E85" i="22" l="1"/>
  <c r="D85" i="24"/>
  <c r="O84" i="22"/>
  <c r="N84" i="22"/>
  <c r="V84" i="22"/>
  <c r="L85" i="22"/>
  <c r="R85" i="22"/>
  <c r="S85" i="22" s="1"/>
  <c r="E86" i="22" l="1"/>
  <c r="D86" i="24"/>
  <c r="V85" i="22"/>
  <c r="N85" i="22"/>
  <c r="O85" i="22"/>
  <c r="L86" i="22"/>
  <c r="O86" i="22"/>
  <c r="R86" i="22"/>
  <c r="S86" i="22" s="1"/>
  <c r="E87" i="22" l="1"/>
  <c r="D87" i="24"/>
  <c r="V86" i="22"/>
  <c r="N86" i="22"/>
  <c r="L87" i="22"/>
  <c r="R87" i="22"/>
  <c r="S87" i="22" s="1"/>
  <c r="E88" i="22" l="1"/>
  <c r="D88" i="24"/>
  <c r="E88" i="24" s="1"/>
  <c r="V87" i="22"/>
  <c r="O87" i="22"/>
  <c r="N87" i="22"/>
  <c r="L88" i="22"/>
  <c r="N88" i="22"/>
  <c r="R88" i="22"/>
  <c r="S88" i="22" s="1"/>
  <c r="E89" i="22" l="1"/>
  <c r="D89" i="24"/>
  <c r="O88" i="22"/>
  <c r="V88" i="22"/>
  <c r="L89" i="22"/>
  <c r="R89" i="22"/>
  <c r="S89" i="22" s="1"/>
  <c r="E89" i="24" l="1"/>
  <c r="F89" i="24" s="1"/>
  <c r="E90" i="24"/>
  <c r="E90" i="22"/>
  <c r="N89" i="22"/>
  <c r="V89" i="22"/>
  <c r="O89" i="22"/>
  <c r="L90" i="22"/>
  <c r="R90" i="22"/>
  <c r="S90" i="22" s="1"/>
  <c r="F90" i="24" l="1"/>
  <c r="F91" i="24"/>
  <c r="E91" i="22"/>
  <c r="N90" i="22"/>
  <c r="V90" i="22"/>
  <c r="O90" i="22"/>
  <c r="L91" i="22"/>
  <c r="R91" i="22"/>
  <c r="S91" i="22" s="1"/>
  <c r="E92" i="22" l="1"/>
  <c r="V91" i="22"/>
  <c r="N91" i="22"/>
  <c r="O91" i="22"/>
  <c r="L92" i="22"/>
  <c r="R92" i="22"/>
  <c r="S92" i="22" s="1"/>
  <c r="E93" i="22" l="1"/>
  <c r="V92" i="22"/>
  <c r="N92" i="22"/>
  <c r="O92" i="22"/>
  <c r="L93" i="22"/>
  <c r="O93" i="22"/>
  <c r="R93" i="22"/>
  <c r="S93" i="22" s="1"/>
  <c r="E94" i="22" l="1"/>
  <c r="V93" i="22"/>
  <c r="N93" i="22"/>
  <c r="L94" i="22"/>
  <c r="R94" i="22"/>
  <c r="S94" i="22" s="1"/>
  <c r="E95" i="22" l="1"/>
  <c r="D95" i="24"/>
  <c r="E95" i="24" s="1"/>
  <c r="F95" i="24" s="1"/>
  <c r="V94" i="22"/>
  <c r="O94" i="22"/>
  <c r="N94" i="22"/>
  <c r="L95" i="22"/>
  <c r="N95" i="22"/>
  <c r="R95" i="22"/>
  <c r="S95" i="22" s="1"/>
  <c r="E96" i="22" l="1"/>
  <c r="D96" i="24"/>
  <c r="E96" i="24" s="1"/>
  <c r="F96" i="24" s="1"/>
  <c r="V95" i="22"/>
  <c r="O95" i="22"/>
  <c r="L96" i="22"/>
  <c r="O96" i="22"/>
  <c r="R96" i="22"/>
  <c r="S96" i="22" s="1"/>
  <c r="E97" i="22" l="1"/>
  <c r="D97" i="24"/>
  <c r="E97" i="24" s="1"/>
  <c r="F97" i="24" s="1"/>
  <c r="N96" i="22"/>
  <c r="V96" i="22"/>
  <c r="L97" i="22"/>
  <c r="R97" i="22"/>
  <c r="S97" i="22" s="1"/>
  <c r="E98" i="22" l="1"/>
  <c r="D98" i="24"/>
  <c r="E98" i="24" s="1"/>
  <c r="F98" i="24" s="1"/>
  <c r="V97" i="22"/>
  <c r="O97" i="22"/>
  <c r="N97" i="22"/>
  <c r="L98" i="22"/>
  <c r="R98" i="22"/>
  <c r="S98" i="22" s="1"/>
  <c r="D99" i="24"/>
  <c r="E99" i="22" l="1"/>
  <c r="O98" i="22"/>
  <c r="N98" i="22"/>
  <c r="V98" i="22"/>
  <c r="L99" i="22"/>
  <c r="R99" i="22"/>
  <c r="S99" i="22" s="1"/>
  <c r="V99" i="22" l="1"/>
  <c r="E100" i="22"/>
  <c r="D100" i="24"/>
  <c r="O99" i="22"/>
  <c r="N99" i="22"/>
  <c r="L100" i="22"/>
  <c r="R100" i="22"/>
  <c r="S100" i="22" s="1"/>
  <c r="E101" i="22" l="1"/>
  <c r="D101" i="24"/>
  <c r="O100" i="22"/>
  <c r="N100" i="22"/>
  <c r="V100" i="22"/>
  <c r="L101" i="22"/>
  <c r="R101" i="22"/>
  <c r="S101" i="22" s="1"/>
  <c r="E102" i="22" l="1"/>
  <c r="D102" i="24"/>
  <c r="O101" i="22"/>
  <c r="N101" i="22"/>
  <c r="V101" i="22"/>
  <c r="L102" i="22"/>
  <c r="O102" i="22"/>
  <c r="R102" i="22"/>
  <c r="S102" i="22" s="1"/>
  <c r="E103" i="22" l="1"/>
  <c r="D103" i="24"/>
  <c r="V102" i="22"/>
  <c r="N102" i="22"/>
  <c r="L103" i="22"/>
  <c r="R103" i="22"/>
  <c r="S103" i="22" s="1"/>
  <c r="E104" i="22" l="1"/>
  <c r="D104" i="24"/>
  <c r="O103" i="22"/>
  <c r="N103" i="22"/>
  <c r="V103" i="22"/>
  <c r="L104" i="22"/>
  <c r="O104" i="22"/>
  <c r="R104" i="22"/>
  <c r="S104" i="22" s="1"/>
  <c r="E105" i="22" l="1"/>
  <c r="D105" i="24"/>
  <c r="N104" i="22"/>
  <c r="V104" i="22"/>
  <c r="L105" i="22"/>
  <c r="R105" i="22"/>
  <c r="S105" i="22" s="1"/>
  <c r="E106" i="22" l="1"/>
  <c r="D106" i="24"/>
  <c r="N105" i="22"/>
  <c r="O105" i="22"/>
  <c r="V105" i="22"/>
  <c r="L106" i="22"/>
  <c r="R106" i="22"/>
  <c r="S106" i="22" s="1"/>
  <c r="E107" i="22" l="1"/>
  <c r="D107" i="24"/>
  <c r="O106" i="22"/>
  <c r="N106" i="22"/>
  <c r="V106" i="22"/>
  <c r="L107" i="22"/>
  <c r="R107" i="22"/>
  <c r="S107" i="22" s="1"/>
  <c r="E108" i="22" l="1"/>
  <c r="D108" i="24"/>
  <c r="V107" i="22"/>
  <c r="O107" i="22"/>
  <c r="N107" i="22"/>
  <c r="L108" i="22"/>
  <c r="R108" i="22"/>
  <c r="E109" i="22" l="1"/>
  <c r="D109" i="24"/>
  <c r="V108" i="22"/>
  <c r="S108" i="22"/>
  <c r="O108" i="22"/>
  <c r="N108" i="22"/>
  <c r="L109" i="22"/>
  <c r="R109" i="22"/>
  <c r="S109" i="22" s="1"/>
  <c r="E110" i="22" l="1"/>
  <c r="D110" i="24"/>
  <c r="V109" i="22"/>
  <c r="O109" i="22"/>
  <c r="N109" i="22"/>
  <c r="L110" i="22"/>
  <c r="R110" i="22"/>
  <c r="S110" i="22" s="1"/>
  <c r="D111" i="24"/>
  <c r="E111" i="22" l="1"/>
  <c r="V110" i="22"/>
  <c r="O110" i="22"/>
  <c r="N110" i="22"/>
  <c r="L111" i="22"/>
  <c r="N111" i="22"/>
  <c r="R111" i="22"/>
  <c r="S111" i="22" s="1"/>
  <c r="E112" i="22" l="1"/>
  <c r="D112" i="24"/>
  <c r="O111" i="22"/>
  <c r="V111" i="22"/>
  <c r="L112" i="22"/>
  <c r="R112" i="22"/>
  <c r="S112" i="22" s="1"/>
  <c r="E113" i="22" l="1"/>
  <c r="D113" i="24"/>
  <c r="AG113" i="24"/>
  <c r="O112" i="22"/>
  <c r="N112" i="22"/>
  <c r="V112" i="22"/>
  <c r="L113" i="22"/>
  <c r="N113" i="22"/>
  <c r="R113" i="22"/>
  <c r="S113" i="22" s="1"/>
  <c r="E114" i="22" l="1"/>
  <c r="D114" i="24"/>
  <c r="AG114" i="24"/>
  <c r="AH114" i="24" s="1"/>
  <c r="O113" i="22"/>
  <c r="V113" i="22"/>
  <c r="L114" i="22"/>
  <c r="O114" i="22"/>
  <c r="R114" i="22"/>
  <c r="S114" i="22" s="1"/>
  <c r="E115" i="22" l="1"/>
  <c r="D115" i="24"/>
  <c r="AG115" i="24"/>
  <c r="AH115" i="24" s="1"/>
  <c r="AI115" i="24" s="1"/>
  <c r="N114" i="22"/>
  <c r="V114" i="22"/>
  <c r="L115" i="22"/>
  <c r="N115" i="22"/>
  <c r="R115" i="22"/>
  <c r="S115" i="22" s="1"/>
  <c r="E116" i="22" l="1"/>
  <c r="D116" i="24"/>
  <c r="AG116" i="24"/>
  <c r="AH116" i="24" s="1"/>
  <c r="AI116" i="24" s="1"/>
  <c r="O115" i="22"/>
  <c r="V115" i="22"/>
  <c r="L116" i="22"/>
  <c r="O116" i="22"/>
  <c r="R116" i="22"/>
  <c r="S116" i="22" s="1"/>
  <c r="E117" i="22" l="1"/>
  <c r="D117" i="24"/>
  <c r="AG117" i="24"/>
  <c r="AH117" i="24" s="1"/>
  <c r="AI117" i="24" s="1"/>
  <c r="N116" i="22"/>
  <c r="V116" i="22"/>
  <c r="L117" i="22"/>
  <c r="N117" i="22"/>
  <c r="R117" i="22"/>
  <c r="S117" i="22" s="1"/>
  <c r="E118" i="22" l="1"/>
  <c r="D118" i="24"/>
  <c r="AG118" i="24"/>
  <c r="O117" i="22"/>
  <c r="V117" i="22"/>
  <c r="L118" i="22"/>
  <c r="R118" i="22"/>
  <c r="S118" i="22" s="1"/>
  <c r="E119" i="22" l="1"/>
  <c r="D119" i="24"/>
  <c r="E119" i="24" s="1"/>
  <c r="E118" i="24"/>
  <c r="AG119" i="24"/>
  <c r="AH119" i="24" s="1"/>
  <c r="AH118" i="24"/>
  <c r="N118" i="22"/>
  <c r="V118" i="22"/>
  <c r="O118" i="22"/>
  <c r="L119" i="22"/>
  <c r="R119" i="22"/>
  <c r="S119" i="22" s="1"/>
  <c r="E120" i="22" l="1"/>
  <c r="D120" i="24"/>
  <c r="E121" i="24" s="1"/>
  <c r="F119" i="24"/>
  <c r="AG120" i="24"/>
  <c r="AI118" i="24"/>
  <c r="AI119" i="24"/>
  <c r="V119" i="22"/>
  <c r="O119" i="22"/>
  <c r="N119" i="22"/>
  <c r="L120" i="22"/>
  <c r="R120" i="22"/>
  <c r="S120" i="22" s="1"/>
  <c r="E121" i="22"/>
  <c r="F122" i="24" l="1"/>
  <c r="E120" i="24"/>
  <c r="AH120" i="24"/>
  <c r="AH121" i="24"/>
  <c r="V120" i="22"/>
  <c r="O120" i="22"/>
  <c r="N120" i="22"/>
  <c r="L121" i="22"/>
  <c r="N121" i="22"/>
  <c r="R121" i="22"/>
  <c r="E122" i="22"/>
  <c r="F121" i="24" l="1"/>
  <c r="F120" i="24"/>
  <c r="AI121" i="24"/>
  <c r="AI122" i="24"/>
  <c r="AI120" i="24"/>
  <c r="S121" i="22"/>
  <c r="BB121" i="24"/>
  <c r="V121" i="22"/>
  <c r="O121" i="22"/>
  <c r="L122" i="22"/>
  <c r="R122" i="22"/>
  <c r="S122" i="22" l="1"/>
  <c r="BB122" i="24"/>
  <c r="BC123" i="24" s="1"/>
  <c r="BD124" i="24" s="1"/>
  <c r="E123" i="22"/>
  <c r="V122" i="22"/>
  <c r="O122" i="22"/>
  <c r="N122" i="22"/>
  <c r="L123" i="22"/>
  <c r="N123" i="22"/>
  <c r="E124" i="22"/>
  <c r="L124" i="22"/>
  <c r="E125" i="22"/>
  <c r="L125" i="22"/>
  <c r="E126" i="22"/>
  <c r="L126" i="22"/>
  <c r="S126" i="22"/>
  <c r="E127" i="22"/>
  <c r="L127" i="22"/>
  <c r="S127" i="22"/>
  <c r="E128" i="22"/>
  <c r="L128" i="22"/>
  <c r="S128" i="22"/>
  <c r="E129" i="22"/>
  <c r="L129" i="22"/>
  <c r="S129" i="22"/>
  <c r="E130" i="22"/>
  <c r="L130" i="22"/>
  <c r="S130" i="22"/>
  <c r="E131" i="22"/>
  <c r="L131" i="22"/>
  <c r="S131" i="22"/>
  <c r="E132" i="22"/>
  <c r="L132" i="22"/>
  <c r="S132" i="22"/>
  <c r="E133" i="22"/>
  <c r="L133" i="22"/>
  <c r="S133" i="22"/>
  <c r="E134" i="22"/>
  <c r="L134" i="22"/>
  <c r="S134" i="22"/>
  <c r="E135" i="22"/>
  <c r="L135" i="22"/>
  <c r="S135" i="22"/>
  <c r="E136" i="22"/>
  <c r="L136" i="22"/>
  <c r="S136" i="22"/>
  <c r="E137" i="22"/>
  <c r="L137" i="22"/>
  <c r="S137" i="22"/>
  <c r="E138" i="22"/>
  <c r="L138" i="22"/>
  <c r="S138" i="22"/>
  <c r="E139" i="22"/>
  <c r="L139" i="22"/>
  <c r="S139" i="22"/>
  <c r="E140" i="22"/>
  <c r="L140" i="22"/>
  <c r="S140" i="22"/>
  <c r="E141" i="22"/>
  <c r="L141" i="22"/>
  <c r="S141" i="22"/>
  <c r="E142" i="22"/>
  <c r="L142" i="22"/>
  <c r="S142" i="22"/>
  <c r="E143" i="22"/>
  <c r="L143" i="22"/>
  <c r="S143" i="22"/>
  <c r="E144" i="22"/>
  <c r="L144" i="22"/>
  <c r="S144" i="22"/>
  <c r="E145" i="22"/>
  <c r="L145" i="22"/>
  <c r="S145" i="22"/>
  <c r="E146" i="22"/>
  <c r="L146" i="22"/>
  <c r="S146" i="22"/>
  <c r="E147" i="22"/>
  <c r="L147" i="22"/>
  <c r="S147" i="22"/>
  <c r="E148" i="22"/>
  <c r="L148" i="22"/>
  <c r="S148" i="22"/>
  <c r="E149" i="22"/>
  <c r="L149" i="22"/>
  <c r="S149" i="22"/>
  <c r="E150" i="22"/>
  <c r="L150" i="22"/>
  <c r="S150" i="22"/>
  <c r="E151" i="22"/>
  <c r="L151" i="22"/>
  <c r="S151" i="22"/>
  <c r="E152" i="22"/>
  <c r="L152" i="22"/>
  <c r="S152" i="22"/>
  <c r="E153" i="22"/>
  <c r="L153" i="22"/>
  <c r="S153" i="22"/>
  <c r="E154" i="22"/>
  <c r="L154" i="22"/>
  <c r="S154" i="22"/>
  <c r="E155" i="22"/>
  <c r="L155" i="22"/>
  <c r="S155" i="22"/>
  <c r="E156" i="22"/>
  <c r="L156" i="22"/>
  <c r="S156" i="22"/>
  <c r="E157" i="22"/>
  <c r="L157" i="22"/>
  <c r="S157" i="22"/>
  <c r="E158" i="22"/>
  <c r="L158" i="22"/>
  <c r="S158" i="22"/>
  <c r="E159" i="22"/>
  <c r="L159" i="22"/>
  <c r="S159" i="22"/>
  <c r="E160" i="22"/>
  <c r="L160" i="22"/>
  <c r="S160" i="22"/>
  <c r="E161" i="22"/>
  <c r="L161" i="22"/>
  <c r="S161" i="22"/>
  <c r="E162" i="22"/>
  <c r="L162" i="22"/>
  <c r="S162" i="22"/>
  <c r="E163" i="22"/>
  <c r="L163" i="22"/>
  <c r="S163" i="22"/>
  <c r="E164" i="22"/>
  <c r="L164" i="22"/>
  <c r="S164" i="22"/>
  <c r="E165" i="22"/>
  <c r="L165" i="22"/>
  <c r="S165" i="22"/>
  <c r="E166" i="22"/>
  <c r="L166" i="22"/>
  <c r="S166" i="22"/>
  <c r="E167" i="22"/>
  <c r="L167" i="22"/>
  <c r="S167" i="22"/>
  <c r="E168" i="22"/>
  <c r="L168" i="22"/>
  <c r="S168" i="22"/>
  <c r="E169" i="22"/>
  <c r="L169" i="22"/>
  <c r="S169" i="22"/>
  <c r="E170" i="22"/>
  <c r="L170" i="22"/>
  <c r="S170" i="22"/>
  <c r="E171" i="22"/>
  <c r="L171" i="22"/>
  <c r="S171" i="22"/>
  <c r="E172" i="22"/>
  <c r="L172" i="22"/>
  <c r="S172" i="22"/>
  <c r="E173" i="22"/>
  <c r="L173" i="22"/>
  <c r="S173" i="22"/>
  <c r="E174" i="22"/>
  <c r="L174" i="22"/>
  <c r="S174" i="22"/>
  <c r="E175" i="22"/>
  <c r="L175" i="22"/>
  <c r="S175" i="22"/>
  <c r="E176" i="22"/>
  <c r="L176" i="22"/>
  <c r="S176" i="22"/>
  <c r="E177" i="22"/>
  <c r="L177" i="22"/>
  <c r="S177" i="22"/>
  <c r="E178" i="22"/>
  <c r="L178" i="22"/>
  <c r="S178" i="22"/>
  <c r="E179" i="22"/>
  <c r="L179" i="22"/>
  <c r="S179" i="22"/>
  <c r="BC122" i="24" l="1"/>
  <c r="BD123" i="24" s="1"/>
  <c r="AA34" i="22"/>
  <c r="AA37" i="22" s="1"/>
  <c r="AA33" i="22"/>
  <c r="N125" i="22"/>
  <c r="V123" i="22"/>
  <c r="N124" i="22"/>
  <c r="O124" i="22"/>
  <c r="O123" i="22"/>
  <c r="R5" i="22"/>
  <c r="Y5" i="22"/>
  <c r="E121" i="23"/>
  <c r="F121" i="23" s="1"/>
  <c r="E62" i="23"/>
  <c r="V124" i="22" l="1"/>
  <c r="V125" i="22"/>
  <c r="O125" i="22"/>
  <c r="N126" i="22"/>
  <c r="O126" i="22"/>
  <c r="BF62" i="24"/>
  <c r="AK62" i="24"/>
  <c r="AJ184" i="24"/>
  <c r="G184" i="24"/>
  <c r="AJ183" i="24"/>
  <c r="G183" i="24"/>
  <c r="AJ182" i="24"/>
  <c r="G182" i="24"/>
  <c r="AJ181" i="24"/>
  <c r="G181" i="24"/>
  <c r="AJ180" i="24"/>
  <c r="G180" i="24"/>
  <c r="AJ179" i="24"/>
  <c r="G179" i="24"/>
  <c r="AJ178" i="24"/>
  <c r="G178" i="24"/>
  <c r="AJ177" i="24"/>
  <c r="G177" i="24"/>
  <c r="AJ176" i="24"/>
  <c r="G176" i="24"/>
  <c r="AJ175" i="24"/>
  <c r="G175" i="24"/>
  <c r="AJ174" i="24"/>
  <c r="G174" i="24"/>
  <c r="AJ173" i="24"/>
  <c r="G173" i="24"/>
  <c r="AJ172" i="24"/>
  <c r="G172" i="24"/>
  <c r="AJ171" i="24"/>
  <c r="G171" i="24"/>
  <c r="AJ170" i="24"/>
  <c r="G170" i="24"/>
  <c r="AJ169" i="24"/>
  <c r="G169" i="24"/>
  <c r="AJ168" i="24"/>
  <c r="G168" i="24"/>
  <c r="AJ167" i="24"/>
  <c r="G167" i="24"/>
  <c r="AJ166" i="24"/>
  <c r="G166" i="24"/>
  <c r="AJ165" i="24"/>
  <c r="G165" i="24"/>
  <c r="AJ164" i="24"/>
  <c r="G164" i="24"/>
  <c r="AJ163" i="24"/>
  <c r="G163" i="24"/>
  <c r="AJ162" i="24"/>
  <c r="G162" i="24"/>
  <c r="AJ161" i="24"/>
  <c r="G161" i="24"/>
  <c r="AJ160" i="24"/>
  <c r="G160" i="24"/>
  <c r="AJ159" i="24"/>
  <c r="G159" i="24"/>
  <c r="AJ158" i="24"/>
  <c r="G158" i="24"/>
  <c r="AJ157" i="24"/>
  <c r="G157" i="24"/>
  <c r="AJ156" i="24"/>
  <c r="G156" i="24"/>
  <c r="AJ155" i="24"/>
  <c r="G155" i="24"/>
  <c r="AJ154" i="24"/>
  <c r="G154" i="24"/>
  <c r="AJ153" i="24"/>
  <c r="G153" i="24"/>
  <c r="AJ152" i="24"/>
  <c r="G152" i="24"/>
  <c r="AJ151" i="24"/>
  <c r="G151" i="24"/>
  <c r="AJ150" i="24"/>
  <c r="G150" i="24"/>
  <c r="AJ149" i="24"/>
  <c r="G149" i="24"/>
  <c r="AJ148" i="24"/>
  <c r="G148" i="24"/>
  <c r="AJ147" i="24"/>
  <c r="G147" i="24"/>
  <c r="AJ146" i="24"/>
  <c r="G146" i="24"/>
  <c r="AJ145" i="24"/>
  <c r="G145" i="24"/>
  <c r="AJ144" i="24"/>
  <c r="G144" i="24"/>
  <c r="AJ143" i="24"/>
  <c r="G143" i="24"/>
  <c r="AJ142" i="24"/>
  <c r="G142" i="24"/>
  <c r="AJ141" i="24"/>
  <c r="G141" i="24"/>
  <c r="AJ140" i="24"/>
  <c r="G140" i="24"/>
  <c r="AJ139" i="24"/>
  <c r="G139" i="24"/>
  <c r="AJ138" i="24"/>
  <c r="G138" i="24"/>
  <c r="AJ137" i="24"/>
  <c r="G137" i="24"/>
  <c r="AJ136" i="24"/>
  <c r="G136" i="24"/>
  <c r="AJ135" i="24"/>
  <c r="G135" i="24"/>
  <c r="AJ134" i="24"/>
  <c r="G134" i="24"/>
  <c r="AJ133" i="24"/>
  <c r="G133" i="24"/>
  <c r="AJ132" i="24"/>
  <c r="G132" i="24"/>
  <c r="AJ131" i="24"/>
  <c r="G131" i="24"/>
  <c r="AJ130" i="24"/>
  <c r="G130" i="24"/>
  <c r="AJ129" i="24"/>
  <c r="G129" i="24"/>
  <c r="AJ128" i="24"/>
  <c r="G128" i="24"/>
  <c r="AJ127" i="24"/>
  <c r="G127" i="24"/>
  <c r="AJ126" i="24"/>
  <c r="G126" i="24"/>
  <c r="AJ125" i="24"/>
  <c r="G125" i="24"/>
  <c r="BE124" i="24"/>
  <c r="AJ124" i="24"/>
  <c r="G124" i="24"/>
  <c r="BE123" i="24"/>
  <c r="AJ123" i="24"/>
  <c r="G123" i="24"/>
  <c r="E111" i="24"/>
  <c r="CL48" i="24"/>
  <c r="CL47" i="24"/>
  <c r="BY44" i="24"/>
  <c r="BY35" i="24"/>
  <c r="BY34" i="24"/>
  <c r="CL33" i="24"/>
  <c r="BY33" i="24"/>
  <c r="CL32" i="24"/>
  <c r="BY31" i="24"/>
  <c r="CL23" i="24"/>
  <c r="CL22" i="24"/>
  <c r="BY22" i="24"/>
  <c r="BY21" i="24"/>
  <c r="BY20" i="24"/>
  <c r="E73" i="24"/>
  <c r="G65" i="24"/>
  <c r="G64" i="24"/>
  <c r="BE62" i="24"/>
  <c r="AJ62" i="24"/>
  <c r="G62" i="24"/>
  <c r="B6" i="24"/>
  <c r="AU48" i="23"/>
  <c r="AU47" i="23"/>
  <c r="AU33" i="23"/>
  <c r="AU32" i="23"/>
  <c r="AU23" i="23"/>
  <c r="AU22" i="23"/>
  <c r="AO33" i="22"/>
  <c r="AO23" i="22"/>
  <c r="Y6" i="22"/>
  <c r="AB5" i="23"/>
  <c r="R6" i="22"/>
  <c r="AX5" i="24"/>
  <c r="BS6" i="24"/>
  <c r="R6" i="23"/>
  <c r="G79" i="24" l="1"/>
  <c r="G111" i="24"/>
  <c r="G73" i="24"/>
  <c r="BG62" i="24"/>
  <c r="BJ62" i="24"/>
  <c r="AL62" i="24"/>
  <c r="AO62" i="24"/>
  <c r="V126" i="22"/>
  <c r="L123" i="23"/>
  <c r="M124" i="23" s="1"/>
  <c r="N124" i="23" s="1"/>
  <c r="L122" i="23"/>
  <c r="L121" i="23"/>
  <c r="BF63" i="24"/>
  <c r="CL30" i="24"/>
  <c r="Y63" i="23"/>
  <c r="AB6" i="23"/>
  <c r="AU30" i="23"/>
  <c r="AX6" i="24"/>
  <c r="AK63" i="24"/>
  <c r="AU20" i="23"/>
  <c r="CL20" i="24"/>
  <c r="CL19" i="24"/>
  <c r="E106" i="24"/>
  <c r="G119" i="24"/>
  <c r="G68" i="24"/>
  <c r="E115" i="24"/>
  <c r="E104" i="24"/>
  <c r="R5" i="23"/>
  <c r="BS5" i="24"/>
  <c r="E109" i="24"/>
  <c r="G120" i="24"/>
  <c r="E85" i="24"/>
  <c r="CL29" i="24"/>
  <c r="E99" i="24"/>
  <c r="E87" i="24"/>
  <c r="G122" i="24"/>
  <c r="E100" i="24"/>
  <c r="E113" i="24"/>
  <c r="E72" i="24"/>
  <c r="E82" i="24"/>
  <c r="E84" i="24"/>
  <c r="E86" i="24"/>
  <c r="E114" i="24"/>
  <c r="E74" i="24"/>
  <c r="E105" i="24"/>
  <c r="E116" i="24"/>
  <c r="E81" i="24"/>
  <c r="E107" i="24"/>
  <c r="E78" i="24"/>
  <c r="F79" i="24" s="1"/>
  <c r="E76" i="24"/>
  <c r="E110" i="24"/>
  <c r="E108" i="24"/>
  <c r="E83" i="24"/>
  <c r="E102" i="24"/>
  <c r="E75" i="24"/>
  <c r="E112" i="24"/>
  <c r="E80" i="24"/>
  <c r="E77" i="24"/>
  <c r="E103" i="24"/>
  <c r="E101" i="24"/>
  <c r="E117" i="24"/>
  <c r="G99" i="24" l="1"/>
  <c r="G115" i="24"/>
  <c r="G104" i="24"/>
  <c r="G97" i="24"/>
  <c r="G106" i="24"/>
  <c r="G109" i="24"/>
  <c r="G95" i="24"/>
  <c r="F73" i="24"/>
  <c r="G90" i="24"/>
  <c r="G89" i="24"/>
  <c r="F118" i="24"/>
  <c r="G85" i="24"/>
  <c r="G87" i="24"/>
  <c r="BG63" i="24"/>
  <c r="BJ63" i="24"/>
  <c r="AL63" i="24"/>
  <c r="AO63" i="24"/>
  <c r="F109" i="24"/>
  <c r="V127" i="22"/>
  <c r="O127" i="22"/>
  <c r="N127" i="22"/>
  <c r="M123" i="23"/>
  <c r="M122" i="23"/>
  <c r="F85" i="24"/>
  <c r="F115" i="24"/>
  <c r="F87" i="24"/>
  <c r="F104" i="24"/>
  <c r="G117" i="24"/>
  <c r="F117" i="24"/>
  <c r="G121" i="24"/>
  <c r="G77" i="24"/>
  <c r="F77" i="24"/>
  <c r="G88" i="24"/>
  <c r="F88" i="24"/>
  <c r="G110" i="24"/>
  <c r="F110" i="24"/>
  <c r="G116" i="24"/>
  <c r="F116" i="24"/>
  <c r="G67" i="24"/>
  <c r="F67" i="24"/>
  <c r="F68" i="24"/>
  <c r="G113" i="24"/>
  <c r="F113" i="24"/>
  <c r="G92" i="24"/>
  <c r="G98" i="24"/>
  <c r="G72" i="24"/>
  <c r="F72" i="24"/>
  <c r="G93" i="24"/>
  <c r="G101" i="24"/>
  <c r="F101" i="24"/>
  <c r="G105" i="24"/>
  <c r="F105" i="24"/>
  <c r="G112" i="24"/>
  <c r="F112" i="24"/>
  <c r="F106" i="24"/>
  <c r="G102" i="24"/>
  <c r="F102" i="24"/>
  <c r="G70" i="24"/>
  <c r="F70" i="24"/>
  <c r="G86" i="24"/>
  <c r="F86" i="24"/>
  <c r="F111" i="24"/>
  <c r="G100" i="24"/>
  <c r="F100" i="24"/>
  <c r="G83" i="24"/>
  <c r="F83" i="24"/>
  <c r="G103" i="24"/>
  <c r="F103" i="24"/>
  <c r="G108" i="24"/>
  <c r="F108" i="24"/>
  <c r="G76" i="24"/>
  <c r="F76" i="24"/>
  <c r="G91" i="24"/>
  <c r="G84" i="24"/>
  <c r="F84" i="24"/>
  <c r="G80" i="24"/>
  <c r="F80" i="24"/>
  <c r="G107" i="24"/>
  <c r="F107" i="24"/>
  <c r="G82" i="24"/>
  <c r="F82" i="24"/>
  <c r="G96" i="24"/>
  <c r="G81" i="24"/>
  <c r="F81" i="24"/>
  <c r="G114" i="24"/>
  <c r="F114" i="24"/>
  <c r="G118" i="24"/>
  <c r="G66" i="24"/>
  <c r="G94" i="24"/>
  <c r="G75" i="24"/>
  <c r="F75" i="24"/>
  <c r="G78" i="24"/>
  <c r="F78" i="24"/>
  <c r="G69" i="24"/>
  <c r="F69" i="24"/>
  <c r="G74" i="24"/>
  <c r="F74" i="24"/>
  <c r="F99" i="24"/>
  <c r="G71" i="24"/>
  <c r="F71" i="24"/>
  <c r="G63" i="24"/>
  <c r="BY12" i="24"/>
  <c r="BY49" i="24"/>
  <c r="BY11" i="24"/>
  <c r="V128" i="22" l="1"/>
  <c r="N128" i="22"/>
  <c r="O128" i="22"/>
  <c r="E119" i="23"/>
  <c r="E120" i="23"/>
  <c r="F120" i="23" s="1"/>
  <c r="B6" i="23"/>
  <c r="B6" i="22"/>
  <c r="V129" i="22" l="1"/>
  <c r="N129" i="22"/>
  <c r="O129" i="22"/>
  <c r="AJ122" i="24"/>
  <c r="E117" i="23"/>
  <c r="N122" i="23"/>
  <c r="C6" i="22"/>
  <c r="C6" i="24"/>
  <c r="E118" i="23"/>
  <c r="L118" i="23"/>
  <c r="L116" i="23"/>
  <c r="L117" i="23"/>
  <c r="L120" i="23"/>
  <c r="L119" i="23"/>
  <c r="C6" i="23"/>
  <c r="AH35" i="23"/>
  <c r="AH34" i="23"/>
  <c r="AH43" i="23" s="1"/>
  <c r="AH33" i="23"/>
  <c r="AH22" i="23"/>
  <c r="AH21" i="23"/>
  <c r="AH20" i="23"/>
  <c r="F183" i="23"/>
  <c r="F184" i="23"/>
  <c r="N183" i="23"/>
  <c r="N184" i="23"/>
  <c r="X183" i="23"/>
  <c r="X184" i="23"/>
  <c r="F178" i="23"/>
  <c r="F179" i="23"/>
  <c r="F180" i="23"/>
  <c r="F181" i="23"/>
  <c r="F182" i="23"/>
  <c r="N178" i="23"/>
  <c r="N179" i="23"/>
  <c r="N180" i="23"/>
  <c r="N181" i="23"/>
  <c r="N182" i="23"/>
  <c r="X178" i="23"/>
  <c r="X179" i="23"/>
  <c r="X180" i="23"/>
  <c r="X181" i="23"/>
  <c r="X182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N164" i="23"/>
  <c r="N165" i="23"/>
  <c r="N166" i="23"/>
  <c r="N167" i="23"/>
  <c r="N168" i="23"/>
  <c r="N169" i="23"/>
  <c r="N170" i="23"/>
  <c r="N171" i="23"/>
  <c r="N172" i="23"/>
  <c r="N173" i="23"/>
  <c r="N174" i="23"/>
  <c r="N175" i="23"/>
  <c r="N176" i="23"/>
  <c r="N177" i="23"/>
  <c r="X164" i="23"/>
  <c r="X165" i="23"/>
  <c r="X166" i="23"/>
  <c r="X167" i="23"/>
  <c r="X168" i="23"/>
  <c r="X169" i="23"/>
  <c r="X170" i="23"/>
  <c r="X171" i="23"/>
  <c r="X172" i="23"/>
  <c r="X173" i="23"/>
  <c r="X174" i="23"/>
  <c r="X175" i="23"/>
  <c r="X176" i="23"/>
  <c r="X177" i="23"/>
  <c r="E180" i="22"/>
  <c r="E181" i="22"/>
  <c r="E182" i="22"/>
  <c r="E183" i="22"/>
  <c r="E184" i="22"/>
  <c r="L180" i="22"/>
  <c r="L181" i="22"/>
  <c r="L182" i="22"/>
  <c r="L183" i="22"/>
  <c r="L184" i="22"/>
  <c r="S180" i="22"/>
  <c r="S181" i="22"/>
  <c r="S182" i="22"/>
  <c r="S183" i="22"/>
  <c r="S184" i="22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N133" i="23"/>
  <c r="N134" i="23"/>
  <c r="N135" i="23"/>
  <c r="N136" i="23"/>
  <c r="N137" i="23"/>
  <c r="N138" i="23"/>
  <c r="N139" i="23"/>
  <c r="N140" i="23"/>
  <c r="N141" i="23"/>
  <c r="N142" i="23"/>
  <c r="N143" i="23"/>
  <c r="N144" i="23"/>
  <c r="N145" i="23"/>
  <c r="N146" i="23"/>
  <c r="N147" i="23"/>
  <c r="N148" i="23"/>
  <c r="N149" i="23"/>
  <c r="N150" i="23"/>
  <c r="N151" i="23"/>
  <c r="N152" i="23"/>
  <c r="N153" i="23"/>
  <c r="N154" i="23"/>
  <c r="N155" i="23"/>
  <c r="N156" i="23"/>
  <c r="N157" i="23"/>
  <c r="N158" i="23"/>
  <c r="N159" i="23"/>
  <c r="N160" i="23"/>
  <c r="N161" i="23"/>
  <c r="N162" i="23"/>
  <c r="N163" i="23"/>
  <c r="X133" i="23"/>
  <c r="X134" i="23"/>
  <c r="X135" i="23"/>
  <c r="X136" i="23"/>
  <c r="X137" i="23"/>
  <c r="X138" i="23"/>
  <c r="X139" i="23"/>
  <c r="X140" i="23"/>
  <c r="X141" i="23"/>
  <c r="X142" i="23"/>
  <c r="X143" i="23"/>
  <c r="X144" i="23"/>
  <c r="X145" i="23"/>
  <c r="X146" i="23"/>
  <c r="X147" i="23"/>
  <c r="X148" i="23"/>
  <c r="X149" i="23"/>
  <c r="X150" i="23"/>
  <c r="X151" i="23"/>
  <c r="X152" i="23"/>
  <c r="X153" i="23"/>
  <c r="X154" i="23"/>
  <c r="X155" i="23"/>
  <c r="X156" i="23"/>
  <c r="X157" i="23"/>
  <c r="X158" i="23"/>
  <c r="X159" i="23"/>
  <c r="X160" i="23"/>
  <c r="X161" i="23"/>
  <c r="X162" i="23"/>
  <c r="X163" i="23"/>
  <c r="N123" i="23"/>
  <c r="N125" i="23"/>
  <c r="N126" i="23"/>
  <c r="N127" i="23"/>
  <c r="N128" i="23"/>
  <c r="N129" i="23"/>
  <c r="N130" i="23"/>
  <c r="N131" i="23"/>
  <c r="N132" i="23"/>
  <c r="F126" i="23"/>
  <c r="F127" i="23"/>
  <c r="F128" i="23"/>
  <c r="F129" i="23"/>
  <c r="F130" i="23"/>
  <c r="F131" i="23"/>
  <c r="F132" i="23"/>
  <c r="E116" i="23"/>
  <c r="AW11" i="24" l="1"/>
  <c r="AW23" i="24"/>
  <c r="AW35" i="24"/>
  <c r="AW47" i="24"/>
  <c r="AW59" i="24"/>
  <c r="AW71" i="24"/>
  <c r="AW83" i="24"/>
  <c r="AW95" i="24"/>
  <c r="AW107" i="24"/>
  <c r="AW119" i="24"/>
  <c r="AW131" i="24"/>
  <c r="AW143" i="24"/>
  <c r="AW155" i="24"/>
  <c r="AW167" i="24"/>
  <c r="AW179" i="24"/>
  <c r="P280" i="23"/>
  <c r="Q250" i="23"/>
  <c r="Q256" i="23"/>
  <c r="Q260" i="23"/>
  <c r="Q265" i="23"/>
  <c r="P270" i="23"/>
  <c r="P275" i="23"/>
  <c r="Q222" i="23"/>
  <c r="Q230" i="23"/>
  <c r="P235" i="23"/>
  <c r="P240" i="23"/>
  <c r="Q246" i="23"/>
  <c r="P196" i="23"/>
  <c r="P218" i="23"/>
  <c r="Q193" i="23"/>
  <c r="Q205" i="23"/>
  <c r="Q217" i="23"/>
  <c r="AW12" i="24"/>
  <c r="AW24" i="24"/>
  <c r="AW36" i="24"/>
  <c r="AW48" i="24"/>
  <c r="AW60" i="24"/>
  <c r="AW72" i="24"/>
  <c r="AW84" i="24"/>
  <c r="AW96" i="24"/>
  <c r="AW108" i="24"/>
  <c r="AW120" i="24"/>
  <c r="AW132" i="24"/>
  <c r="AW144" i="24"/>
  <c r="AW156" i="24"/>
  <c r="AW168" i="24"/>
  <c r="AW180" i="24"/>
  <c r="AW14" i="24"/>
  <c r="AW26" i="24"/>
  <c r="AW38" i="24"/>
  <c r="AW50" i="24"/>
  <c r="AW62" i="24"/>
  <c r="AW74" i="24"/>
  <c r="AW86" i="24"/>
  <c r="AW16" i="24"/>
  <c r="AW28" i="24"/>
  <c r="AW40" i="24"/>
  <c r="AW52" i="24"/>
  <c r="AW64" i="24"/>
  <c r="AW76" i="24"/>
  <c r="AW88" i="24"/>
  <c r="AW17" i="24"/>
  <c r="AW29" i="24"/>
  <c r="AW41" i="24"/>
  <c r="AW53" i="24"/>
  <c r="AW65" i="24"/>
  <c r="AW77" i="24"/>
  <c r="AW89" i="24"/>
  <c r="AW101" i="24"/>
  <c r="AW113" i="24"/>
  <c r="AW125" i="24"/>
  <c r="AW137" i="24"/>
  <c r="AW149" i="24"/>
  <c r="AW161" i="24"/>
  <c r="AW173" i="24"/>
  <c r="Q258" i="23"/>
  <c r="Q263" i="23"/>
  <c r="P267" i="23"/>
  <c r="Q273" i="23"/>
  <c r="Q228" i="23"/>
  <c r="P232" i="23"/>
  <c r="Q238" i="23"/>
  <c r="P243" i="23"/>
  <c r="P189" i="23"/>
  <c r="P207" i="23"/>
  <c r="Q185" i="23"/>
  <c r="AW18" i="24"/>
  <c r="AW30" i="24"/>
  <c r="AW42" i="24"/>
  <c r="AW54" i="24"/>
  <c r="AW66" i="24"/>
  <c r="AW78" i="24"/>
  <c r="AW90" i="24"/>
  <c r="AW102" i="24"/>
  <c r="AW114" i="24"/>
  <c r="AW126" i="24"/>
  <c r="AW138" i="24"/>
  <c r="AW150" i="24"/>
  <c r="AW162" i="24"/>
  <c r="AW174" i="24"/>
  <c r="P253" i="23"/>
  <c r="Q267" i="23"/>
  <c r="Q272" i="23"/>
  <c r="Q232" i="23"/>
  <c r="Q243" i="23"/>
  <c r="P190" i="23"/>
  <c r="P208" i="23"/>
  <c r="Q187" i="23"/>
  <c r="Q194" i="23"/>
  <c r="Q206" i="23"/>
  <c r="Q218" i="23"/>
  <c r="AW19" i="24"/>
  <c r="AW31" i="24"/>
  <c r="AW43" i="24"/>
  <c r="AW55" i="24"/>
  <c r="AW67" i="24"/>
  <c r="AW79" i="24"/>
  <c r="AW91" i="24"/>
  <c r="AW103" i="24"/>
  <c r="AW115" i="24"/>
  <c r="AW127" i="24"/>
  <c r="AW139" i="24"/>
  <c r="AW151" i="24"/>
  <c r="AW163" i="24"/>
  <c r="AW175" i="24"/>
  <c r="Q247" i="23"/>
  <c r="P252" i="23"/>
  <c r="Q253" i="23"/>
  <c r="P262" i="23"/>
  <c r="P266" i="23"/>
  <c r="Q277" i="23"/>
  <c r="P227" i="23"/>
  <c r="P237" i="23"/>
  <c r="P242" i="23"/>
  <c r="P191" i="23"/>
  <c r="P213" i="23"/>
  <c r="Q201" i="23"/>
  <c r="Q213" i="23"/>
  <c r="AW9" i="24"/>
  <c r="AW21" i="24"/>
  <c r="AW33" i="24"/>
  <c r="AW45" i="24"/>
  <c r="AW57" i="24"/>
  <c r="AW69" i="24"/>
  <c r="AW81" i="24"/>
  <c r="AW93" i="24"/>
  <c r="AW105" i="24"/>
  <c r="AW117" i="24"/>
  <c r="AW129" i="24"/>
  <c r="AW141" i="24"/>
  <c r="AW153" i="24"/>
  <c r="AW165" i="24"/>
  <c r="AW177" i="24"/>
  <c r="Q281" i="23"/>
  <c r="P251" i="23"/>
  <c r="P261" i="23"/>
  <c r="P271" i="23"/>
  <c r="P276" i="23"/>
  <c r="P226" i="23"/>
  <c r="Q231" i="23"/>
  <c r="P241" i="23"/>
  <c r="P194" i="23"/>
  <c r="P215" i="23"/>
  <c r="Q191" i="23"/>
  <c r="Q203" i="23"/>
  <c r="Q215" i="23"/>
  <c r="AW15" i="24"/>
  <c r="AW51" i="24"/>
  <c r="AW87" i="24"/>
  <c r="AW112" i="24"/>
  <c r="AW136" i="24"/>
  <c r="AW160" i="24"/>
  <c r="AW184" i="24"/>
  <c r="P256" i="23"/>
  <c r="Q261" i="23"/>
  <c r="Q264" i="23"/>
  <c r="Q269" i="23"/>
  <c r="Q227" i="23"/>
  <c r="Q235" i="23"/>
  <c r="P204" i="23"/>
  <c r="Q192" i="23"/>
  <c r="Q196" i="23"/>
  <c r="Q200" i="23"/>
  <c r="Q202" i="23"/>
  <c r="Q204" i="23"/>
  <c r="Q208" i="23"/>
  <c r="Q212" i="23"/>
  <c r="Q214" i="23"/>
  <c r="Q216" i="23"/>
  <c r="Q220" i="23"/>
  <c r="Q10" i="23"/>
  <c r="Q22" i="23"/>
  <c r="Q34" i="23"/>
  <c r="Q46" i="23"/>
  <c r="Q58" i="23"/>
  <c r="Q70" i="23"/>
  <c r="Q82" i="23"/>
  <c r="Q94" i="23"/>
  <c r="Q106" i="23"/>
  <c r="Q118" i="23"/>
  <c r="Q130" i="23"/>
  <c r="Q142" i="23"/>
  <c r="Q154" i="23"/>
  <c r="AW20" i="24"/>
  <c r="AW56" i="24"/>
  <c r="AW92" i="24"/>
  <c r="AW116" i="24"/>
  <c r="AW140" i="24"/>
  <c r="AW164" i="24"/>
  <c r="Q266" i="23"/>
  <c r="P274" i="23"/>
  <c r="Q224" i="23"/>
  <c r="P238" i="23"/>
  <c r="P246" i="23"/>
  <c r="P206" i="23"/>
  <c r="Q188" i="23"/>
  <c r="Q190" i="23"/>
  <c r="Q11" i="23"/>
  <c r="Q23" i="23"/>
  <c r="Q35" i="23"/>
  <c r="Q47" i="23"/>
  <c r="Q59" i="23"/>
  <c r="Q71" i="23"/>
  <c r="Q83" i="23"/>
  <c r="Q95" i="23"/>
  <c r="Q107" i="23"/>
  <c r="Q119" i="23"/>
  <c r="Q131" i="23"/>
  <c r="Q143" i="23"/>
  <c r="Q155" i="23"/>
  <c r="Q167" i="23"/>
  <c r="Q179" i="23"/>
  <c r="AW22" i="24"/>
  <c r="AW58" i="24"/>
  <c r="AW94" i="24"/>
  <c r="AW118" i="24"/>
  <c r="AW142" i="24"/>
  <c r="AW166" i="24"/>
  <c r="Q274" i="23"/>
  <c r="P214" i="23"/>
  <c r="Q186" i="23"/>
  <c r="AW25" i="24"/>
  <c r="AW61" i="24"/>
  <c r="AW97" i="24"/>
  <c r="AW121" i="24"/>
  <c r="AW145" i="24"/>
  <c r="AW169" i="24"/>
  <c r="P249" i="23"/>
  <c r="P263" i="23"/>
  <c r="P268" i="23"/>
  <c r="Q271" i="23"/>
  <c r="P279" i="23"/>
  <c r="Q229" i="23"/>
  <c r="Q240" i="23"/>
  <c r="P216" i="23"/>
  <c r="Q13" i="23"/>
  <c r="Q25" i="23"/>
  <c r="Q37" i="23"/>
  <c r="Q49" i="23"/>
  <c r="Q61" i="23"/>
  <c r="Q73" i="23"/>
  <c r="Q85" i="23"/>
  <c r="Q97" i="23"/>
  <c r="Q109" i="23"/>
  <c r="Q121" i="23"/>
  <c r="Q133" i="23"/>
  <c r="Q145" i="23"/>
  <c r="Q157" i="23"/>
  <c r="Q169" i="23"/>
  <c r="Q181" i="23"/>
  <c r="AW27" i="24"/>
  <c r="AW63" i="24"/>
  <c r="AW98" i="24"/>
  <c r="AW122" i="24"/>
  <c r="AW146" i="24"/>
  <c r="AW170" i="24"/>
  <c r="Q249" i="23"/>
  <c r="P255" i="23"/>
  <c r="Q268" i="23"/>
  <c r="Q276" i="23"/>
  <c r="Q279" i="23"/>
  <c r="AW32" i="24"/>
  <c r="AW68" i="24"/>
  <c r="AW99" i="24"/>
  <c r="AW123" i="24"/>
  <c r="AW147" i="24"/>
  <c r="AW171" i="24"/>
  <c r="Q252" i="23"/>
  <c r="Q255" i="23"/>
  <c r="Q234" i="23"/>
  <c r="P245" i="23"/>
  <c r="P220" i="23"/>
  <c r="Q195" i="23"/>
  <c r="Q207" i="23"/>
  <c r="Q219" i="23"/>
  <c r="Q15" i="23"/>
  <c r="Q27" i="23"/>
  <c r="Q39" i="23"/>
  <c r="Q51" i="23"/>
  <c r="Q63" i="23"/>
  <c r="Q75" i="23"/>
  <c r="Q87" i="23"/>
  <c r="Q99" i="23"/>
  <c r="Q111" i="23"/>
  <c r="Q123" i="23"/>
  <c r="Q135" i="23"/>
  <c r="Q147" i="23"/>
  <c r="Q159" i="23"/>
  <c r="Q171" i="23"/>
  <c r="Q183" i="23"/>
  <c r="AW34" i="24"/>
  <c r="AW70" i="24"/>
  <c r="AW100" i="24"/>
  <c r="AW124" i="24"/>
  <c r="AW148" i="24"/>
  <c r="AW172" i="24"/>
  <c r="P273" i="23"/>
  <c r="P278" i="23"/>
  <c r="Q223" i="23"/>
  <c r="P231" i="23"/>
  <c r="Q237" i="23"/>
  <c r="Q245" i="23"/>
  <c r="Q197" i="23"/>
  <c r="Q199" i="23"/>
  <c r="Q209" i="23"/>
  <c r="Q211" i="23"/>
  <c r="Q221" i="23"/>
  <c r="Q16" i="23"/>
  <c r="Q28" i="23"/>
  <c r="Q40" i="23"/>
  <c r="Q52" i="23"/>
  <c r="Q64" i="23"/>
  <c r="Q76" i="23"/>
  <c r="Q88" i="23"/>
  <c r="Q100" i="23"/>
  <c r="Q112" i="23"/>
  <c r="Q124" i="23"/>
  <c r="Q136" i="23"/>
  <c r="Q148" i="23"/>
  <c r="Q160" i="23"/>
  <c r="Q172" i="23"/>
  <c r="Q184" i="23"/>
  <c r="AW37" i="24"/>
  <c r="AW73" i="24"/>
  <c r="AW104" i="24"/>
  <c r="AW128" i="24"/>
  <c r="AW152" i="24"/>
  <c r="AW176" i="24"/>
  <c r="Q270" i="23"/>
  <c r="Q278" i="23"/>
  <c r="P228" i="23"/>
  <c r="Q242" i="23"/>
  <c r="P192" i="23"/>
  <c r="Q189" i="23"/>
  <c r="Q17" i="23"/>
  <c r="Q29" i="23"/>
  <c r="Q41" i="23"/>
  <c r="Q53" i="23"/>
  <c r="Q65" i="23"/>
  <c r="Q77" i="23"/>
  <c r="Q89" i="23"/>
  <c r="Q101" i="23"/>
  <c r="Q113" i="23"/>
  <c r="Q125" i="23"/>
  <c r="Q137" i="23"/>
  <c r="Q149" i="23"/>
  <c r="AW39" i="24"/>
  <c r="AW75" i="24"/>
  <c r="AW106" i="24"/>
  <c r="AW130" i="24"/>
  <c r="AW154" i="24"/>
  <c r="AW178" i="24"/>
  <c r="Q248" i="23"/>
  <c r="Q251" i="23"/>
  <c r="P254" i="23"/>
  <c r="Q257" i="23"/>
  <c r="Q262" i="23"/>
  <c r="Q275" i="23"/>
  <c r="P225" i="23"/>
  <c r="P233" i="23"/>
  <c r="Q236" i="23"/>
  <c r="P239" i="23"/>
  <c r="P195" i="23"/>
  <c r="Q18" i="23"/>
  <c r="Q30" i="23"/>
  <c r="Q42" i="23"/>
  <c r="Q54" i="23"/>
  <c r="Q66" i="23"/>
  <c r="Q78" i="23"/>
  <c r="Q90" i="23"/>
  <c r="Q102" i="23"/>
  <c r="Q114" i="23"/>
  <c r="Q126" i="23"/>
  <c r="Q138" i="23"/>
  <c r="Q150" i="23"/>
  <c r="Q162" i="23"/>
  <c r="Q174" i="23"/>
  <c r="AW8" i="24"/>
  <c r="AW44" i="24"/>
  <c r="AW80" i="24"/>
  <c r="AW109" i="24"/>
  <c r="AW133" i="24"/>
  <c r="AW157" i="24"/>
  <c r="AW181" i="24"/>
  <c r="Q280" i="23"/>
  <c r="Q254" i="23"/>
  <c r="Q225" i="23"/>
  <c r="P230" i="23"/>
  <c r="Q233" i="23"/>
  <c r="Q239" i="23"/>
  <c r="P244" i="23"/>
  <c r="P201" i="23"/>
  <c r="AW10" i="24"/>
  <c r="AW46" i="24"/>
  <c r="AW82" i="24"/>
  <c r="AW110" i="24"/>
  <c r="AW134" i="24"/>
  <c r="AW158" i="24"/>
  <c r="AW182" i="24"/>
  <c r="Q259" i="23"/>
  <c r="Q244" i="23"/>
  <c r="P202" i="23"/>
  <c r="Q20" i="23"/>
  <c r="Q32" i="23"/>
  <c r="Q44" i="23"/>
  <c r="Q56" i="23"/>
  <c r="Q68" i="23"/>
  <c r="Q80" i="23"/>
  <c r="Q92" i="23"/>
  <c r="Q104" i="23"/>
  <c r="Q116" i="23"/>
  <c r="Q128" i="23"/>
  <c r="Q140" i="23"/>
  <c r="Q152" i="23"/>
  <c r="Q164" i="23"/>
  <c r="Q176" i="23"/>
  <c r="AW13" i="24"/>
  <c r="AW49" i="24"/>
  <c r="AW85" i="24"/>
  <c r="AW111" i="24"/>
  <c r="AW135" i="24"/>
  <c r="AW159" i="24"/>
  <c r="AW183" i="24"/>
  <c r="P250" i="23"/>
  <c r="P264" i="23"/>
  <c r="P269" i="23"/>
  <c r="Q241" i="23"/>
  <c r="P203" i="23"/>
  <c r="Q198" i="23"/>
  <c r="Q210" i="23"/>
  <c r="Q9" i="23"/>
  <c r="Q21" i="23"/>
  <c r="Q33" i="23"/>
  <c r="Q45" i="23"/>
  <c r="Q57" i="23"/>
  <c r="Q69" i="23"/>
  <c r="Q81" i="23"/>
  <c r="Q93" i="23"/>
  <c r="Q105" i="23"/>
  <c r="Q117" i="23"/>
  <c r="Q129" i="23"/>
  <c r="Q141" i="23"/>
  <c r="Q153" i="23"/>
  <c r="Q165" i="23"/>
  <c r="Q177" i="23"/>
  <c r="Q14" i="23"/>
  <c r="Q62" i="23"/>
  <c r="Q110" i="23"/>
  <c r="Q158" i="23"/>
  <c r="Q19" i="23"/>
  <c r="Q67" i="23"/>
  <c r="Q115" i="23"/>
  <c r="Q161" i="23"/>
  <c r="Q24" i="23"/>
  <c r="Q72" i="23"/>
  <c r="Q120" i="23"/>
  <c r="Q163" i="23"/>
  <c r="Q26" i="23"/>
  <c r="Q74" i="23"/>
  <c r="Q122" i="23"/>
  <c r="Q166" i="23"/>
  <c r="P234" i="23"/>
  <c r="Q31" i="23"/>
  <c r="Q79" i="23"/>
  <c r="Q127" i="23"/>
  <c r="Q168" i="23"/>
  <c r="Q36" i="23"/>
  <c r="Q84" i="23"/>
  <c r="Q132" i="23"/>
  <c r="Q170" i="23"/>
  <c r="Q38" i="23"/>
  <c r="Q86" i="23"/>
  <c r="Q134" i="23"/>
  <c r="Q173" i="23"/>
  <c r="Q60" i="23"/>
  <c r="Q43" i="23"/>
  <c r="Q91" i="23"/>
  <c r="Q139" i="23"/>
  <c r="Q175" i="23"/>
  <c r="Q48" i="23"/>
  <c r="Q96" i="23"/>
  <c r="Q144" i="23"/>
  <c r="Q178" i="23"/>
  <c r="P219" i="23"/>
  <c r="Q50" i="23"/>
  <c r="Q98" i="23"/>
  <c r="Q146" i="23"/>
  <c r="Q180" i="23"/>
  <c r="Q226" i="23"/>
  <c r="Q55" i="23"/>
  <c r="Q103" i="23"/>
  <c r="Q151" i="23"/>
  <c r="Q182" i="23"/>
  <c r="Q12" i="23"/>
  <c r="Q108" i="23"/>
  <c r="Q156" i="23"/>
  <c r="P224" i="23"/>
  <c r="P210" i="23"/>
  <c r="AM60" i="24"/>
  <c r="AM27" i="24"/>
  <c r="AM14" i="24"/>
  <c r="AM10" i="24"/>
  <c r="AM45" i="24"/>
  <c r="AM54" i="24"/>
  <c r="P212" i="23"/>
  <c r="P198" i="23"/>
  <c r="AM9" i="24"/>
  <c r="AM57" i="24"/>
  <c r="AM18" i="24"/>
  <c r="AM52" i="24"/>
  <c r="AM49" i="24"/>
  <c r="AM59" i="24"/>
  <c r="AM15" i="24"/>
  <c r="AM40" i="24"/>
  <c r="P277" i="23"/>
  <c r="P200" i="23"/>
  <c r="P186" i="23"/>
  <c r="P265" i="23"/>
  <c r="P188" i="23"/>
  <c r="AM8" i="24"/>
  <c r="AM47" i="24"/>
  <c r="AM42" i="24"/>
  <c r="AM35" i="24"/>
  <c r="AM32" i="24"/>
  <c r="P229" i="23"/>
  <c r="P259" i="23"/>
  <c r="AM30" i="24"/>
  <c r="AM19" i="24"/>
  <c r="AM50" i="24"/>
  <c r="AM37" i="24"/>
  <c r="AM23" i="24"/>
  <c r="AM20" i="24"/>
  <c r="P222" i="23"/>
  <c r="P281" i="23"/>
  <c r="P217" i="23"/>
  <c r="P247" i="23"/>
  <c r="AM28" i="24"/>
  <c r="AM33" i="24"/>
  <c r="AM25" i="24"/>
  <c r="AM11" i="24"/>
  <c r="P257" i="23"/>
  <c r="P205" i="23"/>
  <c r="P223" i="23"/>
  <c r="AM58" i="24"/>
  <c r="AM16" i="24"/>
  <c r="AM48" i="24"/>
  <c r="AM13" i="24"/>
  <c r="P221" i="23"/>
  <c r="P193" i="23"/>
  <c r="P211" i="23"/>
  <c r="AM46" i="24"/>
  <c r="AM55" i="24"/>
  <c r="P209" i="23"/>
  <c r="P272" i="23"/>
  <c r="P199" i="23"/>
  <c r="AM36" i="24"/>
  <c r="AM21" i="24"/>
  <c r="AM43" i="24"/>
  <c r="AM41" i="24"/>
  <c r="AM24" i="24"/>
  <c r="P197" i="23"/>
  <c r="P260" i="23"/>
  <c r="P187" i="23"/>
  <c r="AM29" i="24"/>
  <c r="AM56" i="24"/>
  <c r="AM38" i="24"/>
  <c r="AM12" i="24"/>
  <c r="AM51" i="24"/>
  <c r="P236" i="23"/>
  <c r="P185" i="23"/>
  <c r="P248" i="23"/>
  <c r="P258" i="23"/>
  <c r="AM17" i="24"/>
  <c r="AM44" i="24"/>
  <c r="AM26" i="24"/>
  <c r="AM53" i="24"/>
  <c r="AM34" i="24"/>
  <c r="AM31" i="24"/>
  <c r="AM61" i="24"/>
  <c r="AM22" i="24"/>
  <c r="AM39" i="24"/>
  <c r="BR8" i="24"/>
  <c r="BT8" i="24" s="1"/>
  <c r="BR20" i="24"/>
  <c r="BR32" i="24"/>
  <c r="BR44" i="24"/>
  <c r="BT44" i="24" s="1"/>
  <c r="BR56" i="24"/>
  <c r="BR68" i="24"/>
  <c r="BR80" i="24"/>
  <c r="BR92" i="24"/>
  <c r="BR104" i="24"/>
  <c r="BR116" i="24"/>
  <c r="BR128" i="24"/>
  <c r="BR140" i="24"/>
  <c r="BR152" i="24"/>
  <c r="BR164" i="24"/>
  <c r="BR176" i="24"/>
  <c r="AA247" i="23"/>
  <c r="AA253" i="23"/>
  <c r="Z262" i="23"/>
  <c r="Z266" i="23"/>
  <c r="AA272" i="23"/>
  <c r="AA277" i="23"/>
  <c r="Z223" i="23"/>
  <c r="Z227" i="23"/>
  <c r="Z237" i="23"/>
  <c r="Z242" i="23"/>
  <c r="AA243" i="23"/>
  <c r="Z189" i="23"/>
  <c r="Z196" i="23"/>
  <c r="AA201" i="23"/>
  <c r="Z208" i="23"/>
  <c r="AA213" i="23"/>
  <c r="Z220" i="23"/>
  <c r="AC9" i="23"/>
  <c r="AC21" i="23"/>
  <c r="BR9" i="24"/>
  <c r="BR21" i="24"/>
  <c r="BT21" i="24" s="1"/>
  <c r="BR33" i="24"/>
  <c r="BT33" i="24" s="1"/>
  <c r="BR45" i="24"/>
  <c r="BR57" i="24"/>
  <c r="BR69" i="24"/>
  <c r="BR81" i="24"/>
  <c r="BR93" i="24"/>
  <c r="BR105" i="24"/>
  <c r="BR117" i="24"/>
  <c r="BR129" i="24"/>
  <c r="BR141" i="24"/>
  <c r="BR153" i="24"/>
  <c r="BR165" i="24"/>
  <c r="BR177" i="24"/>
  <c r="BR10" i="24"/>
  <c r="BT10" i="24" s="1"/>
  <c r="BR22" i="24"/>
  <c r="BR11" i="24"/>
  <c r="BT11" i="24" s="1"/>
  <c r="BR23" i="24"/>
  <c r="BT23" i="24" s="1"/>
  <c r="BR35" i="24"/>
  <c r="BT35" i="24" s="1"/>
  <c r="BR47" i="24"/>
  <c r="BT47" i="24" s="1"/>
  <c r="BR59" i="24"/>
  <c r="BR71" i="24"/>
  <c r="BR83" i="24"/>
  <c r="BR95" i="24"/>
  <c r="BR107" i="24"/>
  <c r="BR119" i="24"/>
  <c r="BR131" i="24"/>
  <c r="BR143" i="24"/>
  <c r="BR155" i="24"/>
  <c r="BR167" i="24"/>
  <c r="BR179" i="24"/>
  <c r="BR13" i="24"/>
  <c r="BT13" i="24" s="1"/>
  <c r="BR25" i="24"/>
  <c r="BT25" i="24" s="1"/>
  <c r="BR37" i="24"/>
  <c r="BT37" i="24" s="1"/>
  <c r="BR49" i="24"/>
  <c r="BT49" i="24" s="1"/>
  <c r="BR61" i="24"/>
  <c r="BR73" i="24"/>
  <c r="BR85" i="24"/>
  <c r="BR97" i="24"/>
  <c r="BR109" i="24"/>
  <c r="BR121" i="24"/>
  <c r="BR133" i="24"/>
  <c r="BR145" i="24"/>
  <c r="BR157" i="24"/>
  <c r="BR169" i="24"/>
  <c r="BR181" i="24"/>
  <c r="BR14" i="24"/>
  <c r="BT14" i="24" s="1"/>
  <c r="BR26" i="24"/>
  <c r="BR38" i="24"/>
  <c r="BT38" i="24" s="1"/>
  <c r="BR50" i="24"/>
  <c r="BT50" i="24" s="1"/>
  <c r="BR62" i="24"/>
  <c r="BR74" i="24"/>
  <c r="BR86" i="24"/>
  <c r="BR98" i="24"/>
  <c r="BR110" i="24"/>
  <c r="BR122" i="24"/>
  <c r="BR134" i="24"/>
  <c r="BR146" i="24"/>
  <c r="BR158" i="24"/>
  <c r="BR170" i="24"/>
  <c r="BR182" i="24"/>
  <c r="AA280" i="23"/>
  <c r="Z249" i="23"/>
  <c r="AA255" i="23"/>
  <c r="AA270" i="23"/>
  <c r="Z274" i="23"/>
  <c r="AA225" i="23"/>
  <c r="Z229" i="23"/>
  <c r="Z234" i="23"/>
  <c r="AA245" i="23"/>
  <c r="AA188" i="23"/>
  <c r="BR15" i="24"/>
  <c r="BR27" i="24"/>
  <c r="BT27" i="24" s="1"/>
  <c r="BR39" i="24"/>
  <c r="BT39" i="24" s="1"/>
  <c r="BR51" i="24"/>
  <c r="BT51" i="24" s="1"/>
  <c r="BR63" i="24"/>
  <c r="BR75" i="24"/>
  <c r="BR87" i="24"/>
  <c r="BR99" i="24"/>
  <c r="BR111" i="24"/>
  <c r="BR123" i="24"/>
  <c r="BR135" i="24"/>
  <c r="BR147" i="24"/>
  <c r="BR159" i="24"/>
  <c r="BR171" i="24"/>
  <c r="BR183" i="24"/>
  <c r="Z248" i="23"/>
  <c r="AA249" i="23"/>
  <c r="Z259" i="23"/>
  <c r="Z264" i="23"/>
  <c r="Z269" i="23"/>
  <c r="AA274" i="23"/>
  <c r="AC274" i="23" s="1"/>
  <c r="Z279" i="23"/>
  <c r="AA229" i="23"/>
  <c r="Z233" i="23"/>
  <c r="AA234" i="23"/>
  <c r="AC234" i="23" s="1"/>
  <c r="Z239" i="23"/>
  <c r="AA190" i="23"/>
  <c r="Z197" i="23"/>
  <c r="AA202" i="23"/>
  <c r="Z209" i="23"/>
  <c r="AA214" i="23"/>
  <c r="Z221" i="23"/>
  <c r="AA28" i="23"/>
  <c r="AC28" i="23" s="1"/>
  <c r="BR16" i="24"/>
  <c r="BR28" i="24"/>
  <c r="BT28" i="24" s="1"/>
  <c r="BR40" i="24"/>
  <c r="BT40" i="24" s="1"/>
  <c r="BR52" i="24"/>
  <c r="BT52" i="24" s="1"/>
  <c r="BR64" i="24"/>
  <c r="BR76" i="24"/>
  <c r="BR88" i="24"/>
  <c r="BR100" i="24"/>
  <c r="BR112" i="24"/>
  <c r="BR124" i="24"/>
  <c r="BR136" i="24"/>
  <c r="BR148" i="24"/>
  <c r="BR160" i="24"/>
  <c r="BR172" i="24"/>
  <c r="BR184" i="24"/>
  <c r="AA248" i="23"/>
  <c r="Z254" i="23"/>
  <c r="AA259" i="23"/>
  <c r="AA264" i="23"/>
  <c r="AA269" i="23"/>
  <c r="AA279" i="23"/>
  <c r="Z224" i="23"/>
  <c r="AA233" i="23"/>
  <c r="AA239" i="23"/>
  <c r="Z244" i="23"/>
  <c r="Z192" i="23"/>
  <c r="AA197" i="23"/>
  <c r="Z204" i="23"/>
  <c r="AA209" i="23"/>
  <c r="Z216" i="23"/>
  <c r="AA221" i="23"/>
  <c r="AA29" i="23"/>
  <c r="BR17" i="24"/>
  <c r="BR29" i="24"/>
  <c r="BT29" i="24" s="1"/>
  <c r="BR41" i="24"/>
  <c r="BR53" i="24"/>
  <c r="BR65" i="24"/>
  <c r="BR77" i="24"/>
  <c r="BR89" i="24"/>
  <c r="BR101" i="24"/>
  <c r="BR113" i="24"/>
  <c r="BR125" i="24"/>
  <c r="BR137" i="24"/>
  <c r="BR18" i="24"/>
  <c r="BT18" i="24" s="1"/>
  <c r="BR30" i="24"/>
  <c r="BR42" i="24"/>
  <c r="BR54" i="24"/>
  <c r="BR66" i="24"/>
  <c r="BR78" i="24"/>
  <c r="BR90" i="24"/>
  <c r="BR102" i="24"/>
  <c r="BR114" i="24"/>
  <c r="BR126" i="24"/>
  <c r="BR138" i="24"/>
  <c r="BR150" i="24"/>
  <c r="BR162" i="24"/>
  <c r="BR174" i="24"/>
  <c r="Z258" i="23"/>
  <c r="AA263" i="23"/>
  <c r="Z267" i="23"/>
  <c r="AA268" i="23"/>
  <c r="AA273" i="23"/>
  <c r="AA278" i="23"/>
  <c r="AA228" i="23"/>
  <c r="AC228" i="23" s="1"/>
  <c r="Z232" i="23"/>
  <c r="Z238" i="23"/>
  <c r="AA185" i="23"/>
  <c r="Z187" i="23"/>
  <c r="Z194" i="23"/>
  <c r="AA199" i="23"/>
  <c r="Z206" i="23"/>
  <c r="AA211" i="23"/>
  <c r="Z218" i="23"/>
  <c r="AA31" i="23"/>
  <c r="AC31" i="23" s="1"/>
  <c r="BR12" i="24"/>
  <c r="BT12" i="24" s="1"/>
  <c r="BR67" i="24"/>
  <c r="BR115" i="24"/>
  <c r="BR156" i="24"/>
  <c r="AA251" i="23"/>
  <c r="AA254" i="23"/>
  <c r="AC254" i="23" s="1"/>
  <c r="AA257" i="23"/>
  <c r="AA275" i="23"/>
  <c r="Z225" i="23"/>
  <c r="AA236" i="23"/>
  <c r="AC236" i="23" s="1"/>
  <c r="AA27" i="23"/>
  <c r="AA42" i="23"/>
  <c r="AC42" i="23" s="1"/>
  <c r="AA54" i="23"/>
  <c r="AC54" i="23" s="1"/>
  <c r="AA66" i="23"/>
  <c r="AA78" i="23"/>
  <c r="AA90" i="23"/>
  <c r="AA102" i="23"/>
  <c r="AA114" i="23"/>
  <c r="AA126" i="23"/>
  <c r="AA138" i="23"/>
  <c r="AA150" i="23"/>
  <c r="AA162" i="23"/>
  <c r="AA174" i="23"/>
  <c r="Z8" i="23"/>
  <c r="Z20" i="23"/>
  <c r="Z32" i="23"/>
  <c r="Z44" i="23"/>
  <c r="BR19" i="24"/>
  <c r="BT19" i="24" s="1"/>
  <c r="BR70" i="24"/>
  <c r="BR118" i="24"/>
  <c r="BR161" i="24"/>
  <c r="Z280" i="23"/>
  <c r="Z272" i="23"/>
  <c r="Z222" i="23"/>
  <c r="Z230" i="23"/>
  <c r="AA244" i="23"/>
  <c r="AC12" i="23"/>
  <c r="AA30" i="23"/>
  <c r="AC30" i="23" s="1"/>
  <c r="AA43" i="23"/>
  <c r="AA55" i="23"/>
  <c r="AA67" i="23"/>
  <c r="AA79" i="23"/>
  <c r="AA91" i="23"/>
  <c r="AA103" i="23"/>
  <c r="AA115" i="23"/>
  <c r="AA127" i="23"/>
  <c r="AA139" i="23"/>
  <c r="AA151" i="23"/>
  <c r="AA163" i="23"/>
  <c r="AA175" i="23"/>
  <c r="Z9" i="23"/>
  <c r="Z21" i="23"/>
  <c r="Z33" i="23"/>
  <c r="BR24" i="24"/>
  <c r="BT24" i="24" s="1"/>
  <c r="BR72" i="24"/>
  <c r="BR120" i="24"/>
  <c r="BR163" i="24"/>
  <c r="Z277" i="23"/>
  <c r="AA222" i="23"/>
  <c r="AC222" i="23" s="1"/>
  <c r="AA230" i="23"/>
  <c r="AC230" i="23" s="1"/>
  <c r="Z241" i="23"/>
  <c r="AA194" i="23"/>
  <c r="BR31" i="24"/>
  <c r="BT31" i="24" s="1"/>
  <c r="BR79" i="24"/>
  <c r="BR127" i="24"/>
  <c r="BT127" i="24" s="1"/>
  <c r="BR166" i="24"/>
  <c r="Z250" i="23"/>
  <c r="Z256" i="23"/>
  <c r="Z261" i="23"/>
  <c r="AA227" i="23"/>
  <c r="AC227" i="23" s="1"/>
  <c r="Z235" i="23"/>
  <c r="AA241" i="23"/>
  <c r="AA192" i="23"/>
  <c r="AA196" i="23"/>
  <c r="AA198" i="23"/>
  <c r="Z200" i="23"/>
  <c r="Z202" i="23"/>
  <c r="AA204" i="23"/>
  <c r="AA208" i="23"/>
  <c r="AA210" i="23"/>
  <c r="Z212" i="23"/>
  <c r="Z214" i="23"/>
  <c r="AA216" i="23"/>
  <c r="AA220" i="23"/>
  <c r="AC14" i="23"/>
  <c r="AA33" i="23"/>
  <c r="AC33" i="23" s="1"/>
  <c r="AA45" i="23"/>
  <c r="AA57" i="23"/>
  <c r="AA69" i="23"/>
  <c r="AA81" i="23"/>
  <c r="AA93" i="23"/>
  <c r="AA105" i="23"/>
  <c r="AA117" i="23"/>
  <c r="AA129" i="23"/>
  <c r="AA141" i="23"/>
  <c r="AA153" i="23"/>
  <c r="AA165" i="23"/>
  <c r="AA177" i="23"/>
  <c r="Z11" i="23"/>
  <c r="Z23" i="23"/>
  <c r="Z35" i="23"/>
  <c r="BR34" i="24"/>
  <c r="BT34" i="24" s="1"/>
  <c r="BR82" i="24"/>
  <c r="BR130" i="24"/>
  <c r="BR168" i="24"/>
  <c r="Z247" i="23"/>
  <c r="AA250" i="23"/>
  <c r="Z253" i="23"/>
  <c r="AA256" i="23"/>
  <c r="AA261" i="23"/>
  <c r="AA266" i="23"/>
  <c r="AA224" i="23"/>
  <c r="BR36" i="24"/>
  <c r="BT36" i="24" s="1"/>
  <c r="BR84" i="24"/>
  <c r="BR132" i="24"/>
  <c r="BR173" i="24"/>
  <c r="Z243" i="23"/>
  <c r="Z246" i="23"/>
  <c r="AA186" i="23"/>
  <c r="AA35" i="23"/>
  <c r="AC35" i="23" s="1"/>
  <c r="AA47" i="23"/>
  <c r="AA59" i="23"/>
  <c r="AC59" i="23" s="1"/>
  <c r="AA71" i="23"/>
  <c r="AA83" i="23"/>
  <c r="AA95" i="23"/>
  <c r="AA107" i="23"/>
  <c r="AA119" i="23"/>
  <c r="AA131" i="23"/>
  <c r="AA143" i="23"/>
  <c r="AA155" i="23"/>
  <c r="AA167" i="23"/>
  <c r="AA179" i="23"/>
  <c r="Z13" i="23"/>
  <c r="Z25" i="23"/>
  <c r="Z37" i="23"/>
  <c r="BR43" i="24"/>
  <c r="BR91" i="24"/>
  <c r="BR139" i="24"/>
  <c r="BR175" i="24"/>
  <c r="AA258" i="23"/>
  <c r="Z263" i="23"/>
  <c r="Z271" i="23"/>
  <c r="Z240" i="23"/>
  <c r="AA246" i="23"/>
  <c r="AC246" i="23" s="1"/>
  <c r="AA36" i="23"/>
  <c r="AA48" i="23"/>
  <c r="AC48" i="23" s="1"/>
  <c r="AA60" i="23"/>
  <c r="AA72" i="23"/>
  <c r="AA84" i="23"/>
  <c r="AA96" i="23"/>
  <c r="AA108" i="23"/>
  <c r="AA120" i="23"/>
  <c r="AA132" i="23"/>
  <c r="AA144" i="23"/>
  <c r="AA156" i="23"/>
  <c r="AA168" i="23"/>
  <c r="AA180" i="23"/>
  <c r="Z14" i="23"/>
  <c r="Z26" i="23"/>
  <c r="Z38" i="23"/>
  <c r="BR46" i="24"/>
  <c r="BT46" i="24" s="1"/>
  <c r="BR94" i="24"/>
  <c r="BR142" i="24"/>
  <c r="BR178" i="24"/>
  <c r="Z260" i="23"/>
  <c r="Z268" i="23"/>
  <c r="AA271" i="23"/>
  <c r="Z276" i="23"/>
  <c r="Z226" i="23"/>
  <c r="AA240" i="23"/>
  <c r="AC240" i="23" s="1"/>
  <c r="AA22" i="23"/>
  <c r="AA37" i="23"/>
  <c r="AC37" i="23" s="1"/>
  <c r="AA49" i="23"/>
  <c r="AC49" i="23" s="1"/>
  <c r="AA61" i="23"/>
  <c r="AC61" i="23" s="1"/>
  <c r="AA73" i="23"/>
  <c r="AA85" i="23"/>
  <c r="AA97" i="23"/>
  <c r="AA109" i="23"/>
  <c r="AA121" i="23"/>
  <c r="AA133" i="23"/>
  <c r="AA145" i="23"/>
  <c r="AA157" i="23"/>
  <c r="AA169" i="23"/>
  <c r="AA181" i="23"/>
  <c r="Z15" i="23"/>
  <c r="Z27" i="23"/>
  <c r="Z39" i="23"/>
  <c r="BR48" i="24"/>
  <c r="BT48" i="24" s="1"/>
  <c r="BR96" i="24"/>
  <c r="BR144" i="24"/>
  <c r="BR180" i="24"/>
  <c r="Z281" i="23"/>
  <c r="Z252" i="23"/>
  <c r="Z255" i="23"/>
  <c r="AA260" i="23"/>
  <c r="Z265" i="23"/>
  <c r="AA276" i="23"/>
  <c r="AA226" i="23"/>
  <c r="AC226" i="23" s="1"/>
  <c r="Z191" i="23"/>
  <c r="Z193" i="23"/>
  <c r="Z195" i="23"/>
  <c r="Z203" i="23"/>
  <c r="Z205" i="23"/>
  <c r="Z207" i="23"/>
  <c r="Z215" i="23"/>
  <c r="Z217" i="23"/>
  <c r="Z219" i="23"/>
  <c r="AA23" i="23"/>
  <c r="AC23" i="23" s="1"/>
  <c r="AA38" i="23"/>
  <c r="AC38" i="23" s="1"/>
  <c r="AA50" i="23"/>
  <c r="AC50" i="23" s="1"/>
  <c r="AA62" i="23"/>
  <c r="AA74" i="23"/>
  <c r="AA86" i="23"/>
  <c r="AA98" i="23"/>
  <c r="AA110" i="23"/>
  <c r="AA122" i="23"/>
  <c r="AA134" i="23"/>
  <c r="AA146" i="23"/>
  <c r="AA158" i="23"/>
  <c r="AA170" i="23"/>
  <c r="AA182" i="23"/>
  <c r="Z16" i="23"/>
  <c r="Z28" i="23"/>
  <c r="Z40" i="23"/>
  <c r="BR55" i="24"/>
  <c r="BT55" i="24" s="1"/>
  <c r="BR103" i="24"/>
  <c r="BR149" i="24"/>
  <c r="AA281" i="23"/>
  <c r="AC281" i="23" s="1"/>
  <c r="AA252" i="23"/>
  <c r="AA265" i="23"/>
  <c r="Z273" i="23"/>
  <c r="AA223" i="23"/>
  <c r="AC223" i="23" s="1"/>
  <c r="Z231" i="23"/>
  <c r="AA237" i="23"/>
  <c r="Z245" i="23"/>
  <c r="AA191" i="23"/>
  <c r="AA193" i="23"/>
  <c r="AA195" i="23"/>
  <c r="BR58" i="24"/>
  <c r="BT58" i="24" s="1"/>
  <c r="BR106" i="24"/>
  <c r="BR151" i="24"/>
  <c r="Z278" i="23"/>
  <c r="Z228" i="23"/>
  <c r="AA231" i="23"/>
  <c r="AC231" i="23" s="1"/>
  <c r="AA242" i="23"/>
  <c r="AC242" i="23" s="1"/>
  <c r="AA187" i="23"/>
  <c r="AA189" i="23"/>
  <c r="AA25" i="23"/>
  <c r="AA40" i="23"/>
  <c r="AA52" i="23"/>
  <c r="AA64" i="23"/>
  <c r="AA76" i="23"/>
  <c r="AA88" i="23"/>
  <c r="AA100" i="23"/>
  <c r="AA112" i="23"/>
  <c r="AA124" i="23"/>
  <c r="AA136" i="23"/>
  <c r="AA148" i="23"/>
  <c r="AA160" i="23"/>
  <c r="AA172" i="23"/>
  <c r="AA184" i="23"/>
  <c r="Z18" i="23"/>
  <c r="Z30" i="23"/>
  <c r="Z42" i="23"/>
  <c r="BR60" i="24"/>
  <c r="BT60" i="24" s="1"/>
  <c r="BR108" i="24"/>
  <c r="BR154" i="24"/>
  <c r="Z251" i="23"/>
  <c r="Z257" i="23"/>
  <c r="AA262" i="23"/>
  <c r="AC262" i="23" s="1"/>
  <c r="AA267" i="23"/>
  <c r="Z270" i="23"/>
  <c r="Z275" i="23"/>
  <c r="Z236" i="23"/>
  <c r="Z185" i="23"/>
  <c r="AA26" i="23"/>
  <c r="AC26" i="23" s="1"/>
  <c r="AA41" i="23"/>
  <c r="AA53" i="23"/>
  <c r="AC53" i="23" s="1"/>
  <c r="AA65" i="23"/>
  <c r="AA77" i="23"/>
  <c r="AA89" i="23"/>
  <c r="AA101" i="23"/>
  <c r="AA113" i="23"/>
  <c r="AA125" i="23"/>
  <c r="AA137" i="23"/>
  <c r="AA149" i="23"/>
  <c r="AA161" i="23"/>
  <c r="AA173" i="23"/>
  <c r="Z19" i="23"/>
  <c r="Z31" i="23"/>
  <c r="Z43" i="23"/>
  <c r="AA235" i="23"/>
  <c r="AA24" i="23"/>
  <c r="AC24" i="23" s="1"/>
  <c r="AA75" i="23"/>
  <c r="AA123" i="23"/>
  <c r="AA171" i="23"/>
  <c r="Z41" i="23"/>
  <c r="Z199" i="23"/>
  <c r="AA217" i="23"/>
  <c r="AA32" i="23"/>
  <c r="AC32" i="23" s="1"/>
  <c r="AA80" i="23"/>
  <c r="AA128" i="23"/>
  <c r="AA176" i="23"/>
  <c r="AA130" i="23"/>
  <c r="AA212" i="23"/>
  <c r="AA34" i="23"/>
  <c r="AA82" i="23"/>
  <c r="AA178" i="23"/>
  <c r="Z188" i="23"/>
  <c r="AA207" i="23"/>
  <c r="AA39" i="23"/>
  <c r="AC39" i="23" s="1"/>
  <c r="AA87" i="23"/>
  <c r="AA135" i="23"/>
  <c r="AA183" i="23"/>
  <c r="AA238" i="23"/>
  <c r="AC238" i="23" s="1"/>
  <c r="Z210" i="23"/>
  <c r="AA215" i="23"/>
  <c r="AA44" i="23"/>
  <c r="AA92" i="23"/>
  <c r="AA140" i="23"/>
  <c r="Z10" i="23"/>
  <c r="AA205" i="23"/>
  <c r="AA46" i="23"/>
  <c r="AC46" i="23" s="1"/>
  <c r="AA94" i="23"/>
  <c r="AA142" i="23"/>
  <c r="Z12" i="23"/>
  <c r="AA70" i="23"/>
  <c r="AA200" i="23"/>
  <c r="AA218" i="23"/>
  <c r="AA51" i="23"/>
  <c r="AA99" i="23"/>
  <c r="AA147" i="23"/>
  <c r="Z17" i="23"/>
  <c r="AA232" i="23"/>
  <c r="AC232" i="23" s="1"/>
  <c r="Z213" i="23"/>
  <c r="AA56" i="23"/>
  <c r="AC56" i="23" s="1"/>
  <c r="AA104" i="23"/>
  <c r="AA152" i="23"/>
  <c r="Z22" i="23"/>
  <c r="Z198" i="23"/>
  <c r="AA203" i="23"/>
  <c r="AA58" i="23"/>
  <c r="AA106" i="23"/>
  <c r="AA154" i="23"/>
  <c r="Z24" i="23"/>
  <c r="Z211" i="23"/>
  <c r="AA63" i="23"/>
  <c r="AA111" i="23"/>
  <c r="AA159" i="23"/>
  <c r="Z29" i="23"/>
  <c r="AA206" i="23"/>
  <c r="AC13" i="23"/>
  <c r="AA68" i="23"/>
  <c r="AA116" i="23"/>
  <c r="AA164" i="23"/>
  <c r="Z34" i="23"/>
  <c r="Z201" i="23"/>
  <c r="AA219" i="23"/>
  <c r="AC15" i="23"/>
  <c r="AA118" i="23"/>
  <c r="AA166" i="23"/>
  <c r="Z36" i="23"/>
  <c r="BH14" i="24"/>
  <c r="BH53" i="24"/>
  <c r="BH23" i="24"/>
  <c r="BH35" i="24"/>
  <c r="Z186" i="23"/>
  <c r="Z190" i="23"/>
  <c r="BH17" i="24"/>
  <c r="BH13" i="24"/>
  <c r="BH30" i="24"/>
  <c r="BH48" i="24"/>
  <c r="BH15" i="24"/>
  <c r="BH49" i="24"/>
  <c r="BH59" i="24"/>
  <c r="BH10" i="24"/>
  <c r="BH54" i="24"/>
  <c r="BH57" i="24"/>
  <c r="BH60" i="24"/>
  <c r="BH37" i="24"/>
  <c r="BH52" i="24"/>
  <c r="BH50" i="24"/>
  <c r="BH31" i="24"/>
  <c r="BH47" i="24"/>
  <c r="BH58" i="24"/>
  <c r="BH42" i="24"/>
  <c r="BH61" i="24"/>
  <c r="BH45" i="24"/>
  <c r="BH56" i="24"/>
  <c r="BH40" i="24"/>
  <c r="BH32" i="24"/>
  <c r="BH19" i="24"/>
  <c r="BH29" i="24"/>
  <c r="BH46" i="24"/>
  <c r="BH55" i="24"/>
  <c r="BH36" i="24"/>
  <c r="BH51" i="24"/>
  <c r="BH39" i="24"/>
  <c r="BH44" i="24"/>
  <c r="BH34" i="24"/>
  <c r="BH20" i="24"/>
  <c r="BH11" i="24"/>
  <c r="BH18" i="24"/>
  <c r="BH28" i="24"/>
  <c r="BH43" i="24"/>
  <c r="BH24" i="24"/>
  <c r="BH33" i="24"/>
  <c r="BH27" i="24"/>
  <c r="BH38" i="24"/>
  <c r="BH22" i="24"/>
  <c r="BH12" i="24"/>
  <c r="BH41" i="24"/>
  <c r="BH9" i="24"/>
  <c r="BH8" i="24"/>
  <c r="BH26" i="24"/>
  <c r="BH21" i="24"/>
  <c r="BH25" i="24"/>
  <c r="BH16" i="24"/>
  <c r="AH30" i="23"/>
  <c r="P10" i="23"/>
  <c r="P22" i="23"/>
  <c r="P11" i="23"/>
  <c r="P23" i="23"/>
  <c r="P12" i="23"/>
  <c r="P24" i="23"/>
  <c r="P13" i="23"/>
  <c r="P25" i="23"/>
  <c r="P14" i="23"/>
  <c r="P26" i="23"/>
  <c r="P15" i="23"/>
  <c r="P27" i="23"/>
  <c r="P16" i="23"/>
  <c r="P28" i="23"/>
  <c r="P17" i="23"/>
  <c r="P29" i="23"/>
  <c r="P18" i="23"/>
  <c r="P30" i="23"/>
  <c r="P19" i="23"/>
  <c r="P31" i="23"/>
  <c r="P8" i="23"/>
  <c r="P20" i="23"/>
  <c r="P32" i="23"/>
  <c r="P9" i="23"/>
  <c r="P21" i="23"/>
  <c r="P33" i="23"/>
  <c r="AC18" i="23"/>
  <c r="AC8" i="23"/>
  <c r="AC20" i="23"/>
  <c r="AC10" i="23"/>
  <c r="AC22" i="23"/>
  <c r="AC11" i="23"/>
  <c r="AC25" i="23"/>
  <c r="AC27" i="23"/>
  <c r="AC16" i="23"/>
  <c r="AC17" i="23"/>
  <c r="AC29" i="23"/>
  <c r="AC19" i="23"/>
  <c r="AC58" i="23"/>
  <c r="AC40" i="23"/>
  <c r="Z51" i="23"/>
  <c r="AC47" i="23"/>
  <c r="Z52" i="23"/>
  <c r="AC36" i="23"/>
  <c r="AC60" i="23"/>
  <c r="Z53" i="23"/>
  <c r="AC51" i="23"/>
  <c r="AC52" i="23"/>
  <c r="Z54" i="23"/>
  <c r="Z45" i="23"/>
  <c r="Z57" i="23"/>
  <c r="AC41" i="23"/>
  <c r="Z46" i="23"/>
  <c r="Z58" i="23"/>
  <c r="Z47" i="23"/>
  <c r="Z59" i="23"/>
  <c r="AC43" i="23"/>
  <c r="AC55" i="23"/>
  <c r="Z55" i="23"/>
  <c r="Z56" i="23"/>
  <c r="Z48" i="23"/>
  <c r="Z60" i="23"/>
  <c r="AC44" i="23"/>
  <c r="Z50" i="23"/>
  <c r="Z49" i="23"/>
  <c r="Z61" i="23"/>
  <c r="AC45" i="23"/>
  <c r="AC57" i="23"/>
  <c r="AC34" i="23"/>
  <c r="P38" i="23"/>
  <c r="P50" i="23"/>
  <c r="P55" i="23"/>
  <c r="P39" i="23"/>
  <c r="P51" i="23"/>
  <c r="P40" i="23"/>
  <c r="P52" i="23"/>
  <c r="P41" i="23"/>
  <c r="P53" i="23"/>
  <c r="P42" i="23"/>
  <c r="P54" i="23"/>
  <c r="P43" i="23"/>
  <c r="P44" i="23"/>
  <c r="P56" i="23"/>
  <c r="P45" i="23"/>
  <c r="P57" i="23"/>
  <c r="P34" i="23"/>
  <c r="P46" i="23"/>
  <c r="P58" i="23"/>
  <c r="P35" i="23"/>
  <c r="P47" i="23"/>
  <c r="P59" i="23"/>
  <c r="P36" i="23"/>
  <c r="P48" i="23"/>
  <c r="P60" i="23"/>
  <c r="P37" i="23"/>
  <c r="P49" i="23"/>
  <c r="P61" i="23"/>
  <c r="N130" i="22"/>
  <c r="O130" i="22"/>
  <c r="V130" i="22"/>
  <c r="M121" i="23"/>
  <c r="N121" i="23" s="1"/>
  <c r="CL31" i="24"/>
  <c r="AU31" i="23"/>
  <c r="AU21" i="23"/>
  <c r="CL21" i="24"/>
  <c r="BY42" i="24"/>
  <c r="BT62" i="24"/>
  <c r="AU29" i="23"/>
  <c r="BH63" i="24"/>
  <c r="BH62" i="24"/>
  <c r="BY29" i="24"/>
  <c r="AU19" i="23"/>
  <c r="AM63" i="24"/>
  <c r="AM62" i="24"/>
  <c r="AJ121" i="24"/>
  <c r="AJ120" i="24"/>
  <c r="AJ116" i="24"/>
  <c r="AH42" i="23"/>
  <c r="M119" i="23"/>
  <c r="M118" i="23"/>
  <c r="M120" i="23"/>
  <c r="M117" i="23"/>
  <c r="E113" i="23"/>
  <c r="F113" i="23" s="1"/>
  <c r="E108" i="23"/>
  <c r="F108" i="23" s="1"/>
  <c r="E77" i="23"/>
  <c r="F77" i="23" s="1"/>
  <c r="E96" i="23"/>
  <c r="F96" i="23" s="1"/>
  <c r="E89" i="23"/>
  <c r="F89" i="23" s="1"/>
  <c r="E84" i="23"/>
  <c r="F84" i="23" s="1"/>
  <c r="E72" i="23"/>
  <c r="F72" i="23" s="1"/>
  <c r="E115" i="23"/>
  <c r="F115" i="23" s="1"/>
  <c r="E104" i="23"/>
  <c r="F104" i="23" s="1"/>
  <c r="E91" i="23"/>
  <c r="F91" i="23" s="1"/>
  <c r="E79" i="23"/>
  <c r="F79" i="23" s="1"/>
  <c r="E67" i="23"/>
  <c r="F67" i="23" s="1"/>
  <c r="E65" i="23"/>
  <c r="F65" i="23" s="1"/>
  <c r="E101" i="23"/>
  <c r="F101" i="23" s="1"/>
  <c r="E109" i="23"/>
  <c r="F109" i="23" s="1"/>
  <c r="E85" i="23"/>
  <c r="F85" i="23" s="1"/>
  <c r="E73" i="23"/>
  <c r="F73" i="23" s="1"/>
  <c r="E92" i="23"/>
  <c r="F92" i="23" s="1"/>
  <c r="E68" i="23"/>
  <c r="F68" i="23" s="1"/>
  <c r="E63" i="23"/>
  <c r="F63" i="23" s="1"/>
  <c r="E110" i="23"/>
  <c r="F110" i="23" s="1"/>
  <c r="E98" i="23"/>
  <c r="F98" i="23" s="1"/>
  <c r="E86" i="23"/>
  <c r="F86" i="23" s="1"/>
  <c r="E74" i="23"/>
  <c r="F74" i="23" s="1"/>
  <c r="E112" i="23"/>
  <c r="F112" i="23" s="1"/>
  <c r="E97" i="23"/>
  <c r="F97" i="23" s="1"/>
  <c r="E82" i="23"/>
  <c r="F82" i="23" s="1"/>
  <c r="F117" i="23"/>
  <c r="E105" i="23"/>
  <c r="F105" i="23" s="1"/>
  <c r="E93" i="23"/>
  <c r="F93" i="23" s="1"/>
  <c r="E81" i="23"/>
  <c r="F81" i="23" s="1"/>
  <c r="E69" i="23"/>
  <c r="F69" i="23" s="1"/>
  <c r="E114" i="23"/>
  <c r="F114" i="23" s="1"/>
  <c r="E102" i="23"/>
  <c r="F102" i="23" s="1"/>
  <c r="E90" i="23"/>
  <c r="F90" i="23" s="1"/>
  <c r="E78" i="23"/>
  <c r="F78" i="23" s="1"/>
  <c r="E66" i="23"/>
  <c r="F66" i="23" s="1"/>
  <c r="E107" i="23"/>
  <c r="F107" i="23" s="1"/>
  <c r="E80" i="23"/>
  <c r="F80" i="23" s="1"/>
  <c r="F119" i="23"/>
  <c r="E106" i="23"/>
  <c r="F106" i="23" s="1"/>
  <c r="E71" i="23"/>
  <c r="F71" i="23" s="1"/>
  <c r="E76" i="23"/>
  <c r="F76" i="23" s="1"/>
  <c r="E95" i="23"/>
  <c r="F95" i="23" s="1"/>
  <c r="E103" i="23"/>
  <c r="F103" i="23" s="1"/>
  <c r="E83" i="23"/>
  <c r="F83" i="23" s="1"/>
  <c r="E100" i="23"/>
  <c r="F100" i="23" s="1"/>
  <c r="E70" i="23"/>
  <c r="F70" i="23" s="1"/>
  <c r="E111" i="23"/>
  <c r="F111" i="23" s="1"/>
  <c r="E94" i="23"/>
  <c r="F94" i="23" s="1"/>
  <c r="F118" i="23"/>
  <c r="E64" i="23"/>
  <c r="F64" i="23" s="1"/>
  <c r="F116" i="23"/>
  <c r="E88" i="23"/>
  <c r="F88" i="23" s="1"/>
  <c r="E99" i="23"/>
  <c r="F99" i="23" s="1"/>
  <c r="E87" i="23"/>
  <c r="F87" i="23" s="1"/>
  <c r="E75" i="23"/>
  <c r="F75" i="23" s="1"/>
  <c r="AH29" i="23"/>
  <c r="AY152" i="24" l="1"/>
  <c r="AY146" i="24"/>
  <c r="AY114" i="24"/>
  <c r="AY125" i="24"/>
  <c r="AY180" i="24"/>
  <c r="AY131" i="24"/>
  <c r="AY159" i="24"/>
  <c r="AY158" i="24"/>
  <c r="AY130" i="24"/>
  <c r="AY128" i="24"/>
  <c r="L6" i="24" a="1"/>
  <c r="L6" i="24" s="1"/>
  <c r="AY147" i="24"/>
  <c r="AY122" i="24"/>
  <c r="AY166" i="24"/>
  <c r="AY168" i="24"/>
  <c r="AY119" i="24"/>
  <c r="AY154" i="24"/>
  <c r="AY142" i="24"/>
  <c r="AY177" i="24"/>
  <c r="AY156" i="24"/>
  <c r="AY181" i="24"/>
  <c r="AY118" i="24"/>
  <c r="AY165" i="24"/>
  <c r="AY144" i="24"/>
  <c r="AY182" i="24"/>
  <c r="AY157" i="24"/>
  <c r="AY169" i="24"/>
  <c r="AY153" i="24"/>
  <c r="AY132" i="24"/>
  <c r="AY171" i="24"/>
  <c r="AY134" i="24"/>
  <c r="AY133" i="24"/>
  <c r="AY145" i="24"/>
  <c r="AY141" i="24"/>
  <c r="AC43" i="24"/>
  <c r="AY120" i="24"/>
  <c r="AY121" i="24"/>
  <c r="AY164" i="24"/>
  <c r="AY184" i="24"/>
  <c r="AY129" i="24"/>
  <c r="AY175" i="24"/>
  <c r="AY123" i="24"/>
  <c r="AY172" i="24"/>
  <c r="AY140" i="24"/>
  <c r="AY160" i="24"/>
  <c r="AY117" i="24"/>
  <c r="AY163" i="24"/>
  <c r="AY174" i="24"/>
  <c r="AY62" i="24"/>
  <c r="AC47" i="24"/>
  <c r="AY148" i="24"/>
  <c r="AY116" i="24"/>
  <c r="AY136" i="24"/>
  <c r="AY151" i="24"/>
  <c r="AY162" i="24"/>
  <c r="AY173" i="24"/>
  <c r="AY179" i="24"/>
  <c r="AY183" i="24"/>
  <c r="AY135" i="24"/>
  <c r="AY124" i="24"/>
  <c r="AY139" i="24"/>
  <c r="AY150" i="24"/>
  <c r="AY161" i="24"/>
  <c r="AY167" i="24"/>
  <c r="AC56" i="24"/>
  <c r="AY127" i="24"/>
  <c r="AY138" i="24"/>
  <c r="AY149" i="24"/>
  <c r="AY155" i="24"/>
  <c r="AY178" i="24"/>
  <c r="AY176" i="24"/>
  <c r="AY170" i="24"/>
  <c r="AY115" i="24"/>
  <c r="AY126" i="24"/>
  <c r="AY137" i="24"/>
  <c r="AY143" i="24"/>
  <c r="AB277" i="23"/>
  <c r="AC277" i="23"/>
  <c r="R225" i="23"/>
  <c r="S225" i="23"/>
  <c r="R197" i="23"/>
  <c r="S197" i="23"/>
  <c r="AC34" i="24"/>
  <c r="AY34" i="24"/>
  <c r="R271" i="23"/>
  <c r="S271" i="23"/>
  <c r="R274" i="23"/>
  <c r="S274" i="23"/>
  <c r="S235" i="23"/>
  <c r="AC15" i="24"/>
  <c r="AY15" i="24"/>
  <c r="AC57" i="24"/>
  <c r="AY57" i="24"/>
  <c r="R277" i="23"/>
  <c r="S277" i="23"/>
  <c r="AC36" i="24"/>
  <c r="AY36" i="24"/>
  <c r="S222" i="23"/>
  <c r="AB229" i="23"/>
  <c r="AC229" i="23"/>
  <c r="AB206" i="23"/>
  <c r="AC206" i="23"/>
  <c r="AB276" i="23"/>
  <c r="AC276" i="23"/>
  <c r="AB208" i="23"/>
  <c r="AC208" i="23"/>
  <c r="AB275" i="23"/>
  <c r="AC275" i="23"/>
  <c r="AB263" i="23"/>
  <c r="AC263" i="23"/>
  <c r="BS54" i="24"/>
  <c r="BT54" i="24"/>
  <c r="BS41" i="24"/>
  <c r="BT41" i="24"/>
  <c r="AB239" i="23"/>
  <c r="AC239" i="23"/>
  <c r="BS59" i="24"/>
  <c r="BT59" i="24"/>
  <c r="AB272" i="23"/>
  <c r="AC272" i="23"/>
  <c r="R254" i="23"/>
  <c r="S254" i="23"/>
  <c r="R245" i="23"/>
  <c r="S245" i="23"/>
  <c r="R220" i="23"/>
  <c r="S220" i="23"/>
  <c r="R227" i="23"/>
  <c r="S227" i="23"/>
  <c r="R215" i="23"/>
  <c r="S215" i="23"/>
  <c r="S281" i="23"/>
  <c r="AC45" i="24"/>
  <c r="AY45" i="24"/>
  <c r="R238" i="23"/>
  <c r="S238" i="23"/>
  <c r="AY52" i="24"/>
  <c r="AC52" i="24"/>
  <c r="AY24" i="24"/>
  <c r="AC24" i="24"/>
  <c r="AB210" i="23"/>
  <c r="AC210" i="23"/>
  <c r="AB204" i="23"/>
  <c r="AC204" i="23"/>
  <c r="AB257" i="23"/>
  <c r="AC257" i="23"/>
  <c r="AB199" i="23"/>
  <c r="AC199" i="23"/>
  <c r="BS42" i="24"/>
  <c r="BT42" i="24"/>
  <c r="AB233" i="23"/>
  <c r="AC233" i="23"/>
  <c r="AB213" i="23"/>
  <c r="AC213" i="23"/>
  <c r="R280" i="23"/>
  <c r="S280" i="23"/>
  <c r="S236" i="23"/>
  <c r="R237" i="23"/>
  <c r="S237" i="23"/>
  <c r="R216" i="23"/>
  <c r="S216" i="23"/>
  <c r="R269" i="23"/>
  <c r="S269" i="23"/>
  <c r="R203" i="23"/>
  <c r="S203" i="23"/>
  <c r="AY33" i="24"/>
  <c r="S243" i="23"/>
  <c r="AC40" i="24"/>
  <c r="AY40" i="24"/>
  <c r="AC12" i="24"/>
  <c r="AY12" i="24"/>
  <c r="BS53" i="24"/>
  <c r="BT53" i="24"/>
  <c r="AB245" i="23"/>
  <c r="AC245" i="23"/>
  <c r="AB260" i="23"/>
  <c r="AC260" i="23"/>
  <c r="BS43" i="24"/>
  <c r="BT43" i="24"/>
  <c r="BS30" i="24"/>
  <c r="BT30" i="24"/>
  <c r="BS17" i="24"/>
  <c r="BT17" i="24"/>
  <c r="AB225" i="23"/>
  <c r="AC225" i="23"/>
  <c r="S224" i="23"/>
  <c r="R214" i="23"/>
  <c r="S214" i="23"/>
  <c r="S264" i="23"/>
  <c r="R191" i="23"/>
  <c r="S191" i="23"/>
  <c r="AC21" i="24"/>
  <c r="AY21" i="24"/>
  <c r="R253" i="23"/>
  <c r="S253" i="23"/>
  <c r="S232" i="23"/>
  <c r="S228" i="23"/>
  <c r="AX28" i="24"/>
  <c r="AC28" i="24"/>
  <c r="AY28" i="24"/>
  <c r="R217" i="23"/>
  <c r="S217" i="23"/>
  <c r="R265" i="23"/>
  <c r="S265" i="23"/>
  <c r="AB237" i="23"/>
  <c r="AC237" i="23"/>
  <c r="AB265" i="23"/>
  <c r="AC265" i="23"/>
  <c r="AB224" i="23"/>
  <c r="AC224" i="23"/>
  <c r="AB251" i="23"/>
  <c r="AC251" i="23"/>
  <c r="AB279" i="23"/>
  <c r="AC279" i="23"/>
  <c r="AB214" i="23"/>
  <c r="AC214" i="23"/>
  <c r="AB201" i="23"/>
  <c r="AC201" i="23"/>
  <c r="AB253" i="23"/>
  <c r="AC253" i="23"/>
  <c r="BS56" i="24"/>
  <c r="BT56" i="24"/>
  <c r="AC39" i="24"/>
  <c r="AY39" i="24"/>
  <c r="AY37" i="24"/>
  <c r="AC37" i="24"/>
  <c r="R223" i="23"/>
  <c r="S223" i="23"/>
  <c r="R219" i="23"/>
  <c r="S219" i="23"/>
  <c r="AC27" i="24"/>
  <c r="AY27" i="24"/>
  <c r="R212" i="23"/>
  <c r="S212" i="23"/>
  <c r="R261" i="23"/>
  <c r="S261" i="23"/>
  <c r="AC9" i="24"/>
  <c r="AY9" i="24"/>
  <c r="AC55" i="24"/>
  <c r="AY55" i="24"/>
  <c r="S272" i="23"/>
  <c r="R273" i="23"/>
  <c r="S273" i="23"/>
  <c r="AY16" i="24"/>
  <c r="AC16" i="24"/>
  <c r="R205" i="23"/>
  <c r="S205" i="23"/>
  <c r="S260" i="23"/>
  <c r="AB211" i="23"/>
  <c r="AC211" i="23"/>
  <c r="AB217" i="23"/>
  <c r="AC217" i="23"/>
  <c r="AB252" i="23"/>
  <c r="AC252" i="23"/>
  <c r="AC266" i="23"/>
  <c r="AB198" i="23"/>
  <c r="AC198" i="23"/>
  <c r="AB185" i="23"/>
  <c r="AC185" i="23"/>
  <c r="AB269" i="23"/>
  <c r="AC269" i="23"/>
  <c r="AC270" i="23"/>
  <c r="AB247" i="23"/>
  <c r="AC247" i="23"/>
  <c r="R210" i="23"/>
  <c r="S210" i="23"/>
  <c r="AY49" i="24"/>
  <c r="AC49" i="24"/>
  <c r="AY46" i="24"/>
  <c r="AC46" i="24"/>
  <c r="R275" i="23"/>
  <c r="S275" i="23"/>
  <c r="R189" i="23"/>
  <c r="S189" i="23"/>
  <c r="R207" i="23"/>
  <c r="S207" i="23"/>
  <c r="AC32" i="24"/>
  <c r="AY32" i="24"/>
  <c r="AY58" i="24"/>
  <c r="AC58" i="24"/>
  <c r="R266" i="23"/>
  <c r="S266" i="23"/>
  <c r="R208" i="23"/>
  <c r="S208" i="23"/>
  <c r="R213" i="23"/>
  <c r="S213" i="23"/>
  <c r="R247" i="23"/>
  <c r="S247" i="23"/>
  <c r="AY43" i="24"/>
  <c r="R267" i="23"/>
  <c r="S267" i="23"/>
  <c r="AX54" i="24"/>
  <c r="AY54" i="24"/>
  <c r="AC54" i="24"/>
  <c r="R193" i="23"/>
  <c r="S193" i="23"/>
  <c r="S256" i="23"/>
  <c r="BS16" i="24"/>
  <c r="BT16" i="24"/>
  <c r="R226" i="23"/>
  <c r="AX51" i="24"/>
  <c r="AX15" i="24"/>
  <c r="R236" i="23"/>
  <c r="R246" i="23"/>
  <c r="R234" i="23"/>
  <c r="AX61" i="24"/>
  <c r="AX33" i="24"/>
  <c r="AX14" i="24"/>
  <c r="AX36" i="24"/>
  <c r="R235" i="23"/>
  <c r="AX23" i="24"/>
  <c r="AX27" i="24"/>
  <c r="AX32" i="24"/>
  <c r="AX43" i="24"/>
  <c r="AX24" i="24"/>
  <c r="AX50" i="24"/>
  <c r="R240" i="23"/>
  <c r="R222" i="23"/>
  <c r="AX55" i="24"/>
  <c r="R252" i="23"/>
  <c r="AX40" i="24"/>
  <c r="AX39" i="24"/>
  <c r="AX42" i="24"/>
  <c r="AX53" i="24"/>
  <c r="AX20" i="24"/>
  <c r="R268" i="23"/>
  <c r="AX8" i="24"/>
  <c r="AX46" i="24"/>
  <c r="AX35" i="24"/>
  <c r="AX10" i="24"/>
  <c r="AX17" i="24"/>
  <c r="R232" i="23"/>
  <c r="R264" i="23"/>
  <c r="AX58" i="24"/>
  <c r="AX9" i="24"/>
  <c r="AX16" i="24"/>
  <c r="AX38" i="24"/>
  <c r="AX45" i="24"/>
  <c r="R281" i="23"/>
  <c r="R228" i="23"/>
  <c r="R248" i="23"/>
  <c r="AX25" i="24"/>
  <c r="AX26" i="24"/>
  <c r="AX37" i="24"/>
  <c r="R230" i="23"/>
  <c r="AX31" i="24"/>
  <c r="AX59" i="24"/>
  <c r="R244" i="23"/>
  <c r="AX47" i="24"/>
  <c r="AX49" i="24"/>
  <c r="AX11" i="24"/>
  <c r="R260" i="23"/>
  <c r="AX57" i="24"/>
  <c r="AX30" i="24"/>
  <c r="AX19" i="24"/>
  <c r="AX34" i="24"/>
  <c r="AX56" i="24"/>
  <c r="R276" i="23"/>
  <c r="AX12" i="24"/>
  <c r="AX22" i="24"/>
  <c r="AX44" i="24"/>
  <c r="R224" i="23"/>
  <c r="R243" i="23"/>
  <c r="R256" i="23"/>
  <c r="AX52" i="24"/>
  <c r="R272" i="23"/>
  <c r="R239" i="23"/>
  <c r="AX60" i="24"/>
  <c r="AX21" i="24"/>
  <c r="AB219" i="23"/>
  <c r="AC219" i="23"/>
  <c r="AB205" i="23"/>
  <c r="AC205" i="23"/>
  <c r="AB207" i="23"/>
  <c r="AC207" i="23"/>
  <c r="AB261" i="23"/>
  <c r="AC261" i="23"/>
  <c r="AB196" i="23"/>
  <c r="AC196" i="23"/>
  <c r="AB194" i="23"/>
  <c r="AC194" i="23"/>
  <c r="AB221" i="23"/>
  <c r="AC221" i="23"/>
  <c r="AB264" i="23"/>
  <c r="AC264" i="23"/>
  <c r="AB202" i="23"/>
  <c r="AC202" i="23"/>
  <c r="AB249" i="23"/>
  <c r="AC249" i="23"/>
  <c r="AB255" i="23"/>
  <c r="AC255" i="23"/>
  <c r="BS22" i="24"/>
  <c r="BT22" i="24"/>
  <c r="BS57" i="24"/>
  <c r="BT57" i="24"/>
  <c r="BS32" i="24"/>
  <c r="BT32" i="24"/>
  <c r="S226" i="23"/>
  <c r="R198" i="23"/>
  <c r="S198" i="23"/>
  <c r="AX13" i="24"/>
  <c r="AY13" i="24"/>
  <c r="AC13" i="24"/>
  <c r="AC10" i="24"/>
  <c r="AY10" i="24"/>
  <c r="R262" i="23"/>
  <c r="S262" i="23"/>
  <c r="R195" i="23"/>
  <c r="S195" i="23"/>
  <c r="R279" i="23"/>
  <c r="S279" i="23"/>
  <c r="AC22" i="24"/>
  <c r="AY22" i="24"/>
  <c r="R204" i="23"/>
  <c r="S204" i="23"/>
  <c r="R201" i="23"/>
  <c r="S201" i="23"/>
  <c r="AY31" i="24"/>
  <c r="AC31" i="24"/>
  <c r="AY42" i="24"/>
  <c r="AC42" i="24"/>
  <c r="R263" i="23"/>
  <c r="S263" i="23"/>
  <c r="AY53" i="24"/>
  <c r="AC53" i="24"/>
  <c r="R250" i="23"/>
  <c r="S250" i="23"/>
  <c r="AY59" i="24"/>
  <c r="AC59" i="24"/>
  <c r="AB192" i="23"/>
  <c r="AC192" i="23"/>
  <c r="AB259" i="23"/>
  <c r="AC259" i="23"/>
  <c r="BS45" i="24"/>
  <c r="BT45" i="24"/>
  <c r="AB243" i="23"/>
  <c r="AC243" i="23"/>
  <c r="BS20" i="24"/>
  <c r="BT20" i="24"/>
  <c r="R257" i="23"/>
  <c r="S257" i="23"/>
  <c r="R242" i="23"/>
  <c r="S242" i="23"/>
  <c r="S276" i="23"/>
  <c r="R202" i="23"/>
  <c r="S202" i="23"/>
  <c r="R231" i="23"/>
  <c r="S231" i="23"/>
  <c r="AY19" i="24"/>
  <c r="AC19" i="24"/>
  <c r="AY30" i="24"/>
  <c r="AC30" i="24"/>
  <c r="R258" i="23"/>
  <c r="S258" i="23"/>
  <c r="AX41" i="24"/>
  <c r="AC41" i="24"/>
  <c r="AY41" i="24"/>
  <c r="AY47" i="24"/>
  <c r="AB200" i="23"/>
  <c r="AC200" i="23"/>
  <c r="AB195" i="23"/>
  <c r="AC195" i="23"/>
  <c r="AB220" i="23"/>
  <c r="AC220" i="23"/>
  <c r="AB241" i="23"/>
  <c r="AC241" i="23"/>
  <c r="AB244" i="23"/>
  <c r="AC244" i="23"/>
  <c r="AB209" i="23"/>
  <c r="AC209" i="23"/>
  <c r="AB190" i="23"/>
  <c r="AC190" i="23"/>
  <c r="AB280" i="23"/>
  <c r="AC280" i="23"/>
  <c r="R241" i="23"/>
  <c r="S241" i="23"/>
  <c r="AY44" i="24"/>
  <c r="AC44" i="24"/>
  <c r="R221" i="23"/>
  <c r="S221" i="23"/>
  <c r="S268" i="23"/>
  <c r="AY61" i="24"/>
  <c r="AC61" i="24"/>
  <c r="R200" i="23"/>
  <c r="S200" i="23"/>
  <c r="R218" i="23"/>
  <c r="S218" i="23"/>
  <c r="AX18" i="24"/>
  <c r="AC18" i="24"/>
  <c r="AY18" i="24"/>
  <c r="AX29" i="24"/>
  <c r="AY29" i="24"/>
  <c r="AC29" i="24"/>
  <c r="AY50" i="24"/>
  <c r="AC50" i="24"/>
  <c r="S246" i="23"/>
  <c r="AY35" i="24"/>
  <c r="AC35" i="24"/>
  <c r="AB235" i="23"/>
  <c r="AC235" i="23"/>
  <c r="AB256" i="23"/>
  <c r="AC256" i="23"/>
  <c r="BS38" i="24"/>
  <c r="AB240" i="23"/>
  <c r="BS10" i="24"/>
  <c r="BS11" i="24"/>
  <c r="AB234" i="23"/>
  <c r="AB236" i="23"/>
  <c r="BS60" i="24"/>
  <c r="BS12" i="24"/>
  <c r="AB281" i="23"/>
  <c r="AB228" i="23"/>
  <c r="AB242" i="23"/>
  <c r="BS44" i="24"/>
  <c r="BS55" i="24"/>
  <c r="AB270" i="23"/>
  <c r="AB254" i="23"/>
  <c r="AB246" i="23"/>
  <c r="BS34" i="24"/>
  <c r="BS35" i="24"/>
  <c r="BS18" i="24"/>
  <c r="AB250" i="23"/>
  <c r="BS48" i="24"/>
  <c r="AB232" i="23"/>
  <c r="AB226" i="23"/>
  <c r="AB238" i="23"/>
  <c r="AB266" i="23"/>
  <c r="BS14" i="24"/>
  <c r="BS23" i="24"/>
  <c r="BS24" i="24"/>
  <c r="BS47" i="24"/>
  <c r="BS36" i="24"/>
  <c r="BS51" i="24"/>
  <c r="AB262" i="23"/>
  <c r="BS46" i="24"/>
  <c r="BS27" i="24"/>
  <c r="BS37" i="24"/>
  <c r="BS52" i="24"/>
  <c r="BS31" i="24"/>
  <c r="AB278" i="23"/>
  <c r="BS33" i="24"/>
  <c r="BS40" i="24"/>
  <c r="BS28" i="24"/>
  <c r="BS50" i="24"/>
  <c r="BS19" i="24"/>
  <c r="BS39" i="24"/>
  <c r="BS21" i="24"/>
  <c r="AB258" i="23"/>
  <c r="AB231" i="23"/>
  <c r="BS29" i="24"/>
  <c r="BS49" i="24"/>
  <c r="BS25" i="24"/>
  <c r="AB230" i="23"/>
  <c r="AB274" i="23"/>
  <c r="AB227" i="23"/>
  <c r="BS58" i="24"/>
  <c r="AB222" i="23"/>
  <c r="BS13" i="24"/>
  <c r="AB223" i="23"/>
  <c r="BS8" i="24"/>
  <c r="AB193" i="23"/>
  <c r="AC193" i="23"/>
  <c r="AB186" i="23"/>
  <c r="AC186" i="23"/>
  <c r="AC250" i="23"/>
  <c r="AB216" i="23"/>
  <c r="AC216" i="23"/>
  <c r="AC278" i="23"/>
  <c r="AB248" i="23"/>
  <c r="AC248" i="23"/>
  <c r="S239" i="23"/>
  <c r="AC8" i="24"/>
  <c r="AY8" i="24"/>
  <c r="R251" i="23"/>
  <c r="S251" i="23"/>
  <c r="R278" i="23"/>
  <c r="S278" i="23"/>
  <c r="R211" i="23"/>
  <c r="S211" i="23"/>
  <c r="S234" i="23"/>
  <c r="S240" i="23"/>
  <c r="AY25" i="24"/>
  <c r="AC25" i="24"/>
  <c r="R196" i="23"/>
  <c r="S196" i="23"/>
  <c r="R206" i="23"/>
  <c r="S206" i="23"/>
  <c r="R185" i="23"/>
  <c r="S185" i="23"/>
  <c r="AC17" i="24"/>
  <c r="AY17" i="24"/>
  <c r="AY38" i="24"/>
  <c r="AC38" i="24"/>
  <c r="AY23" i="24"/>
  <c r="AC23" i="24"/>
  <c r="AB187" i="23"/>
  <c r="AC187" i="23"/>
  <c r="AB271" i="23"/>
  <c r="AC271" i="23"/>
  <c r="AB191" i="23"/>
  <c r="AC191" i="23"/>
  <c r="AB273" i="23"/>
  <c r="AC273" i="23"/>
  <c r="AB197" i="23"/>
  <c r="AC197" i="23"/>
  <c r="BS15" i="24"/>
  <c r="BT15" i="24"/>
  <c r="BS26" i="24"/>
  <c r="BT26" i="24"/>
  <c r="BS61" i="24"/>
  <c r="BT61" i="24"/>
  <c r="BS9" i="24"/>
  <c r="BT9" i="24"/>
  <c r="S244" i="23"/>
  <c r="R233" i="23"/>
  <c r="S233" i="23"/>
  <c r="S248" i="23"/>
  <c r="R270" i="23"/>
  <c r="S270" i="23"/>
  <c r="R209" i="23"/>
  <c r="S209" i="23"/>
  <c r="R255" i="23"/>
  <c r="S255" i="23"/>
  <c r="R249" i="23"/>
  <c r="S249" i="23"/>
  <c r="R229" i="23"/>
  <c r="S229" i="23"/>
  <c r="R186" i="23"/>
  <c r="S186" i="23"/>
  <c r="R190" i="23"/>
  <c r="S190" i="23"/>
  <c r="AY56" i="24"/>
  <c r="R192" i="23"/>
  <c r="S192" i="23"/>
  <c r="R194" i="23"/>
  <c r="S194" i="23"/>
  <c r="AY26" i="24"/>
  <c r="AC26" i="24"/>
  <c r="AY60" i="24"/>
  <c r="AC60" i="24"/>
  <c r="AC11" i="24"/>
  <c r="AY11" i="24"/>
  <c r="AB203" i="23"/>
  <c r="AC203" i="23"/>
  <c r="AB218" i="23"/>
  <c r="AC218" i="23"/>
  <c r="AB215" i="23"/>
  <c r="AC215" i="23"/>
  <c r="AB212" i="23"/>
  <c r="AC212" i="23"/>
  <c r="AB267" i="23"/>
  <c r="AC267" i="23"/>
  <c r="AB189" i="23"/>
  <c r="AC189" i="23"/>
  <c r="AC258" i="23"/>
  <c r="AB268" i="23"/>
  <c r="AC268" i="23"/>
  <c r="AB188" i="23"/>
  <c r="AC188" i="23"/>
  <c r="R259" i="23"/>
  <c r="S259" i="23"/>
  <c r="R199" i="23"/>
  <c r="S199" i="23"/>
  <c r="S252" i="23"/>
  <c r="R188" i="23"/>
  <c r="S188" i="23"/>
  <c r="AY20" i="24"/>
  <c r="AC20" i="24"/>
  <c r="AY51" i="24"/>
  <c r="AC51" i="24"/>
  <c r="R187" i="23"/>
  <c r="S187" i="23"/>
  <c r="AC14" i="24"/>
  <c r="AY14" i="24"/>
  <c r="AX48" i="24"/>
  <c r="AC48" i="24"/>
  <c r="AY48" i="24"/>
  <c r="S230" i="23"/>
  <c r="S27" i="23"/>
  <c r="S31" i="23"/>
  <c r="AB14" i="23"/>
  <c r="AB26" i="23"/>
  <c r="AB27" i="23"/>
  <c r="AB16" i="23"/>
  <c r="AB28" i="23"/>
  <c r="AB17" i="23"/>
  <c r="AB29" i="23"/>
  <c r="AB15" i="23"/>
  <c r="AB18" i="23"/>
  <c r="AB30" i="23"/>
  <c r="AB10" i="23"/>
  <c r="AB19" i="23"/>
  <c r="AB31" i="23"/>
  <c r="AB25" i="23"/>
  <c r="AB8" i="23"/>
  <c r="AB20" i="23"/>
  <c r="AB32" i="23"/>
  <c r="AB22" i="23"/>
  <c r="AB9" i="23"/>
  <c r="AB21" i="23"/>
  <c r="AB33" i="23"/>
  <c r="AB11" i="23"/>
  <c r="AB23" i="23"/>
  <c r="AB12" i="23"/>
  <c r="AB24" i="23"/>
  <c r="AB13" i="23"/>
  <c r="S15" i="23"/>
  <c r="S19" i="23"/>
  <c r="S29" i="23"/>
  <c r="S24" i="23"/>
  <c r="S33" i="23"/>
  <c r="S17" i="23"/>
  <c r="S12" i="23"/>
  <c r="S21" i="23"/>
  <c r="R14" i="23"/>
  <c r="R26" i="23"/>
  <c r="R15" i="23"/>
  <c r="R27" i="23"/>
  <c r="R16" i="23"/>
  <c r="R28" i="23"/>
  <c r="R17" i="23"/>
  <c r="R29" i="23"/>
  <c r="R18" i="23"/>
  <c r="R30" i="23"/>
  <c r="R10" i="23"/>
  <c r="R19" i="23"/>
  <c r="R31" i="23"/>
  <c r="R22" i="23"/>
  <c r="R8" i="23"/>
  <c r="R20" i="23"/>
  <c r="R32" i="23"/>
  <c r="R9" i="23"/>
  <c r="R21" i="23"/>
  <c r="R33" i="23"/>
  <c r="R11" i="23"/>
  <c r="R23" i="23"/>
  <c r="R12" i="23"/>
  <c r="R24" i="23"/>
  <c r="R13" i="23"/>
  <c r="R25" i="23"/>
  <c r="S10" i="23"/>
  <c r="S9" i="23"/>
  <c r="S13" i="23"/>
  <c r="S26" i="23"/>
  <c r="S30" i="23"/>
  <c r="S25" i="23"/>
  <c r="S14" i="23"/>
  <c r="S23" i="23"/>
  <c r="S18" i="23"/>
  <c r="S22" i="23"/>
  <c r="S28" i="23"/>
  <c r="S11" i="23"/>
  <c r="S32" i="23"/>
  <c r="S16" i="23"/>
  <c r="S20" i="23"/>
  <c r="S8" i="23"/>
  <c r="S60" i="23"/>
  <c r="S46" i="23"/>
  <c r="AB49" i="23"/>
  <c r="AB43" i="23"/>
  <c r="AB55" i="23"/>
  <c r="AB44" i="23"/>
  <c r="AB56" i="23"/>
  <c r="AB45" i="23"/>
  <c r="AB57" i="23"/>
  <c r="AB61" i="23"/>
  <c r="AB34" i="23"/>
  <c r="AB46" i="23"/>
  <c r="AB58" i="23"/>
  <c r="AB47" i="23"/>
  <c r="AB59" i="23"/>
  <c r="AB36" i="23"/>
  <c r="AB48" i="23"/>
  <c r="AB60" i="23"/>
  <c r="AB38" i="23"/>
  <c r="AB50" i="23"/>
  <c r="AB39" i="23"/>
  <c r="AB51" i="23"/>
  <c r="AB37" i="23"/>
  <c r="AB40" i="23"/>
  <c r="AB52" i="23"/>
  <c r="AB42" i="23"/>
  <c r="AB35" i="23"/>
  <c r="AB41" i="23"/>
  <c r="AB53" i="23"/>
  <c r="AB54" i="23"/>
  <c r="S54" i="23"/>
  <c r="S48" i="23"/>
  <c r="S34" i="23"/>
  <c r="S36" i="23"/>
  <c r="S56" i="23"/>
  <c r="S50" i="23"/>
  <c r="S44" i="23"/>
  <c r="S38" i="23"/>
  <c r="S42" i="23"/>
  <c r="S51" i="23"/>
  <c r="S53" i="23"/>
  <c r="S59" i="23"/>
  <c r="S41" i="23"/>
  <c r="S61" i="23"/>
  <c r="S47" i="23"/>
  <c r="S39" i="23"/>
  <c r="S55" i="23"/>
  <c r="S49" i="23"/>
  <c r="S35" i="23"/>
  <c r="R42" i="23"/>
  <c r="R43" i="23"/>
  <c r="R55" i="23"/>
  <c r="R44" i="23"/>
  <c r="R56" i="23"/>
  <c r="R35" i="23"/>
  <c r="R45" i="23"/>
  <c r="R57" i="23"/>
  <c r="R34" i="23"/>
  <c r="R46" i="23"/>
  <c r="R58" i="23"/>
  <c r="R47" i="23"/>
  <c r="R59" i="23"/>
  <c r="R36" i="23"/>
  <c r="R48" i="23"/>
  <c r="R60" i="23"/>
  <c r="R37" i="23"/>
  <c r="R49" i="23"/>
  <c r="R61" i="23"/>
  <c r="R38" i="23"/>
  <c r="R50" i="23"/>
  <c r="R39" i="23"/>
  <c r="R51" i="23"/>
  <c r="R40" i="23"/>
  <c r="R52" i="23"/>
  <c r="R54" i="23"/>
  <c r="R41" i="23"/>
  <c r="R53" i="23"/>
  <c r="S58" i="23"/>
  <c r="S43" i="23"/>
  <c r="S37" i="23"/>
  <c r="S57" i="23"/>
  <c r="S52" i="23"/>
  <c r="S45" i="23"/>
  <c r="S40" i="23"/>
  <c r="O131" i="22"/>
  <c r="N131" i="22"/>
  <c r="V131" i="22"/>
  <c r="BS67" i="24"/>
  <c r="AJ119" i="24"/>
  <c r="AC67" i="24"/>
  <c r="AB62" i="23"/>
  <c r="BS62" i="24"/>
  <c r="BS63" i="24"/>
  <c r="BS64" i="24"/>
  <c r="BS65" i="24"/>
  <c r="BS66" i="24"/>
  <c r="AC63" i="24"/>
  <c r="AC64" i="24"/>
  <c r="AC65" i="24"/>
  <c r="AX67" i="24"/>
  <c r="AC62" i="24"/>
  <c r="AX62" i="24"/>
  <c r="AX63" i="24"/>
  <c r="AX64" i="24"/>
  <c r="AX65" i="24"/>
  <c r="AX66" i="24"/>
  <c r="AJ115" i="24"/>
  <c r="AJ117" i="24"/>
  <c r="AJ118" i="24"/>
  <c r="AC68" i="24"/>
  <c r="AX68" i="24"/>
  <c r="BS68" i="24"/>
  <c r="R62" i="23"/>
  <c r="N120" i="23"/>
  <c r="N119" i="23"/>
  <c r="AC33" i="24" l="1"/>
  <c r="AC66" i="24"/>
  <c r="V132" i="22"/>
  <c r="N132" i="22"/>
  <c r="O132" i="22"/>
  <c r="AC69" i="24"/>
  <c r="AX69" i="24"/>
  <c r="BS69" i="24"/>
  <c r="X125" i="23"/>
  <c r="X126" i="23"/>
  <c r="X127" i="23"/>
  <c r="X128" i="23"/>
  <c r="X129" i="23"/>
  <c r="X130" i="23"/>
  <c r="X131" i="23"/>
  <c r="X132" i="23"/>
  <c r="Y62" i="23"/>
  <c r="Z62" i="23" s="1"/>
  <c r="Z63" i="23"/>
  <c r="R64" i="23" l="1"/>
  <c r="AB64" i="23"/>
  <c r="R63" i="23"/>
  <c r="AB63" i="23"/>
  <c r="N133" i="22"/>
  <c r="O133" i="22"/>
  <c r="V133" i="22"/>
  <c r="O63" i="23"/>
  <c r="P63" i="23" s="1"/>
  <c r="AG112" i="24"/>
  <c r="AG110" i="24"/>
  <c r="AG111" i="24"/>
  <c r="AG108" i="24"/>
  <c r="AG109" i="24"/>
  <c r="BS70" i="24"/>
  <c r="AC70" i="24"/>
  <c r="AX70" i="24"/>
  <c r="O62" i="23"/>
  <c r="P62" i="23" s="1"/>
  <c r="L108" i="23"/>
  <c r="L109" i="23"/>
  <c r="L112" i="23"/>
  <c r="L110" i="23"/>
  <c r="L115" i="23"/>
  <c r="L114" i="23"/>
  <c r="L113" i="23"/>
  <c r="L111" i="23"/>
  <c r="AB65" i="23" l="1"/>
  <c r="R65" i="23"/>
  <c r="N134" i="22"/>
  <c r="O134" i="22"/>
  <c r="V134" i="22"/>
  <c r="Y64" i="23"/>
  <c r="Z64" i="23" s="1"/>
  <c r="BF64" i="24"/>
  <c r="BJ64" i="24" s="1"/>
  <c r="Y65" i="23"/>
  <c r="Z65" i="23" s="1"/>
  <c r="AH112" i="24"/>
  <c r="AH113" i="24"/>
  <c r="AY113" i="24" s="1"/>
  <c r="AH109" i="24"/>
  <c r="AJ114" i="24"/>
  <c r="AH111" i="24"/>
  <c r="AY111" i="24" s="1"/>
  <c r="AH110" i="24"/>
  <c r="AY110" i="24" s="1"/>
  <c r="BS71" i="24"/>
  <c r="AX71" i="24"/>
  <c r="AC71" i="24"/>
  <c r="M113" i="23"/>
  <c r="N113" i="23" s="1"/>
  <c r="M110" i="23"/>
  <c r="N110" i="23" s="1"/>
  <c r="M111" i="23"/>
  <c r="N111" i="23" s="1"/>
  <c r="M114" i="23"/>
  <c r="N114" i="23" s="1"/>
  <c r="M116" i="23"/>
  <c r="N116" i="23" s="1"/>
  <c r="N117" i="23"/>
  <c r="N118" i="23"/>
  <c r="M115" i="23"/>
  <c r="N115" i="23" s="1"/>
  <c r="M112" i="23"/>
  <c r="N112" i="23" s="1"/>
  <c r="M109" i="23"/>
  <c r="N109" i="23" s="1"/>
  <c r="AJ109" i="24" l="1"/>
  <c r="AY109" i="24"/>
  <c r="AJ112" i="24"/>
  <c r="AY112" i="24"/>
  <c r="AJ113" i="24"/>
  <c r="AI114" i="24"/>
  <c r="BH64" i="24"/>
  <c r="BG64" i="24"/>
  <c r="AB66" i="23"/>
  <c r="R66" i="23"/>
  <c r="V135" i="22"/>
  <c r="N135" i="22"/>
  <c r="O135" i="22"/>
  <c r="BF65" i="24"/>
  <c r="BJ65" i="24" s="1"/>
  <c r="Y66" i="23"/>
  <c r="Z66" i="23" s="1"/>
  <c r="BF66" i="24"/>
  <c r="BJ66" i="24" s="1"/>
  <c r="AI110" i="24"/>
  <c r="AI113" i="24"/>
  <c r="AJ111" i="24"/>
  <c r="AI112" i="24"/>
  <c r="AI111" i="24"/>
  <c r="AJ110" i="24"/>
  <c r="BS72" i="24"/>
  <c r="AX72" i="24"/>
  <c r="AC72" i="24"/>
  <c r="AH49" i="23"/>
  <c r="BH65" i="24" l="1"/>
  <c r="BG65" i="24"/>
  <c r="BH66" i="24"/>
  <c r="BG66" i="24"/>
  <c r="AB67" i="23"/>
  <c r="R67" i="23"/>
  <c r="V136" i="22"/>
  <c r="O136" i="22"/>
  <c r="N136" i="22"/>
  <c r="BF67" i="24"/>
  <c r="BJ67" i="24" s="1"/>
  <c r="Y67" i="23"/>
  <c r="Z67" i="23" s="1"/>
  <c r="AX73" i="24"/>
  <c r="AC73" i="24"/>
  <c r="BS73" i="24"/>
  <c r="BH67" i="24" l="1"/>
  <c r="BG67" i="24"/>
  <c r="AB68" i="23"/>
  <c r="R68" i="23"/>
  <c r="O137" i="22"/>
  <c r="N137" i="22"/>
  <c r="V137" i="22"/>
  <c r="BF68" i="24"/>
  <c r="BJ68" i="24" s="1"/>
  <c r="AG63" i="24"/>
  <c r="AG92" i="24"/>
  <c r="AG101" i="24"/>
  <c r="AG72" i="24"/>
  <c r="AG82" i="24"/>
  <c r="AG62" i="24"/>
  <c r="AG70" i="24"/>
  <c r="AG76" i="24"/>
  <c r="AG99" i="24"/>
  <c r="AG79" i="24"/>
  <c r="AG100" i="24"/>
  <c r="AG78" i="24"/>
  <c r="AG81" i="24"/>
  <c r="AG88" i="24"/>
  <c r="AG71" i="24"/>
  <c r="AG80" i="24"/>
  <c r="AG65" i="24"/>
  <c r="AG91" i="24"/>
  <c r="AG98" i="24"/>
  <c r="AG69" i="24"/>
  <c r="AX74" i="24"/>
  <c r="AC74" i="24"/>
  <c r="BS74" i="24"/>
  <c r="L92" i="23"/>
  <c r="L72" i="23"/>
  <c r="L65" i="23"/>
  <c r="L63" i="23"/>
  <c r="L101" i="23"/>
  <c r="L81" i="23"/>
  <c r="L78" i="23"/>
  <c r="L80" i="23"/>
  <c r="L69" i="23"/>
  <c r="L62" i="23"/>
  <c r="L88" i="23"/>
  <c r="L70" i="23"/>
  <c r="L99" i="23"/>
  <c r="L82" i="23"/>
  <c r="L91" i="23"/>
  <c r="L76" i="23"/>
  <c r="L79" i="23"/>
  <c r="L98" i="23"/>
  <c r="L71" i="23"/>
  <c r="L100" i="23"/>
  <c r="M63" i="23" l="1"/>
  <c r="BH68" i="24"/>
  <c r="BG68" i="24"/>
  <c r="AB69" i="23"/>
  <c r="R69" i="23"/>
  <c r="N138" i="22"/>
  <c r="O138" i="22"/>
  <c r="V138" i="22"/>
  <c r="Y68" i="23"/>
  <c r="Z68" i="23" s="1"/>
  <c r="BF69" i="24"/>
  <c r="BJ69" i="24" s="1"/>
  <c r="Y69" i="23"/>
  <c r="Z69" i="23" s="1"/>
  <c r="AH79" i="24"/>
  <c r="AH101" i="24"/>
  <c r="AH92" i="24"/>
  <c r="AH70" i="24"/>
  <c r="AH63" i="24"/>
  <c r="M70" i="23"/>
  <c r="N70" i="23" s="1"/>
  <c r="AH71" i="24"/>
  <c r="AY71" i="24" s="1"/>
  <c r="AH72" i="24"/>
  <c r="AY72" i="24" s="1"/>
  <c r="AG75" i="24"/>
  <c r="AH76" i="24" s="1"/>
  <c r="AY76" i="24" s="1"/>
  <c r="AG90" i="24"/>
  <c r="AH91" i="24" s="1"/>
  <c r="AY91" i="24" s="1"/>
  <c r="AG93" i="24"/>
  <c r="AG66" i="24"/>
  <c r="AH66" i="24" s="1"/>
  <c r="AY66" i="24" s="1"/>
  <c r="AG83" i="24"/>
  <c r="AG105" i="24"/>
  <c r="AG107" i="24"/>
  <c r="AH108" i="24" s="1"/>
  <c r="AY108" i="24" s="1"/>
  <c r="AG68" i="24"/>
  <c r="AH69" i="24" s="1"/>
  <c r="AY69" i="24" s="1"/>
  <c r="AG96" i="24"/>
  <c r="AG87" i="24"/>
  <c r="AH88" i="24" s="1"/>
  <c r="AY88" i="24" s="1"/>
  <c r="AG89" i="24"/>
  <c r="AG102" i="24"/>
  <c r="AG103" i="24"/>
  <c r="AG77" i="24"/>
  <c r="AH78" i="24" s="1"/>
  <c r="AY78" i="24" s="1"/>
  <c r="AG104" i="24"/>
  <c r="AG67" i="24"/>
  <c r="AG86" i="24"/>
  <c r="AG74" i="24"/>
  <c r="AG106" i="24"/>
  <c r="AG94" i="24"/>
  <c r="AG85" i="24"/>
  <c r="AG95" i="24"/>
  <c r="AG64" i="24"/>
  <c r="AH65" i="24" s="1"/>
  <c r="AY65" i="24" s="1"/>
  <c r="AG84" i="24"/>
  <c r="AG97" i="24"/>
  <c r="AH98" i="24" s="1"/>
  <c r="AY98" i="24" s="1"/>
  <c r="AG73" i="24"/>
  <c r="AH73" i="24" s="1"/>
  <c r="AY73" i="24" s="1"/>
  <c r="AH100" i="24"/>
  <c r="AY100" i="24" s="1"/>
  <c r="AH99" i="24"/>
  <c r="AY99" i="24" s="1"/>
  <c r="AH80" i="24"/>
  <c r="AY80" i="24" s="1"/>
  <c r="AH81" i="24"/>
  <c r="AY81" i="24" s="1"/>
  <c r="AH82" i="24"/>
  <c r="AY82" i="24" s="1"/>
  <c r="AX75" i="24"/>
  <c r="AC75" i="24"/>
  <c r="BS75" i="24"/>
  <c r="N63" i="23"/>
  <c r="M80" i="23"/>
  <c r="N80" i="23" s="1"/>
  <c r="M100" i="23"/>
  <c r="N100" i="23" s="1"/>
  <c r="L103" i="23"/>
  <c r="L83" i="23"/>
  <c r="M83" i="23" s="1"/>
  <c r="N83" i="23" s="1"/>
  <c r="L94" i="23"/>
  <c r="L84" i="23"/>
  <c r="L97" i="23"/>
  <c r="M98" i="23" s="1"/>
  <c r="N98" i="23" s="1"/>
  <c r="L73" i="23"/>
  <c r="M73" i="23" s="1"/>
  <c r="N73" i="23" s="1"/>
  <c r="L75" i="23"/>
  <c r="M76" i="23" s="1"/>
  <c r="N76" i="23" s="1"/>
  <c r="L95" i="23"/>
  <c r="L107" i="23"/>
  <c r="L86" i="23"/>
  <c r="L106" i="23"/>
  <c r="L90" i="23"/>
  <c r="L68" i="23"/>
  <c r="M69" i="23" s="1"/>
  <c r="N69" i="23" s="1"/>
  <c r="L77" i="23"/>
  <c r="M77" i="23" s="1"/>
  <c r="N77" i="23" s="1"/>
  <c r="L85" i="23"/>
  <c r="L64" i="23"/>
  <c r="L96" i="23"/>
  <c r="L89" i="23"/>
  <c r="M89" i="23" s="1"/>
  <c r="N89" i="23" s="1"/>
  <c r="L87" i="23"/>
  <c r="M88" i="23" s="1"/>
  <c r="N88" i="23" s="1"/>
  <c r="L66" i="23"/>
  <c r="L93" i="23"/>
  <c r="M93" i="23" s="1"/>
  <c r="N93" i="23" s="1"/>
  <c r="L74" i="23"/>
  <c r="L67" i="23"/>
  <c r="L105" i="23"/>
  <c r="L102" i="23"/>
  <c r="M102" i="23" s="1"/>
  <c r="N102" i="23" s="1"/>
  <c r="L104" i="23"/>
  <c r="M79" i="23"/>
  <c r="N79" i="23" s="1"/>
  <c r="M99" i="23"/>
  <c r="N99" i="23" s="1"/>
  <c r="M101" i="23"/>
  <c r="N101" i="23" s="1"/>
  <c r="M82" i="23"/>
  <c r="N82" i="23" s="1"/>
  <c r="M72" i="23"/>
  <c r="N72" i="23" s="1"/>
  <c r="M71" i="23"/>
  <c r="N71" i="23" s="1"/>
  <c r="M81" i="23"/>
  <c r="N81" i="23" s="1"/>
  <c r="M92" i="23"/>
  <c r="N92" i="23" s="1"/>
  <c r="AJ70" i="24" l="1"/>
  <c r="AY70" i="24"/>
  <c r="AJ92" i="24"/>
  <c r="AY92" i="24"/>
  <c r="AJ79" i="24"/>
  <c r="AY79" i="24"/>
  <c r="M67" i="23"/>
  <c r="N67" i="23" s="1"/>
  <c r="N64" i="23"/>
  <c r="M65" i="23"/>
  <c r="N65" i="23" s="1"/>
  <c r="AJ101" i="24"/>
  <c r="AY101" i="24"/>
  <c r="M66" i="23"/>
  <c r="N66" i="23" s="1"/>
  <c r="AJ63" i="24"/>
  <c r="AY63" i="24"/>
  <c r="M64" i="23"/>
  <c r="BH69" i="24"/>
  <c r="BG69" i="24"/>
  <c r="AB70" i="23"/>
  <c r="R70" i="23"/>
  <c r="N139" i="22"/>
  <c r="O139" i="22"/>
  <c r="V139" i="22"/>
  <c r="AH107" i="24"/>
  <c r="Y70" i="23"/>
  <c r="Z70" i="23" s="1"/>
  <c r="BF70" i="24"/>
  <c r="BJ70" i="24" s="1"/>
  <c r="AJ71" i="24"/>
  <c r="AH64" i="24"/>
  <c r="AI73" i="24"/>
  <c r="AH90" i="24"/>
  <c r="AH77" i="24"/>
  <c r="AH86" i="24"/>
  <c r="AH106" i="24"/>
  <c r="AY106" i="24" s="1"/>
  <c r="AH85" i="24"/>
  <c r="AH103" i="24"/>
  <c r="AI72" i="24"/>
  <c r="AH89" i="24"/>
  <c r="AI71" i="24"/>
  <c r="AH102" i="24"/>
  <c r="AH75" i="24"/>
  <c r="AY75" i="24" s="1"/>
  <c r="AJ72" i="24"/>
  <c r="AH105" i="24"/>
  <c r="AH94" i="24"/>
  <c r="AH96" i="24"/>
  <c r="AH97" i="24"/>
  <c r="AJ76" i="24"/>
  <c r="AI66" i="24"/>
  <c r="AJ65" i="24"/>
  <c r="AJ88" i="24"/>
  <c r="AI101" i="24"/>
  <c r="AJ100" i="24"/>
  <c r="AH95" i="24"/>
  <c r="AY95" i="24" s="1"/>
  <c r="AJ69" i="24"/>
  <c r="AI70" i="24"/>
  <c r="AJ108" i="24"/>
  <c r="AI109" i="24"/>
  <c r="AJ73" i="24"/>
  <c r="AH87" i="24"/>
  <c r="AY87" i="24" s="1"/>
  <c r="AH84" i="24"/>
  <c r="AY84" i="24" s="1"/>
  <c r="AJ81" i="24"/>
  <c r="AI82" i="24"/>
  <c r="AH68" i="24"/>
  <c r="AY68" i="24" s="1"/>
  <c r="AH67" i="24"/>
  <c r="AJ80" i="24"/>
  <c r="AI81" i="24"/>
  <c r="AI80" i="24"/>
  <c r="AJ82" i="24"/>
  <c r="AH83" i="24"/>
  <c r="AJ99" i="24"/>
  <c r="AI100" i="24"/>
  <c r="AH74" i="24"/>
  <c r="AY74" i="24" s="1"/>
  <c r="AI79" i="24"/>
  <c r="AJ78" i="24"/>
  <c r="AJ91" i="24"/>
  <c r="AI92" i="24"/>
  <c r="AH93" i="24"/>
  <c r="AY93" i="24" s="1"/>
  <c r="AJ66" i="24"/>
  <c r="AI99" i="24"/>
  <c r="AJ98" i="24"/>
  <c r="AH104" i="24"/>
  <c r="AY104" i="24" s="1"/>
  <c r="AX76" i="24"/>
  <c r="AC76" i="24"/>
  <c r="BS76" i="24"/>
  <c r="M104" i="23"/>
  <c r="N104" i="23" s="1"/>
  <c r="M95" i="23"/>
  <c r="N95" i="23" s="1"/>
  <c r="M90" i="23"/>
  <c r="N90" i="23" s="1"/>
  <c r="M78" i="23"/>
  <c r="N78" i="23" s="1"/>
  <c r="M105" i="23"/>
  <c r="N105" i="23" s="1"/>
  <c r="M106" i="23"/>
  <c r="N106" i="23" s="1"/>
  <c r="M107" i="23"/>
  <c r="N107" i="23" s="1"/>
  <c r="M108" i="23"/>
  <c r="N108" i="23" s="1"/>
  <c r="M86" i="23"/>
  <c r="N86" i="23" s="1"/>
  <c r="M87" i="23"/>
  <c r="N87" i="23" s="1"/>
  <c r="M91" i="23"/>
  <c r="N91" i="23" s="1"/>
  <c r="M96" i="23"/>
  <c r="N96" i="23" s="1"/>
  <c r="M97" i="23"/>
  <c r="N97" i="23" s="1"/>
  <c r="M74" i="23"/>
  <c r="N74" i="23" s="1"/>
  <c r="M75" i="23"/>
  <c r="N75" i="23" s="1"/>
  <c r="M84" i="23"/>
  <c r="N84" i="23" s="1"/>
  <c r="M85" i="23"/>
  <c r="N85" i="23" s="1"/>
  <c r="M94" i="23"/>
  <c r="N94" i="23" s="1"/>
  <c r="M68" i="23"/>
  <c r="M103" i="23"/>
  <c r="N103" i="23" s="1"/>
  <c r="S70" i="23"/>
  <c r="S63" i="23"/>
  <c r="S64" i="23"/>
  <c r="S66" i="23" l="1"/>
  <c r="AI67" i="24"/>
  <c r="AY67" i="24"/>
  <c r="AJ102" i="24"/>
  <c r="AY102" i="24"/>
  <c r="AJ89" i="24"/>
  <c r="AY89" i="24"/>
  <c r="AJ103" i="24"/>
  <c r="AY103" i="24"/>
  <c r="AI64" i="24"/>
  <c r="AY64" i="24"/>
  <c r="AJ85" i="24"/>
  <c r="AY85" i="24"/>
  <c r="AJ107" i="24"/>
  <c r="AY107" i="24"/>
  <c r="AI98" i="24"/>
  <c r="AY97" i="24"/>
  <c r="AI83" i="24"/>
  <c r="AY83" i="24"/>
  <c r="AJ96" i="24"/>
  <c r="AY96" i="24"/>
  <c r="AJ86" i="24"/>
  <c r="AY86" i="24"/>
  <c r="AJ94" i="24"/>
  <c r="AY94" i="24"/>
  <c r="AI78" i="24"/>
  <c r="AY77" i="24"/>
  <c r="AJ105" i="24"/>
  <c r="AY105" i="24"/>
  <c r="AI91" i="24"/>
  <c r="AY90" i="24"/>
  <c r="BH70" i="24"/>
  <c r="BG70" i="24"/>
  <c r="N68" i="23"/>
  <c r="AH24" i="23"/>
  <c r="AB71" i="23"/>
  <c r="N140" i="22"/>
  <c r="O140" i="22"/>
  <c r="V140" i="22"/>
  <c r="AI108" i="24"/>
  <c r="AI107" i="24"/>
  <c r="AI104" i="24"/>
  <c r="AI86" i="24"/>
  <c r="AJ77" i="24"/>
  <c r="AJ90" i="24"/>
  <c r="AI65" i="24"/>
  <c r="AJ64" i="24"/>
  <c r="Y71" i="23"/>
  <c r="Z71" i="23" s="1"/>
  <c r="AI77" i="24"/>
  <c r="AI95" i="24"/>
  <c r="AI90" i="24"/>
  <c r="AI102" i="24"/>
  <c r="AI87" i="24"/>
  <c r="AI106" i="24"/>
  <c r="AJ106" i="24"/>
  <c r="BY23" i="24"/>
  <c r="AI97" i="24"/>
  <c r="AI103" i="24"/>
  <c r="AI89" i="24"/>
  <c r="AJ75" i="24"/>
  <c r="AI76" i="24"/>
  <c r="AJ97" i="24"/>
  <c r="AJ93" i="24"/>
  <c r="AI94" i="24"/>
  <c r="AI93" i="24"/>
  <c r="AI88" i="24"/>
  <c r="AJ87" i="24"/>
  <c r="AI75" i="24"/>
  <c r="AJ74" i="24"/>
  <c r="AI74" i="24"/>
  <c r="AI85" i="24"/>
  <c r="AJ84" i="24"/>
  <c r="AJ83" i="24"/>
  <c r="AI84" i="24"/>
  <c r="AJ95" i="24"/>
  <c r="AI96" i="24"/>
  <c r="AJ68" i="24"/>
  <c r="AI69" i="24"/>
  <c r="AJ104" i="24"/>
  <c r="AI105" i="24"/>
  <c r="AI68" i="24"/>
  <c r="AJ67" i="24"/>
  <c r="BY24" i="24"/>
  <c r="BS77" i="24"/>
  <c r="AX77" i="24"/>
  <c r="AC77" i="24"/>
  <c r="AH23" i="23"/>
  <c r="S69" i="23"/>
  <c r="S67" i="23"/>
  <c r="S68" i="23"/>
  <c r="S65" i="23"/>
  <c r="R71" i="23" l="1"/>
  <c r="S71" i="23"/>
  <c r="AB72" i="23"/>
  <c r="V141" i="22"/>
  <c r="N141" i="22"/>
  <c r="O141" i="22"/>
  <c r="BF71" i="24"/>
  <c r="BJ71" i="24" s="1"/>
  <c r="Y72" i="23"/>
  <c r="Z72" i="23" s="1"/>
  <c r="BF72" i="24"/>
  <c r="BJ72" i="24" s="1"/>
  <c r="BS78" i="24"/>
  <c r="AX78" i="24"/>
  <c r="AC78" i="24"/>
  <c r="N62" i="23"/>
  <c r="BH71" i="24" l="1"/>
  <c r="BG71" i="24"/>
  <c r="BH72" i="24"/>
  <c r="BG72" i="24"/>
  <c r="R72" i="23"/>
  <c r="S72" i="23"/>
  <c r="AB73" i="23"/>
  <c r="V142" i="22"/>
  <c r="O142" i="22"/>
  <c r="N142" i="22"/>
  <c r="BF73" i="24"/>
  <c r="BJ73" i="24" s="1"/>
  <c r="AX79" i="24"/>
  <c r="AC79" i="24"/>
  <c r="BS79" i="24"/>
  <c r="X62" i="23"/>
  <c r="F62" i="23"/>
  <c r="AA23" i="22"/>
  <c r="AA26" i="22" s="1"/>
  <c r="AA22" i="22"/>
  <c r="BH73" i="24" l="1"/>
  <c r="BG73" i="24"/>
  <c r="R73" i="23"/>
  <c r="S73" i="23"/>
  <c r="AB74" i="23"/>
  <c r="N143" i="22"/>
  <c r="O143" i="22"/>
  <c r="V143" i="22"/>
  <c r="Y73" i="23"/>
  <c r="Z73" i="23" s="1"/>
  <c r="Y74" i="23"/>
  <c r="Z74" i="23" s="1"/>
  <c r="AX80" i="24"/>
  <c r="AC80" i="24"/>
  <c r="BS80" i="24"/>
  <c r="V115" i="23"/>
  <c r="BB79" i="24"/>
  <c r="AB75" i="23" l="1"/>
  <c r="R74" i="23"/>
  <c r="S74" i="23"/>
  <c r="N144" i="22"/>
  <c r="O144" i="22"/>
  <c r="V144" i="22"/>
  <c r="V121" i="23"/>
  <c r="V123" i="23"/>
  <c r="W124" i="23" s="1"/>
  <c r="X124" i="23" s="1"/>
  <c r="V122" i="23"/>
  <c r="V106" i="23"/>
  <c r="BB120" i="24"/>
  <c r="BC121" i="24" s="1"/>
  <c r="V120" i="23"/>
  <c r="V119" i="23"/>
  <c r="BB119" i="24"/>
  <c r="BB118" i="24"/>
  <c r="V118" i="23"/>
  <c r="V117" i="23"/>
  <c r="BB117" i="24"/>
  <c r="BB116" i="24"/>
  <c r="V116" i="23"/>
  <c r="W116" i="23" s="1"/>
  <c r="X116" i="23" s="1"/>
  <c r="BB107" i="24"/>
  <c r="BB115" i="24"/>
  <c r="V114" i="23"/>
  <c r="W115" i="23" s="1"/>
  <c r="X115" i="23" s="1"/>
  <c r="BB114" i="24"/>
  <c r="V102" i="23"/>
  <c r="BB113" i="24"/>
  <c r="V113" i="23"/>
  <c r="BB108" i="24"/>
  <c r="V112" i="23"/>
  <c r="V108" i="23"/>
  <c r="BB112" i="24"/>
  <c r="BB100" i="24"/>
  <c r="BB111" i="24"/>
  <c r="V107" i="23"/>
  <c r="V111" i="23"/>
  <c r="V79" i="23"/>
  <c r="V110" i="23"/>
  <c r="V71" i="23"/>
  <c r="BB110" i="24"/>
  <c r="V97" i="23"/>
  <c r="BB109" i="24"/>
  <c r="V109" i="23"/>
  <c r="V77" i="23"/>
  <c r="V73" i="23"/>
  <c r="BB98" i="24"/>
  <c r="V98" i="23"/>
  <c r="V104" i="23"/>
  <c r="V85" i="23"/>
  <c r="V68" i="23"/>
  <c r="BB97" i="24"/>
  <c r="V64" i="23"/>
  <c r="BB68" i="24"/>
  <c r="V67" i="23"/>
  <c r="BB86" i="24"/>
  <c r="V86" i="23"/>
  <c r="V89" i="23"/>
  <c r="V100" i="23"/>
  <c r="BB102" i="24"/>
  <c r="BB64" i="24"/>
  <c r="BB85" i="24"/>
  <c r="BB106" i="24"/>
  <c r="BB89" i="24"/>
  <c r="BB104" i="24"/>
  <c r="BB73" i="24"/>
  <c r="BF74" i="24"/>
  <c r="BJ74" i="24" s="1"/>
  <c r="BF75" i="24"/>
  <c r="BJ75" i="24" s="1"/>
  <c r="Y75" i="23"/>
  <c r="Z75" i="23" s="1"/>
  <c r="BB67" i="24"/>
  <c r="BB71" i="24"/>
  <c r="BB77" i="24"/>
  <c r="V90" i="23"/>
  <c r="BB90" i="24"/>
  <c r="V81" i="23"/>
  <c r="BB81" i="24"/>
  <c r="AH27" i="23"/>
  <c r="BY27" i="24"/>
  <c r="V103" i="23"/>
  <c r="BB103" i="24"/>
  <c r="V93" i="23"/>
  <c r="BB93" i="24"/>
  <c r="V83" i="23"/>
  <c r="BB83" i="24"/>
  <c r="V74" i="23"/>
  <c r="BB74" i="24"/>
  <c r="V65" i="23"/>
  <c r="BB65" i="24"/>
  <c r="V101" i="23"/>
  <c r="BB101" i="24"/>
  <c r="V82" i="23"/>
  <c r="BB82" i="24"/>
  <c r="V92" i="23"/>
  <c r="BB92" i="24"/>
  <c r="V88" i="23"/>
  <c r="BB88" i="24"/>
  <c r="V99" i="23"/>
  <c r="BB99" i="24"/>
  <c r="V80" i="23"/>
  <c r="BB80" i="24"/>
  <c r="V84" i="23"/>
  <c r="BB84" i="24"/>
  <c r="V70" i="23"/>
  <c r="BB70" i="24"/>
  <c r="V75" i="23"/>
  <c r="BB75" i="24"/>
  <c r="V105" i="23"/>
  <c r="BB105" i="24"/>
  <c r="V62" i="23"/>
  <c r="BB62" i="24"/>
  <c r="V76" i="23"/>
  <c r="BB76" i="24"/>
  <c r="V91" i="23"/>
  <c r="BB91" i="24"/>
  <c r="V95" i="23"/>
  <c r="BB95" i="24"/>
  <c r="V87" i="23"/>
  <c r="BB87" i="24"/>
  <c r="V63" i="23"/>
  <c r="BB63" i="24"/>
  <c r="V66" i="23"/>
  <c r="BB66" i="24"/>
  <c r="V69" i="23"/>
  <c r="BB69" i="24"/>
  <c r="V96" i="23"/>
  <c r="BB96" i="24"/>
  <c r="V78" i="23"/>
  <c r="BB78" i="24"/>
  <c r="BC79" i="24" s="1"/>
  <c r="V94" i="23"/>
  <c r="W94" i="23" s="1"/>
  <c r="BB94" i="24"/>
  <c r="V72" i="23"/>
  <c r="BB72" i="24"/>
  <c r="O64" i="23"/>
  <c r="P64" i="23" s="1"/>
  <c r="AK64" i="24"/>
  <c r="BS81" i="24"/>
  <c r="AX81" i="24"/>
  <c r="AC81" i="24"/>
  <c r="S62" i="23"/>
  <c r="AH11" i="23"/>
  <c r="AH12" i="23"/>
  <c r="W68" i="23" l="1"/>
  <c r="W63" i="23"/>
  <c r="X63" i="23" s="1"/>
  <c r="W67" i="23"/>
  <c r="W64" i="23"/>
  <c r="W66" i="23"/>
  <c r="W65" i="23"/>
  <c r="X65" i="23" s="1"/>
  <c r="BD122" i="24"/>
  <c r="AL64" i="24"/>
  <c r="AO64" i="24"/>
  <c r="BH75" i="24"/>
  <c r="BG75" i="24"/>
  <c r="BH74" i="24"/>
  <c r="BG74" i="24"/>
  <c r="AM64" i="24"/>
  <c r="R75" i="23"/>
  <c r="S75" i="23"/>
  <c r="AB76" i="23"/>
  <c r="W121" i="23"/>
  <c r="BE122" i="24"/>
  <c r="N145" i="22"/>
  <c r="O145" i="22"/>
  <c r="V145" i="22"/>
  <c r="W120" i="23"/>
  <c r="X120" i="23" s="1"/>
  <c r="BE121" i="24"/>
  <c r="W123" i="23"/>
  <c r="X123" i="23" s="1"/>
  <c r="W119" i="23"/>
  <c r="X119" i="23" s="1"/>
  <c r="W97" i="23"/>
  <c r="X97" i="23" s="1"/>
  <c r="BC119" i="24"/>
  <c r="BE119" i="24" s="1"/>
  <c r="BC120" i="24"/>
  <c r="BE120" i="24" s="1"/>
  <c r="W107" i="23"/>
  <c r="X107" i="23" s="1"/>
  <c r="W122" i="23"/>
  <c r="BC118" i="24"/>
  <c r="BE118" i="24" s="1"/>
  <c r="BC100" i="24"/>
  <c r="BE100" i="24" s="1"/>
  <c r="W85" i="23"/>
  <c r="X85" i="23" s="1"/>
  <c r="BC117" i="24"/>
  <c r="BE117" i="24" s="1"/>
  <c r="W101" i="23"/>
  <c r="X101" i="23" s="1"/>
  <c r="W103" i="23"/>
  <c r="X103" i="23" s="1"/>
  <c r="W118" i="23"/>
  <c r="X118" i="23" s="1"/>
  <c r="BC116" i="24"/>
  <c r="BE116" i="24" s="1"/>
  <c r="BC108" i="24"/>
  <c r="BE108" i="24" s="1"/>
  <c r="W117" i="23"/>
  <c r="X117" i="23" s="1"/>
  <c r="BC87" i="24"/>
  <c r="BE87" i="24" s="1"/>
  <c r="W114" i="23"/>
  <c r="X114" i="23" s="1"/>
  <c r="BC107" i="24"/>
  <c r="BE107" i="24" s="1"/>
  <c r="W80" i="23"/>
  <c r="X80" i="23" s="1"/>
  <c r="BC115" i="24"/>
  <c r="BE115" i="24" s="1"/>
  <c r="W113" i="23"/>
  <c r="X113" i="23" s="1"/>
  <c r="BC114" i="24"/>
  <c r="BE114" i="24" s="1"/>
  <c r="W87" i="23"/>
  <c r="X87" i="23" s="1"/>
  <c r="W111" i="23"/>
  <c r="X111" i="23" s="1"/>
  <c r="BC113" i="24"/>
  <c r="BE113" i="24" s="1"/>
  <c r="BC106" i="24"/>
  <c r="BE106" i="24" s="1"/>
  <c r="W112" i="23"/>
  <c r="X112" i="23" s="1"/>
  <c r="W110" i="23"/>
  <c r="X110" i="23" s="1"/>
  <c r="BC112" i="24"/>
  <c r="BE112" i="24" s="1"/>
  <c r="BC111" i="24"/>
  <c r="BE111" i="24" s="1"/>
  <c r="BC73" i="24"/>
  <c r="BE73" i="24" s="1"/>
  <c r="W108" i="23"/>
  <c r="X108" i="23" s="1"/>
  <c r="BC104" i="24"/>
  <c r="BE104" i="24" s="1"/>
  <c r="W72" i="23"/>
  <c r="X72" i="23" s="1"/>
  <c r="W105" i="23"/>
  <c r="X105" i="23" s="1"/>
  <c r="W89" i="23"/>
  <c r="X89" i="23" s="1"/>
  <c r="W109" i="23"/>
  <c r="X109" i="23" s="1"/>
  <c r="W71" i="23"/>
  <c r="X71" i="23" s="1"/>
  <c r="BC110" i="24"/>
  <c r="BE110" i="24" s="1"/>
  <c r="X67" i="23"/>
  <c r="W99" i="23"/>
  <c r="X99" i="23" s="1"/>
  <c r="W74" i="23"/>
  <c r="X74" i="23" s="1"/>
  <c r="W78" i="23"/>
  <c r="X78" i="23" s="1"/>
  <c r="BC109" i="24"/>
  <c r="BE109" i="24" s="1"/>
  <c r="BC68" i="24"/>
  <c r="BT68" i="24" s="1"/>
  <c r="W86" i="23"/>
  <c r="X86" i="23" s="1"/>
  <c r="W98" i="23"/>
  <c r="X98" i="23" s="1"/>
  <c r="BC98" i="24"/>
  <c r="BE98" i="24" s="1"/>
  <c r="BC81" i="24"/>
  <c r="BE81" i="24" s="1"/>
  <c r="W69" i="23"/>
  <c r="X69" i="23" s="1"/>
  <c r="W77" i="23"/>
  <c r="X77" i="23" s="1"/>
  <c r="W90" i="23"/>
  <c r="X90" i="23" s="1"/>
  <c r="BC86" i="24"/>
  <c r="BE86" i="24" s="1"/>
  <c r="X68" i="23"/>
  <c r="BC89" i="24"/>
  <c r="BE89" i="24" s="1"/>
  <c r="X64" i="23"/>
  <c r="BC90" i="24"/>
  <c r="BE90" i="24" s="1"/>
  <c r="BC97" i="24"/>
  <c r="BE97" i="24" s="1"/>
  <c r="BC71" i="24"/>
  <c r="BE71" i="24" s="1"/>
  <c r="BC85" i="24"/>
  <c r="BE85" i="24" s="1"/>
  <c r="BF76" i="24"/>
  <c r="BJ76" i="24" s="1"/>
  <c r="BC102" i="24"/>
  <c r="BE102" i="24" s="1"/>
  <c r="BC77" i="24"/>
  <c r="BE77" i="24" s="1"/>
  <c r="BC67" i="24"/>
  <c r="BT67" i="24" s="1"/>
  <c r="W92" i="23"/>
  <c r="X92" i="23" s="1"/>
  <c r="W75" i="23"/>
  <c r="X75" i="23" s="1"/>
  <c r="AH15" i="23"/>
  <c r="BY15" i="24"/>
  <c r="BC80" i="24"/>
  <c r="BE80" i="24" s="1"/>
  <c r="BC99" i="24"/>
  <c r="BE99" i="24" s="1"/>
  <c r="W104" i="23"/>
  <c r="X104" i="23" s="1"/>
  <c r="BC105" i="24"/>
  <c r="W73" i="23"/>
  <c r="X73" i="23" s="1"/>
  <c r="W83" i="23"/>
  <c r="X83" i="23" s="1"/>
  <c r="BC70" i="24"/>
  <c r="BE70" i="24" s="1"/>
  <c r="W91" i="23"/>
  <c r="X91" i="23" s="1"/>
  <c r="W81" i="23"/>
  <c r="X81" i="23" s="1"/>
  <c r="BC101" i="24"/>
  <c r="BC75" i="24"/>
  <c r="BE75" i="24" s="1"/>
  <c r="BC78" i="24"/>
  <c r="BC96" i="24"/>
  <c r="BE96" i="24" s="1"/>
  <c r="W100" i="23"/>
  <c r="X100" i="23" s="1"/>
  <c r="W96" i="23"/>
  <c r="X96" i="23" s="1"/>
  <c r="W93" i="23"/>
  <c r="X93" i="23" s="1"/>
  <c r="W106" i="23"/>
  <c r="X106" i="23" s="1"/>
  <c r="W79" i="23"/>
  <c r="X79" i="23" s="1"/>
  <c r="W82" i="23"/>
  <c r="X82" i="23" s="1"/>
  <c r="X66" i="23"/>
  <c r="W102" i="23"/>
  <c r="X102" i="23" s="1"/>
  <c r="BC92" i="24"/>
  <c r="BC93" i="24"/>
  <c r="BC84" i="24"/>
  <c r="W95" i="23"/>
  <c r="X95" i="23" s="1"/>
  <c r="BC63" i="24"/>
  <c r="BC64" i="24"/>
  <c r="BC94" i="24"/>
  <c r="W76" i="23"/>
  <c r="X76" i="23" s="1"/>
  <c r="BC88" i="24"/>
  <c r="BC83" i="24"/>
  <c r="W84" i="23"/>
  <c r="X84" i="23" s="1"/>
  <c r="BE79" i="24"/>
  <c r="BT79" i="24"/>
  <c r="BC74" i="24"/>
  <c r="BC82" i="24"/>
  <c r="BC95" i="24"/>
  <c r="W88" i="23"/>
  <c r="X88" i="23" s="1"/>
  <c r="W70" i="23"/>
  <c r="X70" i="23" s="1"/>
  <c r="BC72" i="24"/>
  <c r="BC103" i="24"/>
  <c r="BC91" i="24"/>
  <c r="BC76" i="24"/>
  <c r="BC65" i="24"/>
  <c r="BC66" i="24"/>
  <c r="BC69" i="24"/>
  <c r="O65" i="23"/>
  <c r="P65" i="23" s="1"/>
  <c r="AK65" i="24"/>
  <c r="AC82" i="24"/>
  <c r="AX82" i="24"/>
  <c r="BS82" i="24"/>
  <c r="X94" i="23"/>
  <c r="BD121" i="24" l="1"/>
  <c r="AL65" i="24"/>
  <c r="AO65" i="24"/>
  <c r="BH76" i="24"/>
  <c r="BG76" i="24"/>
  <c r="AM65" i="24"/>
  <c r="R76" i="23"/>
  <c r="S76" i="23"/>
  <c r="AB77" i="23"/>
  <c r="X121" i="23"/>
  <c r="V146" i="22"/>
  <c r="N146" i="22"/>
  <c r="O146" i="22"/>
  <c r="BD120" i="24"/>
  <c r="X122" i="23"/>
  <c r="BD119" i="24"/>
  <c r="BD118" i="24"/>
  <c r="BD106" i="24"/>
  <c r="BD117" i="24"/>
  <c r="BD107" i="24"/>
  <c r="BD115" i="24"/>
  <c r="BD108" i="24"/>
  <c r="BD90" i="24"/>
  <c r="BD112" i="24"/>
  <c r="BD116" i="24"/>
  <c r="BD114" i="24"/>
  <c r="BD69" i="24"/>
  <c r="BD82" i="24"/>
  <c r="BD113" i="24"/>
  <c r="BD74" i="24"/>
  <c r="BT73" i="24"/>
  <c r="BD109" i="24"/>
  <c r="BE68" i="24"/>
  <c r="BT81" i="24"/>
  <c r="BD111" i="24"/>
  <c r="BD98" i="24"/>
  <c r="BD91" i="24"/>
  <c r="BD110" i="24"/>
  <c r="BD87" i="24"/>
  <c r="BD105" i="24"/>
  <c r="BD86" i="24"/>
  <c r="BT71" i="24"/>
  <c r="BE105" i="24"/>
  <c r="Y76" i="23"/>
  <c r="Z76" i="23" s="1"/>
  <c r="Y77" i="23"/>
  <c r="Z77" i="23" s="1"/>
  <c r="BF77" i="24"/>
  <c r="BJ77" i="24" s="1"/>
  <c r="BE67" i="24"/>
  <c r="BD78" i="24"/>
  <c r="BD68" i="24"/>
  <c r="BT77" i="24"/>
  <c r="BD102" i="24"/>
  <c r="BD103" i="24"/>
  <c r="BT80" i="24"/>
  <c r="BD97" i="24"/>
  <c r="BD80" i="24"/>
  <c r="BD81" i="24"/>
  <c r="BD71" i="24"/>
  <c r="BT70" i="24"/>
  <c r="BD79" i="24"/>
  <c r="BE101" i="24"/>
  <c r="BD76" i="24"/>
  <c r="BD99" i="24"/>
  <c r="BD101" i="24"/>
  <c r="BT78" i="24"/>
  <c r="BE78" i="24"/>
  <c r="BD100" i="24"/>
  <c r="BT75" i="24"/>
  <c r="BE83" i="24"/>
  <c r="BD84" i="24"/>
  <c r="BE64" i="24"/>
  <c r="BD65" i="24"/>
  <c r="BT64" i="24"/>
  <c r="BE93" i="24"/>
  <c r="BD94" i="24"/>
  <c r="BE88" i="24"/>
  <c r="BD89" i="24"/>
  <c r="BE63" i="24"/>
  <c r="BD64" i="24"/>
  <c r="BY36" i="24"/>
  <c r="BT63" i="24"/>
  <c r="BY37" i="24"/>
  <c r="BE92" i="24"/>
  <c r="BD93" i="24"/>
  <c r="BE91" i="24"/>
  <c r="BD92" i="24"/>
  <c r="BE94" i="24"/>
  <c r="BD95" i="24"/>
  <c r="BD88" i="24"/>
  <c r="BE95" i="24"/>
  <c r="BD96" i="24"/>
  <c r="BE74" i="24"/>
  <c r="BD75" i="24"/>
  <c r="BT74" i="24"/>
  <c r="BT82" i="24"/>
  <c r="BE69" i="24"/>
  <c r="BD70" i="24"/>
  <c r="BT69" i="24"/>
  <c r="BE66" i="24"/>
  <c r="BD67" i="24"/>
  <c r="BT66" i="24"/>
  <c r="BE72" i="24"/>
  <c r="BD73" i="24"/>
  <c r="BT72" i="24"/>
  <c r="BE65" i="24"/>
  <c r="BD66" i="24"/>
  <c r="BT65" i="24"/>
  <c r="BD72" i="24"/>
  <c r="BE82" i="24"/>
  <c r="BD83" i="24"/>
  <c r="BE103" i="24"/>
  <c r="BD104" i="24"/>
  <c r="BE76" i="24"/>
  <c r="BD77" i="24"/>
  <c r="BT76" i="24"/>
  <c r="BE84" i="24"/>
  <c r="BD85" i="24"/>
  <c r="AK66" i="24"/>
  <c r="O66" i="23"/>
  <c r="P66" i="23" s="1"/>
  <c r="AX83" i="24"/>
  <c r="AC83" i="24"/>
  <c r="BT83" i="24"/>
  <c r="BS83" i="24"/>
  <c r="AH37" i="23"/>
  <c r="AH36" i="23"/>
  <c r="AL66" i="24" l="1"/>
  <c r="AO66" i="24"/>
  <c r="BH77" i="24"/>
  <c r="BG77" i="24"/>
  <c r="AM66" i="24"/>
  <c r="R77" i="23"/>
  <c r="S77" i="23"/>
  <c r="AB78" i="23"/>
  <c r="V147" i="22"/>
  <c r="N147" i="22"/>
  <c r="O147" i="22"/>
  <c r="Y78" i="23"/>
  <c r="Z78" i="23" s="1"/>
  <c r="AH40" i="23"/>
  <c r="BY40" i="24"/>
  <c r="O67" i="23"/>
  <c r="P67" i="23" s="1"/>
  <c r="AK67" i="24"/>
  <c r="AX84" i="24"/>
  <c r="AC84" i="24"/>
  <c r="BT84" i="24"/>
  <c r="BS84" i="24"/>
  <c r="AL67" i="24" l="1"/>
  <c r="AO67" i="24"/>
  <c r="AM67" i="24"/>
  <c r="AB79" i="23"/>
  <c r="R78" i="23"/>
  <c r="S78" i="23"/>
  <c r="O148" i="22"/>
  <c r="N148" i="22"/>
  <c r="V148" i="22"/>
  <c r="BF78" i="24"/>
  <c r="BJ78" i="24" s="1"/>
  <c r="Y79" i="23"/>
  <c r="Z79" i="23" s="1"/>
  <c r="AK68" i="24"/>
  <c r="O68" i="23"/>
  <c r="P68" i="23" s="1"/>
  <c r="AX85" i="24"/>
  <c r="AC85" i="24"/>
  <c r="BT85" i="24"/>
  <c r="BS85" i="24"/>
  <c r="AL68" i="24" l="1"/>
  <c r="AO68" i="24"/>
  <c r="BH78" i="24"/>
  <c r="BG78" i="24"/>
  <c r="AM68" i="24"/>
  <c r="R79" i="23"/>
  <c r="S79" i="23"/>
  <c r="AB80" i="23"/>
  <c r="V149" i="22"/>
  <c r="O149" i="22"/>
  <c r="N149" i="22"/>
  <c r="BF79" i="24"/>
  <c r="BJ79" i="24" s="1"/>
  <c r="BF80" i="24"/>
  <c r="BJ80" i="24" s="1"/>
  <c r="O69" i="23"/>
  <c r="P69" i="23" s="1"/>
  <c r="AK69" i="24"/>
  <c r="BT86" i="24"/>
  <c r="BS86" i="24"/>
  <c r="AX86" i="24"/>
  <c r="AC86" i="24"/>
  <c r="AL69" i="24" l="1"/>
  <c r="AO69" i="24"/>
  <c r="BH80" i="24"/>
  <c r="BG80" i="24"/>
  <c r="BH79" i="24"/>
  <c r="BG79" i="24"/>
  <c r="AM69" i="24"/>
  <c r="AB81" i="23"/>
  <c r="R80" i="23"/>
  <c r="S80" i="23"/>
  <c r="N150" i="22"/>
  <c r="O150" i="22"/>
  <c r="V150" i="22"/>
  <c r="Y80" i="23"/>
  <c r="Z80" i="23" s="1"/>
  <c r="Y81" i="23"/>
  <c r="Z81" i="23" s="1"/>
  <c r="BF81" i="24"/>
  <c r="BJ81" i="24" s="1"/>
  <c r="AK70" i="24"/>
  <c r="O70" i="23"/>
  <c r="P70" i="23" s="1"/>
  <c r="AX87" i="24"/>
  <c r="AC87" i="24"/>
  <c r="BT87" i="24"/>
  <c r="BS87" i="24"/>
  <c r="AL70" i="24" l="1"/>
  <c r="AO70" i="24"/>
  <c r="BH81" i="24"/>
  <c r="BG81" i="24"/>
  <c r="AM70" i="24"/>
  <c r="R81" i="23"/>
  <c r="S81" i="23"/>
  <c r="AB82" i="23"/>
  <c r="O151" i="22"/>
  <c r="N151" i="22"/>
  <c r="V151" i="22"/>
  <c r="BF82" i="24"/>
  <c r="BJ82" i="24" s="1"/>
  <c r="AK71" i="24"/>
  <c r="O71" i="23"/>
  <c r="P71" i="23" s="1"/>
  <c r="BT88" i="24"/>
  <c r="BS88" i="24"/>
  <c r="AX88" i="24"/>
  <c r="AC88" i="24"/>
  <c r="AL71" i="24" l="1"/>
  <c r="AO71" i="24"/>
  <c r="BH82" i="24"/>
  <c r="BG82" i="24"/>
  <c r="AM71" i="24"/>
  <c r="R82" i="23"/>
  <c r="S82" i="23"/>
  <c r="AB83" i="23"/>
  <c r="N152" i="22"/>
  <c r="O152" i="22"/>
  <c r="V152" i="22"/>
  <c r="Y82" i="23"/>
  <c r="Z82" i="23" s="1"/>
  <c r="Y83" i="23"/>
  <c r="Z83" i="23" s="1"/>
  <c r="O72" i="23"/>
  <c r="P72" i="23" s="1"/>
  <c r="AK72" i="24"/>
  <c r="AX89" i="24"/>
  <c r="AC89" i="24"/>
  <c r="BT89" i="24"/>
  <c r="BS89" i="24"/>
  <c r="AL72" i="24" l="1"/>
  <c r="AO72" i="24"/>
  <c r="AM72" i="24"/>
  <c r="R83" i="23"/>
  <c r="S83" i="23"/>
  <c r="AB84" i="23"/>
  <c r="N153" i="22"/>
  <c r="O153" i="22"/>
  <c r="V153" i="22"/>
  <c r="BF83" i="24"/>
  <c r="BJ83" i="24" s="1"/>
  <c r="Y84" i="23"/>
  <c r="Z84" i="23" s="1"/>
  <c r="BF84" i="24"/>
  <c r="BJ84" i="24" s="1"/>
  <c r="AK73" i="24"/>
  <c r="O73" i="23"/>
  <c r="P73" i="23" s="1"/>
  <c r="AC90" i="24"/>
  <c r="AX90" i="24"/>
  <c r="BS90" i="24"/>
  <c r="BT90" i="24"/>
  <c r="AL73" i="24" l="1"/>
  <c r="AO73" i="24"/>
  <c r="BH83" i="24"/>
  <c r="BG83" i="24"/>
  <c r="BH84" i="24"/>
  <c r="BG84" i="24"/>
  <c r="AM73" i="24"/>
  <c r="AB85" i="23"/>
  <c r="R84" i="23"/>
  <c r="S84" i="23"/>
  <c r="O154" i="22"/>
  <c r="N154" i="22"/>
  <c r="V154" i="22"/>
  <c r="Y85" i="23"/>
  <c r="Z85" i="23" s="1"/>
  <c r="BF85" i="24"/>
  <c r="BJ85" i="24" s="1"/>
  <c r="AK74" i="24"/>
  <c r="O74" i="23"/>
  <c r="P74" i="23" s="1"/>
  <c r="AC91" i="24"/>
  <c r="AX91" i="24"/>
  <c r="BT91" i="24"/>
  <c r="BS91" i="24"/>
  <c r="AL74" i="24" l="1"/>
  <c r="AO74" i="24"/>
  <c r="BH85" i="24"/>
  <c r="BG85" i="24"/>
  <c r="AM74" i="24"/>
  <c r="R85" i="23"/>
  <c r="S85" i="23"/>
  <c r="AB86" i="23"/>
  <c r="V155" i="22"/>
  <c r="N155" i="22"/>
  <c r="O155" i="22"/>
  <c r="BF86" i="24"/>
  <c r="BJ86" i="24" s="1"/>
  <c r="AK75" i="24"/>
  <c r="O75" i="23"/>
  <c r="P75" i="23" s="1"/>
  <c r="BT92" i="24"/>
  <c r="BS92" i="24"/>
  <c r="AX92" i="24"/>
  <c r="AC92" i="24"/>
  <c r="AL75" i="24" l="1"/>
  <c r="AO75" i="24"/>
  <c r="BH86" i="24"/>
  <c r="BG86" i="24"/>
  <c r="AM75" i="24"/>
  <c r="R86" i="23"/>
  <c r="S86" i="23"/>
  <c r="AB87" i="23"/>
  <c r="O156" i="22"/>
  <c r="N156" i="22"/>
  <c r="V156" i="22"/>
  <c r="Y86" i="23"/>
  <c r="Z86" i="23" s="1"/>
  <c r="BF87" i="24"/>
  <c r="BJ87" i="24" s="1"/>
  <c r="Y87" i="23"/>
  <c r="Z87" i="23" s="1"/>
  <c r="O76" i="23"/>
  <c r="P76" i="23" s="1"/>
  <c r="AK76" i="24"/>
  <c r="BT93" i="24"/>
  <c r="BS93" i="24"/>
  <c r="AX93" i="24"/>
  <c r="AC93" i="24"/>
  <c r="AL76" i="24" l="1"/>
  <c r="AO76" i="24"/>
  <c r="BH87" i="24"/>
  <c r="BG87" i="24"/>
  <c r="AM76" i="24"/>
  <c r="AB88" i="23"/>
  <c r="R87" i="23"/>
  <c r="S87" i="23"/>
  <c r="N157" i="22"/>
  <c r="O157" i="22"/>
  <c r="V157" i="22"/>
  <c r="BF88" i="24"/>
  <c r="BJ88" i="24" s="1"/>
  <c r="Y88" i="23"/>
  <c r="Z88" i="23" s="1"/>
  <c r="O77" i="23"/>
  <c r="P77" i="23" s="1"/>
  <c r="AK77" i="24"/>
  <c r="AX94" i="24"/>
  <c r="AC94" i="24"/>
  <c r="BT94" i="24"/>
  <c r="BS94" i="24"/>
  <c r="AL77" i="24" l="1"/>
  <c r="AO77" i="24"/>
  <c r="BH88" i="24"/>
  <c r="BG88" i="24"/>
  <c r="AM77" i="24"/>
  <c r="R88" i="23"/>
  <c r="S88" i="23"/>
  <c r="AB89" i="23"/>
  <c r="V158" i="22"/>
  <c r="N158" i="22"/>
  <c r="O158" i="22"/>
  <c r="Y89" i="23"/>
  <c r="Z89" i="23" s="1"/>
  <c r="AK78" i="24"/>
  <c r="O78" i="23"/>
  <c r="P78" i="23" s="1"/>
  <c r="BT95" i="24"/>
  <c r="BS95" i="24"/>
  <c r="AX95" i="24"/>
  <c r="AC95" i="24"/>
  <c r="AL78" i="24" l="1"/>
  <c r="AO78" i="24"/>
  <c r="AM78" i="24"/>
  <c r="AB90" i="23"/>
  <c r="R89" i="23"/>
  <c r="S89" i="23"/>
  <c r="O159" i="22"/>
  <c r="N159" i="22"/>
  <c r="V159" i="22"/>
  <c r="BF89" i="24"/>
  <c r="BJ89" i="24" s="1"/>
  <c r="BF90" i="24"/>
  <c r="BJ90" i="24" s="1"/>
  <c r="AK79" i="24"/>
  <c r="O79" i="23"/>
  <c r="P79" i="23" s="1"/>
  <c r="AX96" i="24"/>
  <c r="AC96" i="24"/>
  <c r="BT96" i="24"/>
  <c r="BS96" i="24"/>
  <c r="AL79" i="24" l="1"/>
  <c r="AO79" i="24"/>
  <c r="BH89" i="24"/>
  <c r="BG89" i="24"/>
  <c r="BH90" i="24"/>
  <c r="BG90" i="24"/>
  <c r="AM79" i="24"/>
  <c r="R90" i="23"/>
  <c r="S90" i="23"/>
  <c r="AB91" i="23"/>
  <c r="N160" i="22"/>
  <c r="O160" i="22"/>
  <c r="V160" i="22"/>
  <c r="Y90" i="23"/>
  <c r="Z90" i="23" s="1"/>
  <c r="Y91" i="23"/>
  <c r="Z91" i="23" s="1"/>
  <c r="BF91" i="24"/>
  <c r="BJ91" i="24" s="1"/>
  <c r="O80" i="23"/>
  <c r="P80" i="23" s="1"/>
  <c r="AK80" i="24"/>
  <c r="BT97" i="24"/>
  <c r="BS97" i="24"/>
  <c r="AX97" i="24"/>
  <c r="AC97" i="24"/>
  <c r="AL80" i="24" l="1"/>
  <c r="AO80" i="24"/>
  <c r="BH91" i="24"/>
  <c r="BG91" i="24"/>
  <c r="AM80" i="24"/>
  <c r="R91" i="23"/>
  <c r="S91" i="23"/>
  <c r="AB92" i="23"/>
  <c r="V161" i="22"/>
  <c r="N161" i="22"/>
  <c r="O161" i="22"/>
  <c r="BF92" i="24"/>
  <c r="BJ92" i="24" s="1"/>
  <c r="Y92" i="23"/>
  <c r="Z92" i="23" s="1"/>
  <c r="O81" i="23"/>
  <c r="P81" i="23" s="1"/>
  <c r="AK81" i="24"/>
  <c r="BT98" i="24"/>
  <c r="BS98" i="24"/>
  <c r="AX98" i="24"/>
  <c r="AC98" i="24"/>
  <c r="AL81" i="24" l="1"/>
  <c r="AO81" i="24"/>
  <c r="BH92" i="24"/>
  <c r="BG92" i="24"/>
  <c r="AM81" i="24"/>
  <c r="AB93" i="23"/>
  <c r="R92" i="23"/>
  <c r="S92" i="23"/>
  <c r="V162" i="22"/>
  <c r="O162" i="22"/>
  <c r="N162" i="22"/>
  <c r="BF93" i="24"/>
  <c r="BJ93" i="24" s="1"/>
  <c r="Y93" i="23"/>
  <c r="Z93" i="23" s="1"/>
  <c r="AK82" i="24"/>
  <c r="O82" i="23"/>
  <c r="P82" i="23" s="1"/>
  <c r="AX99" i="24"/>
  <c r="AC99" i="24"/>
  <c r="BT99" i="24"/>
  <c r="BS99" i="24"/>
  <c r="AL82" i="24" l="1"/>
  <c r="AO82" i="24"/>
  <c r="BH93" i="24"/>
  <c r="BG93" i="24"/>
  <c r="AM82" i="24"/>
  <c r="R93" i="23"/>
  <c r="S93" i="23"/>
  <c r="AB94" i="23"/>
  <c r="V163" i="22"/>
  <c r="N163" i="22"/>
  <c r="O163" i="22"/>
  <c r="Y94" i="23"/>
  <c r="Z94" i="23" s="1"/>
  <c r="BF94" i="24"/>
  <c r="BJ94" i="24" s="1"/>
  <c r="AK83" i="24"/>
  <c r="O83" i="23"/>
  <c r="P83" i="23" s="1"/>
  <c r="BT100" i="24"/>
  <c r="BS100" i="24"/>
  <c r="AX100" i="24"/>
  <c r="AC100" i="24"/>
  <c r="AL83" i="24" l="1"/>
  <c r="AO83" i="24"/>
  <c r="BH94" i="24"/>
  <c r="BG94" i="24"/>
  <c r="AM83" i="24"/>
  <c r="R94" i="23"/>
  <c r="S94" i="23"/>
  <c r="AB95" i="23"/>
  <c r="V164" i="22"/>
  <c r="O164" i="22"/>
  <c r="N164" i="22"/>
  <c r="BF95" i="24"/>
  <c r="BJ95" i="24" s="1"/>
  <c r="Y95" i="23"/>
  <c r="Z95" i="23" s="1"/>
  <c r="AK84" i="24"/>
  <c r="O84" i="23"/>
  <c r="P84" i="23" s="1"/>
  <c r="AX101" i="24"/>
  <c r="AC101" i="24"/>
  <c r="BS101" i="24"/>
  <c r="BT101" i="24"/>
  <c r="AL84" i="24" l="1"/>
  <c r="AO84" i="24"/>
  <c r="BH95" i="24"/>
  <c r="BG95" i="24"/>
  <c r="AM84" i="24"/>
  <c r="R95" i="23"/>
  <c r="S95" i="23"/>
  <c r="AB96" i="23"/>
  <c r="O165" i="22"/>
  <c r="N165" i="22"/>
  <c r="V165" i="22"/>
  <c r="Y96" i="23"/>
  <c r="Z96" i="23" s="1"/>
  <c r="BF96" i="24"/>
  <c r="BJ96" i="24" s="1"/>
  <c r="AK85" i="24"/>
  <c r="O85" i="23"/>
  <c r="P85" i="23" s="1"/>
  <c r="BT102" i="24"/>
  <c r="BS102" i="24"/>
  <c r="AX102" i="24"/>
  <c r="AC102" i="24"/>
  <c r="AL85" i="24" l="1"/>
  <c r="AO85" i="24"/>
  <c r="BH96" i="24"/>
  <c r="BG96" i="24"/>
  <c r="AM85" i="24"/>
  <c r="R96" i="23"/>
  <c r="S96" i="23"/>
  <c r="AB97" i="23"/>
  <c r="N166" i="22"/>
  <c r="O166" i="22"/>
  <c r="V166" i="22"/>
  <c r="Y97" i="23"/>
  <c r="Z97" i="23" s="1"/>
  <c r="AK86" i="24"/>
  <c r="O86" i="23"/>
  <c r="P86" i="23" s="1"/>
  <c r="AX103" i="24"/>
  <c r="AC103" i="24"/>
  <c r="BT103" i="24"/>
  <c r="BS103" i="24"/>
  <c r="AL86" i="24" l="1"/>
  <c r="AO86" i="24"/>
  <c r="AM86" i="24"/>
  <c r="R97" i="23"/>
  <c r="S97" i="23"/>
  <c r="AB98" i="23"/>
  <c r="V167" i="22"/>
  <c r="N167" i="22"/>
  <c r="O167" i="22"/>
  <c r="BF97" i="24"/>
  <c r="BJ97" i="24" s="1"/>
  <c r="Y98" i="23"/>
  <c r="Z98" i="23" s="1"/>
  <c r="AK87" i="24"/>
  <c r="O87" i="23"/>
  <c r="P87" i="23" s="1"/>
  <c r="AX104" i="24"/>
  <c r="AC104" i="24"/>
  <c r="BT104" i="24"/>
  <c r="BS104" i="24"/>
  <c r="AL87" i="24" l="1"/>
  <c r="AO87" i="24"/>
  <c r="BH97" i="24"/>
  <c r="BG97" i="24"/>
  <c r="AM87" i="24"/>
  <c r="R98" i="23"/>
  <c r="S98" i="23"/>
  <c r="AB99" i="23"/>
  <c r="O168" i="22"/>
  <c r="N168" i="22"/>
  <c r="V168" i="22"/>
  <c r="BF98" i="24"/>
  <c r="BJ98" i="24" s="1"/>
  <c r="BF99" i="24"/>
  <c r="BJ99" i="24" s="1"/>
  <c r="Y99" i="23"/>
  <c r="Z99" i="23" s="1"/>
  <c r="O88" i="23"/>
  <c r="P88" i="23" s="1"/>
  <c r="AK88" i="24"/>
  <c r="AC105" i="24"/>
  <c r="AX105" i="24"/>
  <c r="BS105" i="24"/>
  <c r="BT105" i="24"/>
  <c r="AL88" i="24" l="1"/>
  <c r="AO88" i="24"/>
  <c r="BH99" i="24"/>
  <c r="BG99" i="24"/>
  <c r="BH98" i="24"/>
  <c r="BG98" i="24"/>
  <c r="AM88" i="24"/>
  <c r="R99" i="23"/>
  <c r="S99" i="23"/>
  <c r="AB100" i="23"/>
  <c r="V169" i="22"/>
  <c r="N169" i="22"/>
  <c r="O169" i="22"/>
  <c r="BF100" i="24"/>
  <c r="BJ100" i="24" s="1"/>
  <c r="Y100" i="23"/>
  <c r="Z100" i="23" s="1"/>
  <c r="AK89" i="24"/>
  <c r="O89" i="23"/>
  <c r="P89" i="23" s="1"/>
  <c r="AX106" i="24"/>
  <c r="AC106" i="24"/>
  <c r="BS106" i="24"/>
  <c r="BT106" i="24"/>
  <c r="AL89" i="24" l="1"/>
  <c r="AO89" i="24"/>
  <c r="BH100" i="24"/>
  <c r="BG100" i="24"/>
  <c r="AM89" i="24"/>
  <c r="R100" i="23"/>
  <c r="S100" i="23"/>
  <c r="AB101" i="23"/>
  <c r="V170" i="22"/>
  <c r="O170" i="22"/>
  <c r="N170" i="22"/>
  <c r="BF101" i="24"/>
  <c r="BJ101" i="24" s="1"/>
  <c r="Y101" i="23"/>
  <c r="Z101" i="23" s="1"/>
  <c r="O90" i="23"/>
  <c r="P90" i="23" s="1"/>
  <c r="AK90" i="24"/>
  <c r="AX107" i="24"/>
  <c r="AC107" i="24"/>
  <c r="BS107" i="24"/>
  <c r="BT107" i="24"/>
  <c r="AL90" i="24" l="1"/>
  <c r="AO90" i="24"/>
  <c r="BH101" i="24"/>
  <c r="BG101" i="24"/>
  <c r="AM90" i="24"/>
  <c r="R101" i="23"/>
  <c r="S101" i="23"/>
  <c r="AB102" i="23"/>
  <c r="N171" i="22"/>
  <c r="O171" i="22"/>
  <c r="V171" i="22"/>
  <c r="BF102" i="24"/>
  <c r="BJ102" i="24" s="1"/>
  <c r="Y102" i="23"/>
  <c r="Z102" i="23" s="1"/>
  <c r="O91" i="23"/>
  <c r="P91" i="23" s="1"/>
  <c r="AK91" i="24"/>
  <c r="AC108" i="24"/>
  <c r="AX108" i="24"/>
  <c r="BT108" i="24"/>
  <c r="BS108" i="24"/>
  <c r="AL91" i="24" l="1"/>
  <c r="AO91" i="24"/>
  <c r="BH102" i="24"/>
  <c r="BG102" i="24"/>
  <c r="AM91" i="24"/>
  <c r="AB103" i="23"/>
  <c r="R102" i="23"/>
  <c r="S102" i="23"/>
  <c r="V172" i="22"/>
  <c r="O172" i="22"/>
  <c r="N172" i="22"/>
  <c r="Y103" i="23"/>
  <c r="Z103" i="23" s="1"/>
  <c r="AK92" i="24"/>
  <c r="O92" i="23"/>
  <c r="P92" i="23" s="1"/>
  <c r="BS109" i="24"/>
  <c r="BT109" i="24"/>
  <c r="AC109" i="24"/>
  <c r="AX109" i="24"/>
  <c r="AL92" i="24" l="1"/>
  <c r="AO92" i="24"/>
  <c r="AM92" i="24"/>
  <c r="R103" i="23"/>
  <c r="S103" i="23"/>
  <c r="AB104" i="23"/>
  <c r="O173" i="22"/>
  <c r="N173" i="22"/>
  <c r="V173" i="22"/>
  <c r="BF103" i="24"/>
  <c r="BJ103" i="24" s="1"/>
  <c r="BF104" i="24"/>
  <c r="BJ104" i="24" s="1"/>
  <c r="Y104" i="23"/>
  <c r="Z104" i="23" s="1"/>
  <c r="O93" i="23"/>
  <c r="P93" i="23" s="1"/>
  <c r="AK93" i="24"/>
  <c r="AC110" i="24"/>
  <c r="AX110" i="24"/>
  <c r="BT110" i="24"/>
  <c r="BS110" i="24"/>
  <c r="AL93" i="24" l="1"/>
  <c r="AO93" i="24"/>
  <c r="BH104" i="24"/>
  <c r="BG104" i="24"/>
  <c r="BH103" i="24"/>
  <c r="BG103" i="24"/>
  <c r="AM93" i="24"/>
  <c r="R104" i="23"/>
  <c r="S104" i="23"/>
  <c r="AB105" i="23"/>
  <c r="N174" i="22"/>
  <c r="O174" i="22"/>
  <c r="V174" i="22"/>
  <c r="Y105" i="23"/>
  <c r="Z105" i="23" s="1"/>
  <c r="O94" i="23"/>
  <c r="P94" i="23" s="1"/>
  <c r="AK94" i="24"/>
  <c r="BT111" i="24"/>
  <c r="BS111" i="24"/>
  <c r="AX111" i="24"/>
  <c r="AC111" i="24"/>
  <c r="AL94" i="24" l="1"/>
  <c r="AO94" i="24"/>
  <c r="AM94" i="24"/>
  <c r="AB106" i="23"/>
  <c r="R105" i="23"/>
  <c r="S105" i="23"/>
  <c r="N175" i="22"/>
  <c r="O175" i="22"/>
  <c r="V175" i="22"/>
  <c r="BF105" i="24"/>
  <c r="BJ105" i="24" s="1"/>
  <c r="BF106" i="24"/>
  <c r="BJ106" i="24" s="1"/>
  <c r="Y106" i="23"/>
  <c r="Z106" i="23" s="1"/>
  <c r="AK95" i="24"/>
  <c r="O95" i="23"/>
  <c r="P95" i="23" s="1"/>
  <c r="AX112" i="24"/>
  <c r="AC112" i="24"/>
  <c r="BT112" i="24"/>
  <c r="BS112" i="24"/>
  <c r="AL95" i="24" l="1"/>
  <c r="AO95" i="24"/>
  <c r="BH106" i="24"/>
  <c r="BG106" i="24"/>
  <c r="BH105" i="24"/>
  <c r="BG105" i="24"/>
  <c r="AM95" i="24"/>
  <c r="R106" i="23"/>
  <c r="S106" i="23"/>
  <c r="AB107" i="23"/>
  <c r="V176" i="22"/>
  <c r="O176" i="22"/>
  <c r="N176" i="22"/>
  <c r="Y107" i="23"/>
  <c r="Z107" i="23" s="1"/>
  <c r="BF107" i="24"/>
  <c r="BJ107" i="24" s="1"/>
  <c r="AK96" i="24"/>
  <c r="O96" i="23"/>
  <c r="P96" i="23" s="1"/>
  <c r="AX113" i="24"/>
  <c r="AC113" i="24"/>
  <c r="BT113" i="24"/>
  <c r="BS113" i="24"/>
  <c r="AL96" i="24" l="1"/>
  <c r="AO96" i="24"/>
  <c r="BH107" i="24"/>
  <c r="BG107" i="24"/>
  <c r="AM96" i="24"/>
  <c r="R107" i="23"/>
  <c r="S107" i="23"/>
  <c r="AB108" i="23"/>
  <c r="O177" i="22"/>
  <c r="N177" i="22"/>
  <c r="V177" i="22"/>
  <c r="BF108" i="24"/>
  <c r="BJ108" i="24" s="1"/>
  <c r="Y108" i="23"/>
  <c r="Z108" i="23" s="1"/>
  <c r="O97" i="23"/>
  <c r="P97" i="23" s="1"/>
  <c r="AK97" i="24"/>
  <c r="BT114" i="24"/>
  <c r="BS114" i="24"/>
  <c r="AX114" i="24"/>
  <c r="AC114" i="24"/>
  <c r="AL97" i="24" l="1"/>
  <c r="AO97" i="24"/>
  <c r="BH108" i="24"/>
  <c r="BG108" i="24"/>
  <c r="AM97" i="24"/>
  <c r="AB109" i="23"/>
  <c r="R108" i="23"/>
  <c r="S108" i="23"/>
  <c r="N178" i="22"/>
  <c r="O178" i="22"/>
  <c r="V178" i="22"/>
  <c r="Y109" i="23"/>
  <c r="Z109" i="23" s="1"/>
  <c r="AK98" i="24"/>
  <c r="O98" i="23"/>
  <c r="P98" i="23" s="1"/>
  <c r="BT115" i="24"/>
  <c r="BS115" i="24"/>
  <c r="AX115" i="24"/>
  <c r="AC115" i="24"/>
  <c r="AL98" i="24" l="1"/>
  <c r="AO98" i="24"/>
  <c r="AM98" i="24"/>
  <c r="R109" i="23"/>
  <c r="S109" i="23"/>
  <c r="AB110" i="23"/>
  <c r="O179" i="22"/>
  <c r="N179" i="22"/>
  <c r="V179" i="22"/>
  <c r="BF109" i="24"/>
  <c r="BJ109" i="24" s="1"/>
  <c r="BF110" i="24"/>
  <c r="BJ110" i="24" s="1"/>
  <c r="AK99" i="24"/>
  <c r="O99" i="23"/>
  <c r="P99" i="23" s="1"/>
  <c r="AX116" i="24"/>
  <c r="AC116" i="24"/>
  <c r="BT116" i="24"/>
  <c r="BS116" i="24"/>
  <c r="AL99" i="24" l="1"/>
  <c r="AO99" i="24"/>
  <c r="BH110" i="24"/>
  <c r="BG110" i="24"/>
  <c r="BH109" i="24"/>
  <c r="BG109" i="24"/>
  <c r="AM99" i="24"/>
  <c r="AB111" i="23"/>
  <c r="R110" i="23"/>
  <c r="S110" i="23"/>
  <c r="Y110" i="23"/>
  <c r="Z110" i="23" s="1"/>
  <c r="Y111" i="23"/>
  <c r="Z111" i="23" s="1"/>
  <c r="AK100" i="24"/>
  <c r="O100" i="23"/>
  <c r="P100" i="23" s="1"/>
  <c r="AC117" i="24"/>
  <c r="AX117" i="24"/>
  <c r="BT117" i="24"/>
  <c r="BS117" i="24"/>
  <c r="AL100" i="24" l="1"/>
  <c r="AO100" i="24"/>
  <c r="AM100" i="24"/>
  <c r="R111" i="23"/>
  <c r="S111" i="23"/>
  <c r="AB112" i="23"/>
  <c r="BF111" i="24"/>
  <c r="BJ111" i="24" s="1"/>
  <c r="Y112" i="23"/>
  <c r="Z112" i="23" s="1"/>
  <c r="O101" i="23"/>
  <c r="P101" i="23" s="1"/>
  <c r="AK101" i="24"/>
  <c r="BT118" i="24"/>
  <c r="BS118" i="24"/>
  <c r="AX118" i="24"/>
  <c r="AC118" i="24"/>
  <c r="AL101" i="24" l="1"/>
  <c r="AO101" i="24"/>
  <c r="BH111" i="24"/>
  <c r="BG111" i="24"/>
  <c r="AM101" i="24"/>
  <c r="R112" i="23"/>
  <c r="S112" i="23"/>
  <c r="AB113" i="23"/>
  <c r="BF112" i="24"/>
  <c r="BJ112" i="24" s="1"/>
  <c r="BF113" i="24"/>
  <c r="BJ113" i="24" s="1"/>
  <c r="Y113" i="23"/>
  <c r="Z113" i="23" s="1"/>
  <c r="O102" i="23"/>
  <c r="P102" i="23" s="1"/>
  <c r="AK102" i="24"/>
  <c r="AX119" i="24"/>
  <c r="AC119" i="24"/>
  <c r="BT119" i="24"/>
  <c r="BS119" i="24"/>
  <c r="AL102" i="24" l="1"/>
  <c r="AO102" i="24"/>
  <c r="BH113" i="24"/>
  <c r="BG113" i="24"/>
  <c r="BH112" i="24"/>
  <c r="BG112" i="24"/>
  <c r="AM102" i="24"/>
  <c r="AB114" i="23"/>
  <c r="R113" i="23"/>
  <c r="S113" i="23"/>
  <c r="BF114" i="24"/>
  <c r="BJ114" i="24" s="1"/>
  <c r="Y114" i="23"/>
  <c r="Z114" i="23" s="1"/>
  <c r="O103" i="23"/>
  <c r="P103" i="23" s="1"/>
  <c r="AK103" i="24"/>
  <c r="BT120" i="24"/>
  <c r="BS120" i="24"/>
  <c r="AX120" i="24"/>
  <c r="AC120" i="24"/>
  <c r="AL103" i="24" l="1"/>
  <c r="AO103" i="24"/>
  <c r="BH114" i="24"/>
  <c r="BG114" i="24"/>
  <c r="AM103" i="24"/>
  <c r="R114" i="23"/>
  <c r="S114" i="23"/>
  <c r="AB115" i="23"/>
  <c r="Y115" i="23"/>
  <c r="Z115" i="23" s="1"/>
  <c r="BF115" i="24"/>
  <c r="BJ115" i="24" s="1"/>
  <c r="AK104" i="24"/>
  <c r="O104" i="23"/>
  <c r="P104" i="23" s="1"/>
  <c r="BT121" i="24"/>
  <c r="BS121" i="24"/>
  <c r="AX121" i="24"/>
  <c r="AC121" i="24"/>
  <c r="AL104" i="24" l="1"/>
  <c r="AO104" i="24"/>
  <c r="BH115" i="24"/>
  <c r="BG115" i="24"/>
  <c r="AM104" i="24"/>
  <c r="AB116" i="23"/>
  <c r="R115" i="23"/>
  <c r="S115" i="23"/>
  <c r="BF116" i="24"/>
  <c r="BJ116" i="24" s="1"/>
  <c r="Y116" i="23"/>
  <c r="Z116" i="23" s="1"/>
  <c r="O105" i="23"/>
  <c r="P105" i="23" s="1"/>
  <c r="AK105" i="24"/>
  <c r="BT122" i="24"/>
  <c r="BS122" i="24"/>
  <c r="AC122" i="24"/>
  <c r="AX122" i="24"/>
  <c r="AL105" i="24" l="1"/>
  <c r="AO105" i="24"/>
  <c r="BH116" i="24"/>
  <c r="BG116" i="24"/>
  <c r="AM105" i="24"/>
  <c r="R116" i="23"/>
  <c r="S116" i="23"/>
  <c r="AB117" i="23"/>
  <c r="Y117" i="23"/>
  <c r="Z117" i="23" s="1"/>
  <c r="BF117" i="24"/>
  <c r="BJ117" i="24" s="1"/>
  <c r="AK106" i="24"/>
  <c r="O106" i="23"/>
  <c r="P106" i="23" s="1"/>
  <c r="AX123" i="24"/>
  <c r="AC123" i="24"/>
  <c r="BT123" i="24"/>
  <c r="BS123" i="24"/>
  <c r="AL106" i="24" l="1"/>
  <c r="AO106" i="24"/>
  <c r="BH117" i="24"/>
  <c r="BG117" i="24"/>
  <c r="AM106" i="24"/>
  <c r="AB118" i="23"/>
  <c r="R117" i="23"/>
  <c r="S117" i="23"/>
  <c r="BF118" i="24"/>
  <c r="BJ118" i="24" s="1"/>
  <c r="Y118" i="23"/>
  <c r="Z118" i="23" s="1"/>
  <c r="O107" i="23"/>
  <c r="P107" i="23" s="1"/>
  <c r="AK107" i="24"/>
  <c r="BT124" i="24"/>
  <c r="BS124" i="24"/>
  <c r="AC124" i="24"/>
  <c r="AX124" i="24"/>
  <c r="AL107" i="24" l="1"/>
  <c r="AO107" i="24"/>
  <c r="BH118" i="24"/>
  <c r="BG118" i="24"/>
  <c r="AM107" i="24"/>
  <c r="R118" i="23"/>
  <c r="S118" i="23"/>
  <c r="AB119" i="23"/>
  <c r="BF119" i="24"/>
  <c r="BJ119" i="24" s="1"/>
  <c r="Y119" i="23"/>
  <c r="Z119" i="23" s="1"/>
  <c r="AK108" i="24"/>
  <c r="O108" i="23"/>
  <c r="P108" i="23" s="1"/>
  <c r="AC125" i="24"/>
  <c r="AX125" i="24"/>
  <c r="BT125" i="24"/>
  <c r="BS125" i="24"/>
  <c r="AL108" i="24" l="1"/>
  <c r="AO108" i="24"/>
  <c r="BH119" i="24"/>
  <c r="BG119" i="24"/>
  <c r="AM108" i="24"/>
  <c r="R119" i="23"/>
  <c r="S119" i="23"/>
  <c r="AB120" i="23"/>
  <c r="Y120" i="23"/>
  <c r="Z120" i="23" s="1"/>
  <c r="AK109" i="24"/>
  <c r="O109" i="23"/>
  <c r="P109" i="23" s="1"/>
  <c r="BS126" i="24"/>
  <c r="BT126" i="24"/>
  <c r="AC126" i="24"/>
  <c r="AX126" i="24"/>
  <c r="AL109" i="24" l="1"/>
  <c r="AO109" i="24"/>
  <c r="AM109" i="24"/>
  <c r="R120" i="23"/>
  <c r="S120" i="23"/>
  <c r="BF120" i="24"/>
  <c r="BJ120" i="24" s="1"/>
  <c r="Y121" i="23"/>
  <c r="Z121" i="23" s="1"/>
  <c r="AK110" i="24"/>
  <c r="O110" i="23"/>
  <c r="P110" i="23" s="1"/>
  <c r="AX127" i="24"/>
  <c r="AC127" i="24"/>
  <c r="BS127" i="24"/>
  <c r="AL110" i="24" l="1"/>
  <c r="AO110" i="24"/>
  <c r="BH120" i="24"/>
  <c r="BG120" i="24"/>
  <c r="AM110" i="24"/>
  <c r="AB121" i="23"/>
  <c r="AC121" i="23"/>
  <c r="R121" i="23"/>
  <c r="S121" i="23"/>
  <c r="BF121" i="24"/>
  <c r="BJ121" i="24" s="1"/>
  <c r="BF122" i="24"/>
  <c r="BJ122" i="24" s="1"/>
  <c r="Y122" i="23"/>
  <c r="Z122" i="23" s="1"/>
  <c r="AK111" i="24"/>
  <c r="O111" i="23"/>
  <c r="P111" i="23" s="1"/>
  <c r="AC128" i="24"/>
  <c r="AX128" i="24"/>
  <c r="BT128" i="24"/>
  <c r="BS128" i="24"/>
  <c r="AL111" i="24" l="1"/>
  <c r="AO111" i="24"/>
  <c r="BH121" i="24"/>
  <c r="BG121" i="24"/>
  <c r="BH122" i="24"/>
  <c r="BG122" i="24"/>
  <c r="AM111" i="24"/>
  <c r="AB122" i="23"/>
  <c r="AC122" i="23"/>
  <c r="AB123" i="23"/>
  <c r="R122" i="23"/>
  <c r="S122" i="23"/>
  <c r="BF123" i="24"/>
  <c r="BJ123" i="24" s="1"/>
  <c r="O112" i="23"/>
  <c r="P112" i="23" s="1"/>
  <c r="AK112" i="24"/>
  <c r="AC129" i="24"/>
  <c r="AX129" i="24"/>
  <c r="BT129" i="24"/>
  <c r="BS129" i="24"/>
  <c r="AL112" i="24" l="1"/>
  <c r="AO112" i="24"/>
  <c r="BH123" i="24"/>
  <c r="BG123" i="24"/>
  <c r="AM112" i="24"/>
  <c r="R123" i="23"/>
  <c r="S123" i="23"/>
  <c r="Y123" i="23"/>
  <c r="Z123" i="23" s="1"/>
  <c r="BF124" i="24"/>
  <c r="AK113" i="24"/>
  <c r="O113" i="23"/>
  <c r="P113" i="23" s="1"/>
  <c r="AC130" i="24"/>
  <c r="AX130" i="24"/>
  <c r="BT130" i="24"/>
  <c r="BS130" i="24"/>
  <c r="BG124" i="24" l="1"/>
  <c r="BJ124" i="24"/>
  <c r="AL113" i="24"/>
  <c r="AO113" i="24"/>
  <c r="AM113" i="24"/>
  <c r="AB124" i="23"/>
  <c r="AB125" i="23"/>
  <c r="R124" i="23"/>
  <c r="S124" i="23"/>
  <c r="BH124" i="24"/>
  <c r="Y124" i="23"/>
  <c r="Z124" i="23" s="1"/>
  <c r="Y125" i="23"/>
  <c r="Z125" i="23" s="1"/>
  <c r="BF125" i="24"/>
  <c r="BJ125" i="24" s="1"/>
  <c r="O114" i="23"/>
  <c r="P114" i="23" s="1"/>
  <c r="AK114" i="24"/>
  <c r="BT131" i="24"/>
  <c r="BS131" i="24"/>
  <c r="AX131" i="24"/>
  <c r="AC131" i="24"/>
  <c r="AL114" i="24" l="1"/>
  <c r="AO114" i="24"/>
  <c r="BH125" i="24"/>
  <c r="BG125" i="24"/>
  <c r="AM114" i="24"/>
  <c r="R125" i="23"/>
  <c r="S125" i="23"/>
  <c r="AB126" i="23"/>
  <c r="BF126" i="24"/>
  <c r="BJ126" i="24" s="1"/>
  <c r="Y126" i="23"/>
  <c r="Z126" i="23" s="1"/>
  <c r="O115" i="23"/>
  <c r="P115" i="23" s="1"/>
  <c r="AK115" i="24"/>
  <c r="AX132" i="24"/>
  <c r="AC132" i="24"/>
  <c r="BT132" i="24"/>
  <c r="BS132" i="24"/>
  <c r="AL115" i="24" l="1"/>
  <c r="AO115" i="24"/>
  <c r="BH126" i="24"/>
  <c r="BG126" i="24"/>
  <c r="AM115" i="24"/>
  <c r="R126" i="23"/>
  <c r="S126" i="23"/>
  <c r="AB127" i="23"/>
  <c r="Y127" i="23"/>
  <c r="Z127" i="23" s="1"/>
  <c r="BF127" i="24"/>
  <c r="BJ127" i="24" s="1"/>
  <c r="AK116" i="24"/>
  <c r="O116" i="23"/>
  <c r="P116" i="23" s="1"/>
  <c r="BT133" i="24"/>
  <c r="BS133" i="24"/>
  <c r="AX133" i="24"/>
  <c r="AC133" i="24"/>
  <c r="AL116" i="24" l="1"/>
  <c r="AO116" i="24"/>
  <c r="BH127" i="24"/>
  <c r="BG127" i="24"/>
  <c r="AM116" i="24"/>
  <c r="R127" i="23"/>
  <c r="S127" i="23"/>
  <c r="AB128" i="23"/>
  <c r="Y128" i="23"/>
  <c r="Z128" i="23" s="1"/>
  <c r="O117" i="23"/>
  <c r="P117" i="23" s="1"/>
  <c r="AK117" i="24"/>
  <c r="BT134" i="24"/>
  <c r="BS134" i="24"/>
  <c r="AC134" i="24"/>
  <c r="AX134" i="24"/>
  <c r="AL117" i="24" l="1"/>
  <c r="AO117" i="24"/>
  <c r="AM117" i="24"/>
  <c r="AB129" i="23"/>
  <c r="R128" i="23"/>
  <c r="S128" i="23"/>
  <c r="BF128" i="24"/>
  <c r="BJ128" i="24" s="1"/>
  <c r="Y129" i="23"/>
  <c r="Z129" i="23" s="1"/>
  <c r="AK118" i="24"/>
  <c r="O118" i="23"/>
  <c r="P118" i="23" s="1"/>
  <c r="BT135" i="24"/>
  <c r="BS135" i="24"/>
  <c r="AC135" i="24"/>
  <c r="AX135" i="24"/>
  <c r="AL118" i="24" l="1"/>
  <c r="AO118" i="24"/>
  <c r="BH128" i="24"/>
  <c r="BG128" i="24"/>
  <c r="AM118" i="24"/>
  <c r="R129" i="23"/>
  <c r="S129" i="23"/>
  <c r="AB130" i="23"/>
  <c r="BF129" i="24"/>
  <c r="BJ129" i="24" s="1"/>
  <c r="BF130" i="24"/>
  <c r="BJ130" i="24" s="1"/>
  <c r="Y130" i="23"/>
  <c r="Z130" i="23" s="1"/>
  <c r="O119" i="23"/>
  <c r="P119" i="23" s="1"/>
  <c r="AK119" i="24"/>
  <c r="AC136" i="24"/>
  <c r="AX136" i="24"/>
  <c r="BT136" i="24"/>
  <c r="BS136" i="24"/>
  <c r="AL119" i="24" l="1"/>
  <c r="AO119" i="24"/>
  <c r="BH130" i="24"/>
  <c r="BG130" i="24"/>
  <c r="BH129" i="24"/>
  <c r="BG129" i="24"/>
  <c r="AM119" i="24"/>
  <c r="AB131" i="23"/>
  <c r="R130" i="23"/>
  <c r="S130" i="23"/>
  <c r="Y131" i="23"/>
  <c r="Z131" i="23" s="1"/>
  <c r="AK120" i="24"/>
  <c r="O120" i="23"/>
  <c r="P120" i="23" s="1"/>
  <c r="AC137" i="24"/>
  <c r="AX137" i="24"/>
  <c r="BT137" i="24"/>
  <c r="BS137" i="24"/>
  <c r="AL120" i="24" l="1"/>
  <c r="AO120" i="24"/>
  <c r="AM120" i="24"/>
  <c r="R131" i="23"/>
  <c r="S131" i="23"/>
  <c r="AB132" i="23"/>
  <c r="BF131" i="24"/>
  <c r="BJ131" i="24" s="1"/>
  <c r="BF132" i="24"/>
  <c r="BJ132" i="24" s="1"/>
  <c r="Y132" i="23"/>
  <c r="Z132" i="23" s="1"/>
  <c r="AK121" i="24"/>
  <c r="O121" i="23"/>
  <c r="P121" i="23" s="1"/>
  <c r="BT138" i="24"/>
  <c r="BS138" i="24"/>
  <c r="AX138" i="24"/>
  <c r="AC138" i="24"/>
  <c r="AL121" i="24" l="1"/>
  <c r="AO121" i="24"/>
  <c r="BH132" i="24"/>
  <c r="BG132" i="24"/>
  <c r="BH131" i="24"/>
  <c r="BG131" i="24"/>
  <c r="AM121" i="24"/>
  <c r="R132" i="23"/>
  <c r="S132" i="23"/>
  <c r="BF133" i="24"/>
  <c r="BJ133" i="24" s="1"/>
  <c r="O122" i="23"/>
  <c r="P122" i="23" s="1"/>
  <c r="AK122" i="24"/>
  <c r="BT139" i="24"/>
  <c r="BS139" i="24"/>
  <c r="AX139" i="24"/>
  <c r="AC139" i="24"/>
  <c r="AL122" i="24" l="1"/>
  <c r="AO122" i="24"/>
  <c r="BH133" i="24"/>
  <c r="BG133" i="24"/>
  <c r="AM122" i="24"/>
  <c r="AC133" i="23"/>
  <c r="AB133" i="23"/>
  <c r="S133" i="23"/>
  <c r="R133" i="23"/>
  <c r="Y133" i="23"/>
  <c r="Z133" i="23" s="1"/>
  <c r="Y134" i="23"/>
  <c r="Z134" i="23" s="1"/>
  <c r="AK123" i="24"/>
  <c r="O123" i="23"/>
  <c r="P123" i="23" s="1"/>
  <c r="AC140" i="24"/>
  <c r="AX140" i="24"/>
  <c r="BT140" i="24"/>
  <c r="BS140" i="24"/>
  <c r="AL123" i="24" l="1"/>
  <c r="AO123" i="24"/>
  <c r="AC134" i="23"/>
  <c r="AB134" i="23"/>
  <c r="S134" i="23"/>
  <c r="R134" i="23"/>
  <c r="BF134" i="24"/>
  <c r="BJ134" i="24" s="1"/>
  <c r="BF135" i="24"/>
  <c r="BJ135" i="24" s="1"/>
  <c r="Y135" i="23"/>
  <c r="Z135" i="23" s="1"/>
  <c r="O124" i="23"/>
  <c r="P124" i="23" s="1"/>
  <c r="AK124" i="24"/>
  <c r="AM123" i="24"/>
  <c r="AC141" i="24"/>
  <c r="AX141" i="24"/>
  <c r="BT141" i="24"/>
  <c r="BS141" i="24"/>
  <c r="AL124" i="24" l="1"/>
  <c r="AO124" i="24"/>
  <c r="BH134" i="24"/>
  <c r="BG134" i="24"/>
  <c r="BH135" i="24"/>
  <c r="BG135" i="24"/>
  <c r="AM124" i="24"/>
  <c r="AC135" i="23"/>
  <c r="AB135" i="23"/>
  <c r="S135" i="23"/>
  <c r="R135" i="23"/>
  <c r="BF136" i="24"/>
  <c r="BJ136" i="24" s="1"/>
  <c r="Y136" i="23"/>
  <c r="Z136" i="23" s="1"/>
  <c r="O125" i="23"/>
  <c r="P125" i="23" s="1"/>
  <c r="AK125" i="24"/>
  <c r="BT142" i="24"/>
  <c r="BS142" i="24"/>
  <c r="AC142" i="24"/>
  <c r="AX142" i="24"/>
  <c r="AL125" i="24" l="1"/>
  <c r="AO125" i="24"/>
  <c r="BH136" i="24"/>
  <c r="BG136" i="24"/>
  <c r="AM125" i="24"/>
  <c r="AC136" i="23"/>
  <c r="AB136" i="23"/>
  <c r="R136" i="23"/>
  <c r="S136" i="23"/>
  <c r="BF137" i="24"/>
  <c r="BJ137" i="24" s="1"/>
  <c r="Y137" i="23"/>
  <c r="Z137" i="23" s="1"/>
  <c r="O126" i="23"/>
  <c r="P126" i="23" s="1"/>
  <c r="AK126" i="24"/>
  <c r="AC143" i="24"/>
  <c r="AX143" i="24"/>
  <c r="BT143" i="24"/>
  <c r="BS143" i="24"/>
  <c r="AL126" i="24" l="1"/>
  <c r="AO126" i="24"/>
  <c r="BH137" i="24"/>
  <c r="BG137" i="24"/>
  <c r="AM126" i="24"/>
  <c r="S137" i="23"/>
  <c r="R137" i="23"/>
  <c r="AC137" i="23"/>
  <c r="AB137" i="23"/>
  <c r="BF138" i="24"/>
  <c r="AK127" i="24"/>
  <c r="O127" i="23"/>
  <c r="P127" i="23" s="1"/>
  <c r="AC144" i="24"/>
  <c r="AX144" i="24"/>
  <c r="BT144" i="24"/>
  <c r="BS144" i="24"/>
  <c r="BG138" i="24" l="1"/>
  <c r="BJ138" i="24"/>
  <c r="AL127" i="24"/>
  <c r="AO127" i="24"/>
  <c r="AM127" i="24"/>
  <c r="AC138" i="23"/>
  <c r="AB138" i="23"/>
  <c r="S138" i="23"/>
  <c r="R138" i="23"/>
  <c r="BH138" i="24"/>
  <c r="Y138" i="23"/>
  <c r="Z138" i="23" s="1"/>
  <c r="BF139" i="24"/>
  <c r="BJ139" i="24" s="1"/>
  <c r="O128" i="23"/>
  <c r="P128" i="23" s="1"/>
  <c r="AK128" i="24"/>
  <c r="BT145" i="24"/>
  <c r="BS145" i="24"/>
  <c r="AX145" i="24"/>
  <c r="AC145" i="24"/>
  <c r="AL128" i="24" l="1"/>
  <c r="AO128" i="24"/>
  <c r="BH139" i="24"/>
  <c r="BG139" i="24"/>
  <c r="AM128" i="24"/>
  <c r="S139" i="23"/>
  <c r="R139" i="23"/>
  <c r="AC139" i="23"/>
  <c r="AB139" i="23"/>
  <c r="Y139" i="23"/>
  <c r="Z139" i="23" s="1"/>
  <c r="Y140" i="23"/>
  <c r="Z140" i="23" s="1"/>
  <c r="AK129" i="24"/>
  <c r="O129" i="23"/>
  <c r="P129" i="23" s="1"/>
  <c r="BT146" i="24"/>
  <c r="BS146" i="24"/>
  <c r="AC146" i="24"/>
  <c r="AX146" i="24"/>
  <c r="AL129" i="24" l="1"/>
  <c r="AO129" i="24"/>
  <c r="AM129" i="24"/>
  <c r="S140" i="23"/>
  <c r="R140" i="23"/>
  <c r="AC140" i="23"/>
  <c r="AB140" i="23"/>
  <c r="BF140" i="24"/>
  <c r="BJ140" i="24" s="1"/>
  <c r="Y141" i="23"/>
  <c r="Z141" i="23" s="1"/>
  <c r="O130" i="23"/>
  <c r="P130" i="23" s="1"/>
  <c r="AK130" i="24"/>
  <c r="AC147" i="24"/>
  <c r="AX147" i="24"/>
  <c r="BT147" i="24"/>
  <c r="BS147" i="24"/>
  <c r="AL130" i="24" l="1"/>
  <c r="AO130" i="24"/>
  <c r="BH140" i="24"/>
  <c r="BG140" i="24"/>
  <c r="AM130" i="24"/>
  <c r="S141" i="23"/>
  <c r="R141" i="23"/>
  <c r="AC141" i="23"/>
  <c r="AB141" i="23"/>
  <c r="BF141" i="24"/>
  <c r="BJ141" i="24" s="1"/>
  <c r="BF142" i="24"/>
  <c r="BJ142" i="24" s="1"/>
  <c r="Y142" i="23"/>
  <c r="Z142" i="23" s="1"/>
  <c r="AK131" i="24"/>
  <c r="O131" i="23"/>
  <c r="P131" i="23" s="1"/>
  <c r="AC148" i="24"/>
  <c r="AX148" i="24"/>
  <c r="BT148" i="24"/>
  <c r="BS148" i="24"/>
  <c r="AL131" i="24" l="1"/>
  <c r="AO131" i="24"/>
  <c r="BH142" i="24"/>
  <c r="BG142" i="24"/>
  <c r="BH141" i="24"/>
  <c r="BG141" i="24"/>
  <c r="AM131" i="24"/>
  <c r="S142" i="23"/>
  <c r="R142" i="23"/>
  <c r="AC142" i="23"/>
  <c r="AB142" i="23"/>
  <c r="Y143" i="23"/>
  <c r="Z143" i="23" s="1"/>
  <c r="AK132" i="24"/>
  <c r="O132" i="23"/>
  <c r="P132" i="23" s="1"/>
  <c r="AC149" i="24"/>
  <c r="AX149" i="24"/>
  <c r="BT149" i="24"/>
  <c r="BS149" i="24"/>
  <c r="AL132" i="24" l="1"/>
  <c r="AO132" i="24"/>
  <c r="AM132" i="24"/>
  <c r="S143" i="23"/>
  <c r="R143" i="23"/>
  <c r="AC143" i="23"/>
  <c r="AB143" i="23"/>
  <c r="BF143" i="24"/>
  <c r="BJ143" i="24" s="1"/>
  <c r="Y144" i="23"/>
  <c r="Z144" i="23" s="1"/>
  <c r="AK133" i="24"/>
  <c r="O133" i="23"/>
  <c r="P133" i="23" s="1"/>
  <c r="AX150" i="24"/>
  <c r="AC150" i="24"/>
  <c r="BT150" i="24"/>
  <c r="BS150" i="24"/>
  <c r="AL133" i="24" l="1"/>
  <c r="AO133" i="24"/>
  <c r="BH143" i="24"/>
  <c r="BG143" i="24"/>
  <c r="AM133" i="24"/>
  <c r="S144" i="23"/>
  <c r="R144" i="23"/>
  <c r="AC144" i="23"/>
  <c r="AB144" i="23"/>
  <c r="BF144" i="24"/>
  <c r="BJ144" i="24" s="1"/>
  <c r="Y145" i="23"/>
  <c r="Z145" i="23" s="1"/>
  <c r="BF145" i="24"/>
  <c r="BJ145" i="24" s="1"/>
  <c r="AK135" i="24"/>
  <c r="O135" i="23"/>
  <c r="P135" i="23" s="1"/>
  <c r="AK134" i="24"/>
  <c r="O134" i="23"/>
  <c r="P134" i="23" s="1"/>
  <c r="AX151" i="24"/>
  <c r="AC151" i="24"/>
  <c r="BT151" i="24"/>
  <c r="BS151" i="24"/>
  <c r="AL134" i="24" l="1"/>
  <c r="AO134" i="24"/>
  <c r="AL135" i="24"/>
  <c r="AO135" i="24"/>
  <c r="BH145" i="24"/>
  <c r="BG145" i="24"/>
  <c r="BH144" i="24"/>
  <c r="BG144" i="24"/>
  <c r="AM134" i="24"/>
  <c r="AM135" i="24"/>
  <c r="AC145" i="23"/>
  <c r="AB145" i="23"/>
  <c r="S145" i="23"/>
  <c r="R145" i="23"/>
  <c r="Y146" i="23"/>
  <c r="Z146" i="23" s="1"/>
  <c r="O136" i="23"/>
  <c r="P136" i="23" s="1"/>
  <c r="AK136" i="24"/>
  <c r="O137" i="23"/>
  <c r="P137" i="23" s="1"/>
  <c r="AK137" i="24"/>
  <c r="BT152" i="24"/>
  <c r="BS152" i="24"/>
  <c r="AC152" i="24"/>
  <c r="AX152" i="24"/>
  <c r="AC62" i="23"/>
  <c r="AC132" i="23"/>
  <c r="AC89" i="23"/>
  <c r="AC112" i="23"/>
  <c r="AC72" i="23"/>
  <c r="AC131" i="23"/>
  <c r="AC119" i="23"/>
  <c r="AC107" i="23"/>
  <c r="AC95" i="23"/>
  <c r="AC83" i="23"/>
  <c r="AC71" i="23"/>
  <c r="AC101" i="23"/>
  <c r="AC124" i="23"/>
  <c r="AC120" i="23"/>
  <c r="AC125" i="23"/>
  <c r="AC88" i="23"/>
  <c r="AC96" i="23"/>
  <c r="AC106" i="23"/>
  <c r="AC70" i="23"/>
  <c r="AC105" i="23"/>
  <c r="AC69" i="23"/>
  <c r="AC128" i="23"/>
  <c r="AC116" i="23"/>
  <c r="AC104" i="23"/>
  <c r="AC92" i="23"/>
  <c r="AC80" i="23"/>
  <c r="AC68" i="23"/>
  <c r="AC100" i="23"/>
  <c r="AC108" i="23"/>
  <c r="AC118" i="23"/>
  <c r="AC94" i="23"/>
  <c r="AC129" i="23"/>
  <c r="AC81" i="23"/>
  <c r="AC127" i="23"/>
  <c r="AC115" i="23"/>
  <c r="AC103" i="23"/>
  <c r="AC91" i="23"/>
  <c r="AC79" i="23"/>
  <c r="AC67" i="23"/>
  <c r="AC113" i="23"/>
  <c r="AC64" i="23"/>
  <c r="AC84" i="23"/>
  <c r="AC130" i="23"/>
  <c r="AC82" i="23"/>
  <c r="AC117" i="23"/>
  <c r="AC93" i="23"/>
  <c r="AC126" i="23"/>
  <c r="AC114" i="23"/>
  <c r="AC102" i="23"/>
  <c r="AC90" i="23"/>
  <c r="AC78" i="23"/>
  <c r="AC66" i="23"/>
  <c r="AC77" i="23"/>
  <c r="AC65" i="23"/>
  <c r="AC87" i="23"/>
  <c r="AC76" i="23"/>
  <c r="AC123" i="23"/>
  <c r="AC111" i="23"/>
  <c r="AC99" i="23"/>
  <c r="AC75" i="23"/>
  <c r="AC110" i="23"/>
  <c r="AC98" i="23"/>
  <c r="AC86" i="23"/>
  <c r="AC74" i="23"/>
  <c r="AC109" i="23"/>
  <c r="AC97" i="23"/>
  <c r="AC85" i="23"/>
  <c r="AC73" i="23"/>
  <c r="AL136" i="24" l="1"/>
  <c r="AO136" i="24"/>
  <c r="AL137" i="24"/>
  <c r="AO137" i="24"/>
  <c r="AM136" i="24"/>
  <c r="AM137" i="24"/>
  <c r="R146" i="23"/>
  <c r="S146" i="23"/>
  <c r="AC146" i="23"/>
  <c r="AB146" i="23"/>
  <c r="BF146" i="24"/>
  <c r="BJ146" i="24" s="1"/>
  <c r="Y147" i="23"/>
  <c r="Z147" i="23" s="1"/>
  <c r="AK138" i="24"/>
  <c r="O138" i="23"/>
  <c r="P138" i="23" s="1"/>
  <c r="O139" i="23"/>
  <c r="P139" i="23" s="1"/>
  <c r="AK139" i="24"/>
  <c r="AC153" i="24"/>
  <c r="AX153" i="24"/>
  <c r="BT153" i="24"/>
  <c r="BS153" i="24"/>
  <c r="AC63" i="23"/>
  <c r="AL138" i="24" l="1"/>
  <c r="AO138" i="24"/>
  <c r="AL139" i="24"/>
  <c r="AO139" i="24"/>
  <c r="BH146" i="24"/>
  <c r="BG146" i="24"/>
  <c r="AM138" i="24"/>
  <c r="AM139" i="24"/>
  <c r="AC147" i="23"/>
  <c r="AB147" i="23"/>
  <c r="S147" i="23"/>
  <c r="R147" i="23"/>
  <c r="BF147" i="24"/>
  <c r="BJ147" i="24" s="1"/>
  <c r="Y148" i="23"/>
  <c r="Z148" i="23" s="1"/>
  <c r="AK140" i="24"/>
  <c r="O140" i="23"/>
  <c r="P140" i="23" s="1"/>
  <c r="O141" i="23"/>
  <c r="P141" i="23" s="1"/>
  <c r="AK141" i="24"/>
  <c r="BT154" i="24"/>
  <c r="BS154" i="24"/>
  <c r="AC154" i="24"/>
  <c r="AX154" i="24"/>
  <c r="AL141" i="24" l="1"/>
  <c r="AO141" i="24"/>
  <c r="AL140" i="24"/>
  <c r="AO140" i="24"/>
  <c r="BH147" i="24"/>
  <c r="BG147" i="24"/>
  <c r="AM140" i="24"/>
  <c r="AM141" i="24"/>
  <c r="S148" i="23"/>
  <c r="R148" i="23"/>
  <c r="AC148" i="23"/>
  <c r="AB148" i="23"/>
  <c r="BF148" i="24"/>
  <c r="BJ148" i="24" s="1"/>
  <c r="BF149" i="24"/>
  <c r="BJ149" i="24" s="1"/>
  <c r="Y149" i="23"/>
  <c r="Z149" i="23" s="1"/>
  <c r="AK142" i="24"/>
  <c r="O142" i="23"/>
  <c r="P142" i="23" s="1"/>
  <c r="O143" i="23"/>
  <c r="P143" i="23" s="1"/>
  <c r="AK143" i="24"/>
  <c r="BT155" i="24"/>
  <c r="BS155" i="24"/>
  <c r="AC155" i="24"/>
  <c r="AX155" i="24"/>
  <c r="AL142" i="24" l="1"/>
  <c r="AO142" i="24"/>
  <c r="AL143" i="24"/>
  <c r="AO143" i="24"/>
  <c r="BH149" i="24"/>
  <c r="BG149" i="24"/>
  <c r="BH148" i="24"/>
  <c r="BG148" i="24"/>
  <c r="AM142" i="24"/>
  <c r="AM143" i="24"/>
  <c r="R149" i="23"/>
  <c r="S149" i="23"/>
  <c r="AC149" i="23"/>
  <c r="AB149" i="23"/>
  <c r="Y150" i="23"/>
  <c r="Z150" i="23" s="1"/>
  <c r="BF150" i="24"/>
  <c r="BJ150" i="24" s="1"/>
  <c r="O145" i="23"/>
  <c r="P145" i="23" s="1"/>
  <c r="AK145" i="24"/>
  <c r="AK144" i="24"/>
  <c r="O144" i="23"/>
  <c r="P144" i="23" s="1"/>
  <c r="AX156" i="24"/>
  <c r="AC156" i="24"/>
  <c r="BT156" i="24"/>
  <c r="BS156" i="24"/>
  <c r="AL144" i="24" l="1"/>
  <c r="AO144" i="24"/>
  <c r="AL145" i="24"/>
  <c r="AO145" i="24"/>
  <c r="BH150" i="24"/>
  <c r="BG150" i="24"/>
  <c r="AM144" i="24"/>
  <c r="AM145" i="24"/>
  <c r="R150" i="23"/>
  <c r="S150" i="23"/>
  <c r="AC150" i="23"/>
  <c r="AB150" i="23"/>
  <c r="BF151" i="24"/>
  <c r="BJ151" i="24" s="1"/>
  <c r="AK147" i="24"/>
  <c r="O147" i="23"/>
  <c r="P147" i="23" s="1"/>
  <c r="AK146" i="24"/>
  <c r="O146" i="23"/>
  <c r="P146" i="23" s="1"/>
  <c r="BT157" i="24"/>
  <c r="BS157" i="24"/>
  <c r="AX157" i="24"/>
  <c r="AC157" i="24"/>
  <c r="AL146" i="24" l="1"/>
  <c r="AO146" i="24"/>
  <c r="AL147" i="24"/>
  <c r="AO147" i="24"/>
  <c r="BH151" i="24"/>
  <c r="BG151" i="24"/>
  <c r="AM146" i="24"/>
  <c r="AM147" i="24"/>
  <c r="AC151" i="23"/>
  <c r="AB151" i="23"/>
  <c r="S151" i="23"/>
  <c r="R151" i="23"/>
  <c r="Q6" i="23" s="1" a="1"/>
  <c r="Q6" i="23" s="1"/>
  <c r="Y151" i="23"/>
  <c r="Z151" i="23" s="1"/>
  <c r="Y152" i="23"/>
  <c r="Z152" i="23" s="1"/>
  <c r="AK149" i="24"/>
  <c r="O149" i="23"/>
  <c r="P149" i="23" s="1"/>
  <c r="O148" i="23"/>
  <c r="P148" i="23" s="1"/>
  <c r="AK148" i="24"/>
  <c r="AC158" i="24"/>
  <c r="AX158" i="24"/>
  <c r="BT158" i="24"/>
  <c r="BS158" i="24"/>
  <c r="AL149" i="24" l="1"/>
  <c r="AO149" i="24"/>
  <c r="AL148" i="24"/>
  <c r="AO148" i="24"/>
  <c r="AM149" i="24"/>
  <c r="AM148" i="24"/>
  <c r="AC152" i="23"/>
  <c r="AB152" i="23"/>
  <c r="R152" i="23"/>
  <c r="S152" i="23"/>
  <c r="BF152" i="24"/>
  <c r="BJ152" i="24" s="1"/>
  <c r="Y153" i="23"/>
  <c r="Z153" i="23" s="1"/>
  <c r="O151" i="23"/>
  <c r="P151" i="23" s="1"/>
  <c r="AK151" i="24"/>
  <c r="AK150" i="24"/>
  <c r="O150" i="23"/>
  <c r="P150" i="23" s="1"/>
  <c r="BT159" i="24"/>
  <c r="BS159" i="24"/>
  <c r="AC159" i="24"/>
  <c r="AX159" i="24"/>
  <c r="AL151" i="24" l="1"/>
  <c r="AO151" i="24"/>
  <c r="AL150" i="24"/>
  <c r="AO150" i="24"/>
  <c r="BH152" i="24"/>
  <c r="BG152" i="24"/>
  <c r="AM150" i="24"/>
  <c r="AM151" i="24"/>
  <c r="AC153" i="23"/>
  <c r="AB153" i="23"/>
  <c r="S153" i="23"/>
  <c r="R153" i="23"/>
  <c r="BF153" i="24"/>
  <c r="BJ153" i="24" s="1"/>
  <c r="Y154" i="23"/>
  <c r="Z154" i="23" s="1"/>
  <c r="AK153" i="24"/>
  <c r="O153" i="23"/>
  <c r="P153" i="23" s="1"/>
  <c r="O152" i="23"/>
  <c r="P152" i="23" s="1"/>
  <c r="AK152" i="24"/>
  <c r="AC160" i="24"/>
  <c r="AX160" i="24"/>
  <c r="BT160" i="24"/>
  <c r="BS160" i="24"/>
  <c r="AL153" i="24" l="1"/>
  <c r="AO153" i="24"/>
  <c r="AL152" i="24"/>
  <c r="AO152" i="24"/>
  <c r="BH153" i="24"/>
  <c r="BG153" i="24"/>
  <c r="AM153" i="24"/>
  <c r="AM152" i="24"/>
  <c r="S154" i="23"/>
  <c r="R154" i="23"/>
  <c r="AC154" i="23"/>
  <c r="AB154" i="23"/>
  <c r="BF154" i="24"/>
  <c r="BJ154" i="24" s="1"/>
  <c r="Y155" i="23"/>
  <c r="Z155" i="23" s="1"/>
  <c r="BF155" i="24"/>
  <c r="BJ155" i="24" s="1"/>
  <c r="AK155" i="24"/>
  <c r="O155" i="23"/>
  <c r="P155" i="23" s="1"/>
  <c r="O154" i="23"/>
  <c r="P154" i="23" s="1"/>
  <c r="AK154" i="24"/>
  <c r="AC161" i="24"/>
  <c r="AX161" i="24"/>
  <c r="BT161" i="24"/>
  <c r="BS161" i="24"/>
  <c r="AL155" i="24" l="1"/>
  <c r="AO155" i="24"/>
  <c r="AL154" i="24"/>
  <c r="AO154" i="24"/>
  <c r="BH155" i="24"/>
  <c r="BG155" i="24"/>
  <c r="BH154" i="24"/>
  <c r="BG154" i="24"/>
  <c r="AM154" i="24"/>
  <c r="AM155" i="24"/>
  <c r="AB155" i="23"/>
  <c r="AC155" i="23"/>
  <c r="R155" i="23"/>
  <c r="S155" i="23"/>
  <c r="Y156" i="23"/>
  <c r="Z156" i="23" s="1"/>
  <c r="BF156" i="24"/>
  <c r="BJ156" i="24" s="1"/>
  <c r="O157" i="23"/>
  <c r="P157" i="23" s="1"/>
  <c r="O156" i="23"/>
  <c r="P156" i="23" s="1"/>
  <c r="AK156" i="24"/>
  <c r="AX162" i="24"/>
  <c r="AC162" i="24"/>
  <c r="BT162" i="24"/>
  <c r="BS162" i="24"/>
  <c r="AL156" i="24" l="1"/>
  <c r="AO156" i="24"/>
  <c r="BH156" i="24"/>
  <c r="BG156" i="24"/>
  <c r="AM156" i="24"/>
  <c r="AC156" i="23"/>
  <c r="AB156" i="23"/>
  <c r="S156" i="23"/>
  <c r="R156" i="23"/>
  <c r="Y157" i="23"/>
  <c r="Z157" i="23" s="1"/>
  <c r="BF157" i="24"/>
  <c r="BJ157" i="24" s="1"/>
  <c r="AK157" i="24"/>
  <c r="O158" i="23"/>
  <c r="P158" i="23" s="1"/>
  <c r="AK158" i="24"/>
  <c r="AX163" i="24"/>
  <c r="AC163" i="24"/>
  <c r="BT163" i="24"/>
  <c r="BS163" i="24"/>
  <c r="AL158" i="24" l="1"/>
  <c r="AO158" i="24"/>
  <c r="AL157" i="24"/>
  <c r="AO157" i="24"/>
  <c r="BH157" i="24"/>
  <c r="BG157" i="24"/>
  <c r="AM158" i="24"/>
  <c r="AM157" i="24"/>
  <c r="S157" i="23"/>
  <c r="R157" i="23"/>
  <c r="AC157" i="23"/>
  <c r="AB157" i="23"/>
  <c r="Y158" i="23"/>
  <c r="Z158" i="23" s="1"/>
  <c r="AC164" i="24"/>
  <c r="AX164" i="24"/>
  <c r="BT164" i="24"/>
  <c r="BS164" i="24"/>
  <c r="AC158" i="23" l="1"/>
  <c r="AB158" i="23"/>
  <c r="S158" i="23"/>
  <c r="R158" i="23"/>
  <c r="AK159" i="24"/>
  <c r="O159" i="23"/>
  <c r="P159" i="23" s="1"/>
  <c r="BF158" i="24"/>
  <c r="BJ158" i="24" s="1"/>
  <c r="Y159" i="23"/>
  <c r="Z159" i="23" s="1"/>
  <c r="AC165" i="24"/>
  <c r="AX165" i="24"/>
  <c r="BT165" i="24"/>
  <c r="BS165" i="24"/>
  <c r="AL159" i="24" l="1"/>
  <c r="AO159" i="24"/>
  <c r="BH158" i="24"/>
  <c r="BG158" i="24"/>
  <c r="AM159" i="24"/>
  <c r="S159" i="23"/>
  <c r="R159" i="23"/>
  <c r="AC159" i="23"/>
  <c r="AB159" i="23"/>
  <c r="O160" i="23"/>
  <c r="P160" i="23" s="1"/>
  <c r="AK160" i="24"/>
  <c r="BF159" i="24"/>
  <c r="BJ159" i="24" s="1"/>
  <c r="Y160" i="23"/>
  <c r="Z160" i="23" s="1"/>
  <c r="BF160" i="24"/>
  <c r="BJ160" i="24" s="1"/>
  <c r="BT166" i="24"/>
  <c r="BS166" i="24"/>
  <c r="AC166" i="24"/>
  <c r="AX166" i="24"/>
  <c r="AL160" i="24" l="1"/>
  <c r="AO160" i="24"/>
  <c r="BH159" i="24"/>
  <c r="BG159" i="24"/>
  <c r="BH160" i="24"/>
  <c r="BG160" i="24"/>
  <c r="AM160" i="24"/>
  <c r="AC160" i="23"/>
  <c r="AB160" i="23"/>
  <c r="R160" i="23"/>
  <c r="S160" i="23"/>
  <c r="Y161" i="23"/>
  <c r="Z161" i="23" s="1"/>
  <c r="O161" i="23"/>
  <c r="P161" i="23" s="1"/>
  <c r="AK161" i="24"/>
  <c r="AC167" i="24"/>
  <c r="AX167" i="24"/>
  <c r="BT167" i="24"/>
  <c r="BS167" i="24"/>
  <c r="AL161" i="24" l="1"/>
  <c r="AO161" i="24"/>
  <c r="AM161" i="24"/>
  <c r="S161" i="23"/>
  <c r="R161" i="23"/>
  <c r="AC161" i="23"/>
  <c r="AB161" i="23"/>
  <c r="AK162" i="24"/>
  <c r="O162" i="23"/>
  <c r="P162" i="23" s="1"/>
  <c r="BF161" i="24"/>
  <c r="BJ161" i="24" s="1"/>
  <c r="Y162" i="23"/>
  <c r="Z162" i="23" s="1"/>
  <c r="BT168" i="24"/>
  <c r="BS168" i="24"/>
  <c r="AX168" i="24"/>
  <c r="AC168" i="24"/>
  <c r="AL162" i="24" l="1"/>
  <c r="AO162" i="24"/>
  <c r="BH161" i="24"/>
  <c r="BG161" i="24"/>
  <c r="AM162" i="24"/>
  <c r="AC162" i="23"/>
  <c r="AB162" i="23"/>
  <c r="R162" i="23"/>
  <c r="S162" i="23"/>
  <c r="BF162" i="24"/>
  <c r="BJ162" i="24" s="1"/>
  <c r="BF163" i="24"/>
  <c r="BJ163" i="24" s="1"/>
  <c r="AK163" i="24"/>
  <c r="O163" i="23"/>
  <c r="P163" i="23" s="1"/>
  <c r="BT169" i="24"/>
  <c r="BS169" i="24"/>
  <c r="AX169" i="24"/>
  <c r="AC169" i="24"/>
  <c r="AL163" i="24" l="1"/>
  <c r="AO163" i="24"/>
  <c r="BH163" i="24"/>
  <c r="BG163" i="24"/>
  <c r="BH162" i="24"/>
  <c r="BG162" i="24"/>
  <c r="AM163" i="24"/>
  <c r="R163" i="23"/>
  <c r="S163" i="23"/>
  <c r="AC163" i="23"/>
  <c r="AB163" i="23"/>
  <c r="O164" i="23"/>
  <c r="P164" i="23" s="1"/>
  <c r="AK164" i="24"/>
  <c r="Y163" i="23"/>
  <c r="Z163" i="23" s="1"/>
  <c r="BF164" i="24"/>
  <c r="BJ164" i="24" s="1"/>
  <c r="Y164" i="23"/>
  <c r="Z164" i="23" s="1"/>
  <c r="BT170" i="24"/>
  <c r="BS170" i="24"/>
  <c r="AC170" i="24"/>
  <c r="AX170" i="24"/>
  <c r="AL164" i="24" l="1"/>
  <c r="AO164" i="24"/>
  <c r="BH164" i="24"/>
  <c r="BG164" i="24"/>
  <c r="AM164" i="24"/>
  <c r="S164" i="23"/>
  <c r="R164" i="23"/>
  <c r="AC164" i="23"/>
  <c r="AB164" i="23"/>
  <c r="Y165" i="23"/>
  <c r="Z165" i="23" s="1"/>
  <c r="BF165" i="24"/>
  <c r="BJ165" i="24" s="1"/>
  <c r="AK165" i="24"/>
  <c r="O165" i="23"/>
  <c r="P165" i="23" s="1"/>
  <c r="AC171" i="24"/>
  <c r="AX171" i="24"/>
  <c r="BT171" i="24"/>
  <c r="BS171" i="24"/>
  <c r="AL165" i="24" l="1"/>
  <c r="AO165" i="24"/>
  <c r="BH165" i="24"/>
  <c r="BG165" i="24"/>
  <c r="AM165" i="24"/>
  <c r="AC165" i="23"/>
  <c r="AB165" i="23"/>
  <c r="R165" i="23"/>
  <c r="S165" i="23"/>
  <c r="BF166" i="24"/>
  <c r="BJ166" i="24" s="1"/>
  <c r="Y166" i="23"/>
  <c r="Z166" i="23" s="1"/>
  <c r="AK166" i="24"/>
  <c r="O166" i="23"/>
  <c r="P166" i="23" s="1"/>
  <c r="AC172" i="24"/>
  <c r="AX172" i="24"/>
  <c r="BT172" i="24"/>
  <c r="BS172" i="24"/>
  <c r="AL166" i="24" l="1"/>
  <c r="AO166" i="24"/>
  <c r="BH166" i="24"/>
  <c r="BG166" i="24"/>
  <c r="AM166" i="24"/>
  <c r="AC166" i="23"/>
  <c r="AB166" i="23"/>
  <c r="S166" i="23"/>
  <c r="R166" i="23"/>
  <c r="AK167" i="24"/>
  <c r="O167" i="23"/>
  <c r="P167" i="23" s="1"/>
  <c r="BF167" i="24"/>
  <c r="BJ167" i="24" s="1"/>
  <c r="Y167" i="23"/>
  <c r="Z167" i="23" s="1"/>
  <c r="BT173" i="24"/>
  <c r="BS173" i="24"/>
  <c r="AC173" i="24"/>
  <c r="AX173" i="24"/>
  <c r="AL167" i="24" l="1"/>
  <c r="AO167" i="24"/>
  <c r="BH167" i="24"/>
  <c r="BG167" i="24"/>
  <c r="AM167" i="24"/>
  <c r="S167" i="23"/>
  <c r="R167" i="23"/>
  <c r="AC167" i="23"/>
  <c r="AB167" i="23"/>
  <c r="AK168" i="24"/>
  <c r="O168" i="23"/>
  <c r="P168" i="23" s="1"/>
  <c r="Y168" i="23"/>
  <c r="Z168" i="23" s="1"/>
  <c r="BT174" i="24"/>
  <c r="BS174" i="24"/>
  <c r="AC174" i="24"/>
  <c r="AX174" i="24"/>
  <c r="AL168" i="24" l="1"/>
  <c r="AO168" i="24"/>
  <c r="AM168" i="24"/>
  <c r="AC168" i="23"/>
  <c r="AB168" i="23"/>
  <c r="S168" i="23"/>
  <c r="R168" i="23"/>
  <c r="AK169" i="24"/>
  <c r="O169" i="23"/>
  <c r="P169" i="23" s="1"/>
  <c r="BF168" i="24"/>
  <c r="BJ168" i="24" s="1"/>
  <c r="BF169" i="24"/>
  <c r="BJ169" i="24" s="1"/>
  <c r="Y169" i="23"/>
  <c r="Z169" i="23" s="1"/>
  <c r="AX175" i="24"/>
  <c r="AC175" i="24"/>
  <c r="BT175" i="24"/>
  <c r="BS175" i="24"/>
  <c r="AL169" i="24" l="1"/>
  <c r="AO169" i="24"/>
  <c r="BH169" i="24"/>
  <c r="BG169" i="24"/>
  <c r="BH168" i="24"/>
  <c r="BG168" i="24"/>
  <c r="AM169" i="24"/>
  <c r="R169" i="23"/>
  <c r="S169" i="23"/>
  <c r="AC169" i="23"/>
  <c r="AB169" i="23"/>
  <c r="O170" i="23"/>
  <c r="P170" i="23" s="1"/>
  <c r="AK170" i="24"/>
  <c r="Y170" i="23"/>
  <c r="Z170" i="23" s="1"/>
  <c r="AC176" i="24"/>
  <c r="AX176" i="24"/>
  <c r="BT176" i="24"/>
  <c r="BS176" i="24"/>
  <c r="AL170" i="24" l="1"/>
  <c r="AO170" i="24"/>
  <c r="AM170" i="24"/>
  <c r="S170" i="23"/>
  <c r="R170" i="23"/>
  <c r="AC170" i="23"/>
  <c r="AB170" i="23"/>
  <c r="O171" i="23"/>
  <c r="P171" i="23" s="1"/>
  <c r="AK171" i="24"/>
  <c r="BF170" i="24"/>
  <c r="BJ170" i="24" s="1"/>
  <c r="BF171" i="24"/>
  <c r="BJ171" i="24" s="1"/>
  <c r="AC177" i="24"/>
  <c r="AX177" i="24"/>
  <c r="BT177" i="24"/>
  <c r="BS177" i="24"/>
  <c r="AL171" i="24" l="1"/>
  <c r="AO171" i="24"/>
  <c r="BH171" i="24"/>
  <c r="BG171" i="24"/>
  <c r="BH170" i="24"/>
  <c r="BG170" i="24"/>
  <c r="AM171" i="24"/>
  <c r="AC171" i="23"/>
  <c r="AB171" i="23"/>
  <c r="S171" i="23"/>
  <c r="R171" i="23"/>
  <c r="O172" i="23"/>
  <c r="P172" i="23" s="1"/>
  <c r="AK172" i="24"/>
  <c r="Y171" i="23"/>
  <c r="Z171" i="23" s="1"/>
  <c r="Y172" i="23"/>
  <c r="Z172" i="23" s="1"/>
  <c r="AC178" i="24"/>
  <c r="AX178" i="24"/>
  <c r="BT178" i="24"/>
  <c r="BS178" i="24"/>
  <c r="AL172" i="24" l="1"/>
  <c r="AO172" i="24"/>
  <c r="AM172" i="24"/>
  <c r="R172" i="23"/>
  <c r="S172" i="23"/>
  <c r="AC172" i="23"/>
  <c r="AB172" i="23"/>
  <c r="AK173" i="24"/>
  <c r="O173" i="23"/>
  <c r="P173" i="23" s="1"/>
  <c r="BF172" i="24"/>
  <c r="BJ172" i="24" s="1"/>
  <c r="BF173" i="24"/>
  <c r="BJ173" i="24" s="1"/>
  <c r="Y173" i="23"/>
  <c r="Z173" i="23" s="1"/>
  <c r="AC179" i="24"/>
  <c r="AX179" i="24"/>
  <c r="BT179" i="24"/>
  <c r="BS179" i="24"/>
  <c r="AL173" i="24" l="1"/>
  <c r="AO173" i="24"/>
  <c r="BH173" i="24"/>
  <c r="BG173" i="24"/>
  <c r="BH172" i="24"/>
  <c r="BG172" i="24"/>
  <c r="AM173" i="24"/>
  <c r="S173" i="23"/>
  <c r="R173" i="23"/>
  <c r="AC173" i="23"/>
  <c r="AB173" i="23"/>
  <c r="O174" i="23"/>
  <c r="P174" i="23" s="1"/>
  <c r="AK174" i="24"/>
  <c r="Y174" i="23"/>
  <c r="Z174" i="23" s="1"/>
  <c r="BF174" i="24"/>
  <c r="BJ174" i="24" s="1"/>
  <c r="BT180" i="24"/>
  <c r="BS180" i="24"/>
  <c r="AX180" i="24"/>
  <c r="AC180" i="24"/>
  <c r="AL174" i="24" l="1"/>
  <c r="AO174" i="24"/>
  <c r="BH174" i="24"/>
  <c r="BG174" i="24"/>
  <c r="AM174" i="24"/>
  <c r="AC174" i="23"/>
  <c r="AB174" i="23"/>
  <c r="S174" i="23"/>
  <c r="R174" i="23"/>
  <c r="Y175" i="23"/>
  <c r="Z175" i="23" s="1"/>
  <c r="BF175" i="24"/>
  <c r="BJ175" i="24" s="1"/>
  <c r="AK175" i="24"/>
  <c r="O175" i="23"/>
  <c r="P175" i="23" s="1"/>
  <c r="BT181" i="24"/>
  <c r="BS181" i="24"/>
  <c r="AX181" i="24"/>
  <c r="AC181" i="24"/>
  <c r="AL175" i="24" l="1"/>
  <c r="AO175" i="24"/>
  <c r="BH175" i="24"/>
  <c r="BG175" i="24"/>
  <c r="AM175" i="24"/>
  <c r="S175" i="23"/>
  <c r="R175" i="23"/>
  <c r="AC175" i="23"/>
  <c r="AB175" i="23"/>
  <c r="O176" i="23"/>
  <c r="P176" i="23" s="1"/>
  <c r="AK176" i="24"/>
  <c r="Y176" i="23"/>
  <c r="Z176" i="23" s="1"/>
  <c r="AC182" i="24"/>
  <c r="AX182" i="24"/>
  <c r="BT182" i="24"/>
  <c r="BS182" i="24"/>
  <c r="AL176" i="24" l="1"/>
  <c r="AO176" i="24"/>
  <c r="AM176" i="24"/>
  <c r="R176" i="23"/>
  <c r="S176" i="23"/>
  <c r="AC176" i="23"/>
  <c r="AB176" i="23"/>
  <c r="BF176" i="24"/>
  <c r="BJ176" i="24" s="1"/>
  <c r="BF177" i="24"/>
  <c r="BJ177" i="24" s="1"/>
  <c r="Y177" i="23"/>
  <c r="Z177" i="23" s="1"/>
  <c r="AK177" i="24"/>
  <c r="O177" i="23"/>
  <c r="P177" i="23" s="1"/>
  <c r="BY43" i="24"/>
  <c r="BY30" i="24"/>
  <c r="AC183" i="24"/>
  <c r="AX183" i="24"/>
  <c r="BT183" i="24"/>
  <c r="BS183" i="24"/>
  <c r="AL177" i="24" l="1"/>
  <c r="AO177" i="24"/>
  <c r="BH177" i="24"/>
  <c r="BG177" i="24"/>
  <c r="BH176" i="24"/>
  <c r="BG176" i="24"/>
  <c r="AM177" i="24"/>
  <c r="AC177" i="23"/>
  <c r="AB177" i="23"/>
  <c r="S177" i="23"/>
  <c r="R177" i="23"/>
  <c r="Y178" i="23"/>
  <c r="Z178" i="23" s="1"/>
  <c r="O178" i="23"/>
  <c r="P178" i="23" s="1"/>
  <c r="AK178" i="24"/>
  <c r="BT184" i="24"/>
  <c r="BS184" i="24"/>
  <c r="AC184" i="24"/>
  <c r="AX184" i="24"/>
  <c r="AL178" i="24" l="1"/>
  <c r="AO178" i="24"/>
  <c r="AM178" i="24"/>
  <c r="AC178" i="23"/>
  <c r="AB178" i="23"/>
  <c r="R178" i="23"/>
  <c r="S178" i="23"/>
  <c r="BF178" i="24"/>
  <c r="Y179" i="23"/>
  <c r="Z179" i="23" s="1"/>
  <c r="Z6" i="23" s="1" a="1"/>
  <c r="Z6" i="23" s="1"/>
  <c r="BF179" i="24"/>
  <c r="BJ179" i="24" s="1"/>
  <c r="AK179" i="24"/>
  <c r="O179" i="23"/>
  <c r="P179" i="23" s="1"/>
  <c r="P6" i="23" s="1" a="1"/>
  <c r="P6" i="23" s="1"/>
  <c r="BY17" i="24"/>
  <c r="BY25" i="24" a="1"/>
  <c r="BY25" i="24" s="1"/>
  <c r="BY26" i="24" a="1"/>
  <c r="BY26" i="24" s="1"/>
  <c r="CL18" i="24" s="1"/>
  <c r="BY38" i="24" a="1"/>
  <c r="BY38" i="24" s="1"/>
  <c r="BY39" i="24" a="1"/>
  <c r="BY39" i="24" s="1"/>
  <c r="CL28" i="24" s="1"/>
  <c r="BG178" i="24" l="1"/>
  <c r="BJ178" i="24"/>
  <c r="AL179" i="24"/>
  <c r="AO179" i="24"/>
  <c r="BH179" i="24"/>
  <c r="BG179" i="24"/>
  <c r="AM179" i="24"/>
  <c r="R179" i="23"/>
  <c r="S179" i="23"/>
  <c r="AC179" i="23"/>
  <c r="AB179" i="23"/>
  <c r="BH178" i="24"/>
  <c r="BF180" i="24"/>
  <c r="BJ180" i="24" s="1"/>
  <c r="Y180" i="23"/>
  <c r="Z180" i="23" s="1"/>
  <c r="AK180" i="24"/>
  <c r="O180" i="23"/>
  <c r="P180" i="23" s="1"/>
  <c r="BY14" i="24" a="1"/>
  <c r="BY14" i="24" s="1"/>
  <c r="BY13" i="24" a="1"/>
  <c r="BY13" i="24" s="1"/>
  <c r="AL180" i="24" l="1"/>
  <c r="AO180" i="24"/>
  <c r="BH180" i="24"/>
  <c r="BG180" i="24"/>
  <c r="AM180" i="24"/>
  <c r="AC180" i="23"/>
  <c r="AB180" i="23"/>
  <c r="R180" i="23"/>
  <c r="S180" i="23"/>
  <c r="Y181" i="23"/>
  <c r="Z181" i="23" s="1"/>
  <c r="BF181" i="24"/>
  <c r="BJ181" i="24" s="1"/>
  <c r="V180" i="22"/>
  <c r="AK181" i="24"/>
  <c r="O181" i="23"/>
  <c r="P181" i="23" s="1"/>
  <c r="N180" i="22"/>
  <c r="O180" i="22"/>
  <c r="AL181" i="24" l="1"/>
  <c r="AO181" i="24"/>
  <c r="BH181" i="24"/>
  <c r="BG181" i="24"/>
  <c r="AM181" i="24"/>
  <c r="AC181" i="23"/>
  <c r="AB181" i="23"/>
  <c r="S181" i="23"/>
  <c r="R181" i="23"/>
  <c r="O181" i="22"/>
  <c r="N181" i="22"/>
  <c r="O182" i="23"/>
  <c r="P182" i="23" s="1"/>
  <c r="AK182" i="24"/>
  <c r="Y182" i="23"/>
  <c r="Z182" i="23" s="1"/>
  <c r="V181" i="22"/>
  <c r="AL182" i="24" l="1"/>
  <c r="AO182" i="24"/>
  <c r="AM182" i="24"/>
  <c r="S182" i="23"/>
  <c r="R182" i="23"/>
  <c r="AC182" i="23"/>
  <c r="AB182" i="23"/>
  <c r="BF182" i="24"/>
  <c r="BJ182" i="24" s="1"/>
  <c r="Y183" i="23"/>
  <c r="Z183" i="23" s="1"/>
  <c r="V182" i="22"/>
  <c r="O182" i="22"/>
  <c r="O183" i="23"/>
  <c r="P183" i="23" s="1"/>
  <c r="AK183" i="24"/>
  <c r="N182" i="22"/>
  <c r="AL183" i="24" l="1"/>
  <c r="AO183" i="24"/>
  <c r="BH182" i="24"/>
  <c r="BG182" i="24"/>
  <c r="AM183" i="24"/>
  <c r="AC183" i="23"/>
  <c r="AB183" i="23"/>
  <c r="S183" i="23"/>
  <c r="R183" i="23"/>
  <c r="N183" i="22"/>
  <c r="O183" i="22"/>
  <c r="AK184" i="24"/>
  <c r="O184" i="23"/>
  <c r="P184" i="23" s="1"/>
  <c r="BF183" i="24"/>
  <c r="BJ183" i="24" s="1"/>
  <c r="Y184" i="23"/>
  <c r="Z184" i="23" s="1"/>
  <c r="V183" i="22"/>
  <c r="AL184" i="24" l="1"/>
  <c r="AO184" i="24"/>
  <c r="BH183" i="24"/>
  <c r="BG183" i="24"/>
  <c r="AM184" i="24"/>
  <c r="S184" i="23"/>
  <c r="R184" i="23"/>
  <c r="AH17" i="23"/>
  <c r="AC184" i="23"/>
  <c r="AB184" i="23"/>
  <c r="BF184" i="24"/>
  <c r="BJ184" i="24" s="1"/>
  <c r="V184" i="22"/>
  <c r="AA35" i="22" s="1" a="1"/>
  <c r="AA35" i="22" s="1"/>
  <c r="O184" i="22"/>
  <c r="AA24" i="22" s="1" a="1"/>
  <c r="AA24" i="22" s="1"/>
  <c r="N184" i="22"/>
  <c r="BH184" i="24" l="1"/>
  <c r="BG184" i="24"/>
  <c r="AH38" i="23" a="1"/>
  <c r="AH38" i="23" s="1"/>
  <c r="AH39" i="23" a="1"/>
  <c r="AH39" i="23" s="1"/>
  <c r="AU28" i="23" s="1"/>
  <c r="AH18" i="23"/>
  <c r="BY18" i="24"/>
  <c r="AH26" i="23" a="1"/>
  <c r="AH26" i="23" s="1"/>
  <c r="AU18" i="23" s="1"/>
  <c r="AH25" i="23" a="1"/>
  <c r="AH25" i="23" s="1"/>
  <c r="AA36" i="22" a="1"/>
  <c r="AA36" i="22" s="1"/>
  <c r="AO28" i="22" s="1"/>
  <c r="AA38" i="22"/>
  <c r="AA27" i="22"/>
  <c r="AA25" i="22" a="1"/>
  <c r="AA25" i="22" s="1"/>
  <c r="AO18" i="22" s="1"/>
  <c r="P126" i="22" l="1"/>
  <c r="Q126" i="22"/>
  <c r="W126" i="22"/>
  <c r="X126" i="22"/>
  <c r="P124" i="22"/>
  <c r="Q124" i="22"/>
  <c r="P125" i="22"/>
  <c r="Q125" i="22"/>
  <c r="X125" i="22"/>
  <c r="W125" i="22"/>
  <c r="AH14" i="23" a="1"/>
  <c r="AH14" i="23" s="1"/>
  <c r="AH13" i="23" a="1"/>
  <c r="AH13" i="23" s="1"/>
  <c r="BY41" i="24"/>
  <c r="AH41" i="23"/>
  <c r="BY28" i="24"/>
  <c r="AH28" i="23"/>
  <c r="Q123" i="22"/>
  <c r="P123" i="22"/>
  <c r="W124" i="22"/>
  <c r="X124" i="22"/>
  <c r="X123" i="22"/>
  <c r="W123" i="22"/>
  <c r="W47" i="22"/>
  <c r="X47" i="22"/>
  <c r="W36" i="22"/>
  <c r="X36" i="22"/>
  <c r="X54" i="22"/>
  <c r="X18" i="22"/>
  <c r="W31" i="22"/>
  <c r="W43" i="22"/>
  <c r="W49" i="22"/>
  <c r="W61" i="22"/>
  <c r="X32" i="22"/>
  <c r="W9" i="22"/>
  <c r="W15" i="22"/>
  <c r="W21" i="22"/>
  <c r="W33" i="22"/>
  <c r="W45" i="22"/>
  <c r="W57" i="22"/>
  <c r="X9" i="22"/>
  <c r="X15" i="22"/>
  <c r="X21" i="22"/>
  <c r="X33" i="22"/>
  <c r="X39" i="22"/>
  <c r="X45" i="22"/>
  <c r="X51" i="22"/>
  <c r="X57" i="22"/>
  <c r="W10" i="22"/>
  <c r="W16" i="22"/>
  <c r="W22" i="22"/>
  <c r="W28" i="22"/>
  <c r="W34" i="22"/>
  <c r="W40" i="22"/>
  <c r="W46" i="22"/>
  <c r="W52" i="22"/>
  <c r="W58" i="22"/>
  <c r="W29" i="22"/>
  <c r="W41" i="22"/>
  <c r="W59" i="22"/>
  <c r="X29" i="22"/>
  <c r="X35" i="22"/>
  <c r="X41" i="22"/>
  <c r="X59" i="22"/>
  <c r="W54" i="22"/>
  <c r="W48" i="22"/>
  <c r="X27" i="22"/>
  <c r="X30" i="22"/>
  <c r="W51" i="22"/>
  <c r="X37" i="22"/>
  <c r="X31" i="22"/>
  <c r="W27" i="22"/>
  <c r="W50" i="22"/>
  <c r="W11" i="22"/>
  <c r="W53" i="22"/>
  <c r="W35" i="22"/>
  <c r="X10" i="22"/>
  <c r="W17" i="22"/>
  <c r="X50" i="22"/>
  <c r="X38" i="22"/>
  <c r="X25" i="22"/>
  <c r="W30" i="22"/>
  <c r="W18" i="22"/>
  <c r="X60" i="22"/>
  <c r="X20" i="22"/>
  <c r="X26" i="22"/>
  <c r="X19" i="22"/>
  <c r="X17" i="22"/>
  <c r="X42" i="22"/>
  <c r="X58" i="22"/>
  <c r="X8" i="22"/>
  <c r="X14" i="22"/>
  <c r="X13" i="22"/>
  <c r="W39" i="22"/>
  <c r="W37" i="22"/>
  <c r="W23" i="22"/>
  <c r="W25" i="22"/>
  <c r="X53" i="22"/>
  <c r="W19" i="22"/>
  <c r="X44" i="22"/>
  <c r="W12" i="22"/>
  <c r="X12" i="22"/>
  <c r="X52" i="22"/>
  <c r="W55" i="22"/>
  <c r="X46" i="22"/>
  <c r="W44" i="22"/>
  <c r="W42" i="22"/>
  <c r="X40" i="22"/>
  <c r="W38" i="22"/>
  <c r="X34" i="22"/>
  <c r="W26" i="22"/>
  <c r="W56" i="22"/>
  <c r="X22" i="22"/>
  <c r="W32" i="22"/>
  <c r="X23" i="22"/>
  <c r="X28" i="22"/>
  <c r="W20" i="22"/>
  <c r="X61" i="22"/>
  <c r="W13" i="22"/>
  <c r="W60" i="22"/>
  <c r="X11" i="22"/>
  <c r="X16" i="22"/>
  <c r="W14" i="22"/>
  <c r="X55" i="22"/>
  <c r="X48" i="22"/>
  <c r="W24" i="22"/>
  <c r="W8" i="22"/>
  <c r="X49" i="22"/>
  <c r="X43" i="22"/>
  <c r="X56" i="22"/>
  <c r="X24" i="22"/>
  <c r="Q11" i="22"/>
  <c r="Q23" i="22"/>
  <c r="Q47" i="22"/>
  <c r="P18" i="22"/>
  <c r="P55" i="22"/>
  <c r="P30" i="22"/>
  <c r="Q13" i="22"/>
  <c r="Q25" i="22"/>
  <c r="Q37" i="22"/>
  <c r="Q49" i="22"/>
  <c r="Q61" i="22"/>
  <c r="P19" i="22"/>
  <c r="Q15" i="22"/>
  <c r="Q51" i="22"/>
  <c r="P33" i="22"/>
  <c r="P11" i="22"/>
  <c r="Q8" i="22"/>
  <c r="P14" i="22"/>
  <c r="P50" i="22"/>
  <c r="P23" i="22"/>
  <c r="P47" i="22"/>
  <c r="Q20" i="22"/>
  <c r="Q44" i="22"/>
  <c r="P26" i="22"/>
  <c r="P31" i="22"/>
  <c r="Q55" i="22"/>
  <c r="P13" i="22"/>
  <c r="P25" i="22"/>
  <c r="P37" i="22"/>
  <c r="P38" i="22"/>
  <c r="Q46" i="22"/>
  <c r="Q58" i="22"/>
  <c r="P52" i="22"/>
  <c r="Q42" i="22"/>
  <c r="Q41" i="22"/>
  <c r="P17" i="22"/>
  <c r="P44" i="22"/>
  <c r="Q30" i="22"/>
  <c r="Q59" i="22"/>
  <c r="P40" i="22"/>
  <c r="Q56" i="22"/>
  <c r="P20" i="22"/>
  <c r="Q14" i="22"/>
  <c r="P56" i="22"/>
  <c r="P28" i="22"/>
  <c r="P48" i="22"/>
  <c r="Q32" i="22"/>
  <c r="P45" i="22"/>
  <c r="Q38" i="22"/>
  <c r="Q31" i="22"/>
  <c r="P60" i="22"/>
  <c r="P16" i="22"/>
  <c r="Q43" i="22"/>
  <c r="P36" i="22"/>
  <c r="Q40" i="22"/>
  <c r="Q18" i="22"/>
  <c r="Q48" i="22"/>
  <c r="P42" i="22"/>
  <c r="Q34" i="22"/>
  <c r="P51" i="22"/>
  <c r="Q19" i="22"/>
  <c r="P24" i="22"/>
  <c r="Q26" i="22"/>
  <c r="P53" i="22"/>
  <c r="Q52" i="22"/>
  <c r="Q28" i="22"/>
  <c r="Q57" i="22"/>
  <c r="Q27" i="22"/>
  <c r="Q17" i="22"/>
  <c r="P58" i="22"/>
  <c r="Q35" i="22"/>
  <c r="Q16" i="22"/>
  <c r="P32" i="22"/>
  <c r="Q60" i="22"/>
  <c r="Q22" i="22"/>
  <c r="P39" i="22"/>
  <c r="P12" i="22"/>
  <c r="P57" i="22"/>
  <c r="P29" i="22"/>
  <c r="P15" i="22"/>
  <c r="P49" i="22"/>
  <c r="P22" i="22"/>
  <c r="Q24" i="22"/>
  <c r="Q10" i="22"/>
  <c r="P27" i="22"/>
  <c r="Q54" i="22"/>
  <c r="P41" i="22"/>
  <c r="P61" i="22"/>
  <c r="Q39" i="22"/>
  <c r="P10" i="22"/>
  <c r="P21" i="22"/>
  <c r="Q45" i="22"/>
  <c r="P59" i="22"/>
  <c r="Q50" i="22"/>
  <c r="P43" i="22"/>
  <c r="P9" i="22"/>
  <c r="Q33" i="22"/>
  <c r="P35" i="22"/>
  <c r="P46" i="22"/>
  <c r="Q12" i="22"/>
  <c r="P8" i="22"/>
  <c r="Q36" i="22"/>
  <c r="P54" i="22"/>
  <c r="Q21" i="22"/>
  <c r="Q53" i="22"/>
  <c r="P34" i="22"/>
  <c r="Q9" i="22"/>
  <c r="Q29" i="22"/>
  <c r="P62" i="22"/>
  <c r="P67" i="22"/>
  <c r="Q74" i="22"/>
  <c r="P80" i="22"/>
  <c r="Q85" i="22"/>
  <c r="P93" i="22"/>
  <c r="Q97" i="22"/>
  <c r="P104" i="22"/>
  <c r="P111" i="22"/>
  <c r="P116" i="22"/>
  <c r="P122" i="22"/>
  <c r="Q116" i="22"/>
  <c r="Q110" i="22"/>
  <c r="Q122" i="22"/>
  <c r="Q87" i="22"/>
  <c r="Q82" i="22"/>
  <c r="Q78" i="22"/>
  <c r="P68" i="22"/>
  <c r="P115" i="22"/>
  <c r="Q62" i="22"/>
  <c r="Q67" i="22"/>
  <c r="P74" i="22"/>
  <c r="Q80" i="22"/>
  <c r="P85" i="22"/>
  <c r="P92" i="22"/>
  <c r="Q98" i="22"/>
  <c r="Q104" i="22"/>
  <c r="Q111" i="22"/>
  <c r="P69" i="22"/>
  <c r="Q99" i="22"/>
  <c r="Q94" i="22"/>
  <c r="Q106" i="22"/>
  <c r="Q101" i="22"/>
  <c r="Q90" i="22"/>
  <c r="P84" i="22"/>
  <c r="Q108" i="22"/>
  <c r="Q103" i="22"/>
  <c r="P103" i="22"/>
  <c r="P63" i="22"/>
  <c r="Q69" i="22"/>
  <c r="P75" i="22"/>
  <c r="P81" i="22"/>
  <c r="P87" i="22"/>
  <c r="Q93" i="22"/>
  <c r="P100" i="22"/>
  <c r="Q105" i="22"/>
  <c r="P117" i="22"/>
  <c r="Q81" i="22"/>
  <c r="Q92" i="22"/>
  <c r="P105" i="22"/>
  <c r="Q117" i="22"/>
  <c r="P88" i="22"/>
  <c r="Q112" i="22"/>
  <c r="Q88" i="22"/>
  <c r="Q100" i="22"/>
  <c r="P101" i="22"/>
  <c r="Q120" i="22"/>
  <c r="P90" i="22"/>
  <c r="Q115" i="22"/>
  <c r="P79" i="22"/>
  <c r="Q63" i="22"/>
  <c r="Q75" i="22"/>
  <c r="P110" i="22"/>
  <c r="Q118" i="22"/>
  <c r="Q107" i="22"/>
  <c r="Q119" i="22"/>
  <c r="P102" i="22"/>
  <c r="Q96" i="22"/>
  <c r="P97" i="22"/>
  <c r="P91" i="22"/>
  <c r="P64" i="22"/>
  <c r="P70" i="22"/>
  <c r="Q76" i="22"/>
  <c r="P82" i="22"/>
  <c r="P99" i="22"/>
  <c r="P118" i="22"/>
  <c r="P94" i="22"/>
  <c r="P106" i="22"/>
  <c r="Q89" i="22"/>
  <c r="P113" i="22"/>
  <c r="Q83" i="22"/>
  <c r="Q113" i="22"/>
  <c r="P108" i="22"/>
  <c r="Q102" i="22"/>
  <c r="Q91" i="22"/>
  <c r="Q86" i="22"/>
  <c r="Q64" i="22"/>
  <c r="Q70" i="22"/>
  <c r="P76" i="22"/>
  <c r="P112" i="22"/>
  <c r="P107" i="22"/>
  <c r="P96" i="22"/>
  <c r="Q114" i="22"/>
  <c r="P121" i="22"/>
  <c r="P73" i="22"/>
  <c r="P65" i="22"/>
  <c r="Q71" i="22"/>
  <c r="Q77" i="22"/>
  <c r="Q84" i="22"/>
  <c r="P95" i="22"/>
  <c r="P119" i="22"/>
  <c r="P78" i="22"/>
  <c r="Q121" i="22"/>
  <c r="P66" i="22"/>
  <c r="Q72" i="22"/>
  <c r="P77" i="22"/>
  <c r="Q95" i="22"/>
  <c r="P114" i="22"/>
  <c r="P83" i="22"/>
  <c r="Q109" i="22"/>
  <c r="P98" i="22"/>
  <c r="Q66" i="22"/>
  <c r="P71" i="22"/>
  <c r="P89" i="22"/>
  <c r="P120" i="22"/>
  <c r="P86" i="22"/>
  <c r="P109" i="22"/>
  <c r="Q65" i="22"/>
  <c r="P72" i="22"/>
  <c r="Q68" i="22"/>
  <c r="Q73" i="22"/>
  <c r="Q79" i="22"/>
  <c r="W62" i="22"/>
  <c r="W68" i="22"/>
  <c r="W74" i="22"/>
  <c r="W80" i="22"/>
  <c r="W86" i="22"/>
  <c r="X92" i="22"/>
  <c r="X98" i="22"/>
  <c r="W104" i="22"/>
  <c r="X110" i="22"/>
  <c r="X116" i="22"/>
  <c r="X122" i="22"/>
  <c r="X81" i="22"/>
  <c r="X88" i="22"/>
  <c r="W117" i="22"/>
  <c r="W100" i="22"/>
  <c r="X107" i="22"/>
  <c r="X96" i="22"/>
  <c r="X73" i="22"/>
  <c r="X62" i="22"/>
  <c r="X68" i="22"/>
  <c r="X74" i="22"/>
  <c r="X80" i="22"/>
  <c r="X86" i="22"/>
  <c r="W92" i="22"/>
  <c r="W98" i="22"/>
  <c r="X104" i="22"/>
  <c r="W110" i="22"/>
  <c r="W115" i="22"/>
  <c r="X121" i="22"/>
  <c r="X75" i="22"/>
  <c r="W99" i="22"/>
  <c r="W105" i="22"/>
  <c r="W107" i="22"/>
  <c r="X101" i="22"/>
  <c r="X90" i="22"/>
  <c r="W103" i="22"/>
  <c r="X91" i="22"/>
  <c r="X103" i="22"/>
  <c r="X63" i="22"/>
  <c r="W69" i="22"/>
  <c r="W75" i="22"/>
  <c r="W81" i="22"/>
  <c r="W87" i="22"/>
  <c r="W93" i="22"/>
  <c r="X99" i="22"/>
  <c r="W106" i="22"/>
  <c r="X111" i="22"/>
  <c r="X117" i="22"/>
  <c r="X94" i="22"/>
  <c r="X106" i="22"/>
  <c r="W118" i="22"/>
  <c r="W101" i="22"/>
  <c r="X112" i="22"/>
  <c r="W114" i="22"/>
  <c r="X83" i="22"/>
  <c r="X114" i="22"/>
  <c r="X115" i="22"/>
  <c r="W85" i="22"/>
  <c r="W63" i="22"/>
  <c r="X69" i="22"/>
  <c r="X87" i="22"/>
  <c r="W112" i="22"/>
  <c r="X118" i="22"/>
  <c r="W94" i="22"/>
  <c r="W111" i="22"/>
  <c r="W113" i="22"/>
  <c r="X113" i="22"/>
  <c r="X97" i="22"/>
  <c r="X109" i="22"/>
  <c r="W116" i="22"/>
  <c r="X64" i="22"/>
  <c r="W70" i="22"/>
  <c r="W76" i="22"/>
  <c r="X82" i="22"/>
  <c r="W88" i="22"/>
  <c r="X93" i="22"/>
  <c r="X105" i="22"/>
  <c r="W119" i="22"/>
  <c r="X85" i="22"/>
  <c r="W109" i="22"/>
  <c r="W64" i="22"/>
  <c r="X70" i="22"/>
  <c r="W77" i="22"/>
  <c r="W82" i="22"/>
  <c r="X100" i="22"/>
  <c r="W120" i="22"/>
  <c r="X119" i="22"/>
  <c r="W89" i="22"/>
  <c r="W121" i="22"/>
  <c r="W97" i="22"/>
  <c r="W65" i="22"/>
  <c r="X71" i="22"/>
  <c r="X77" i="22"/>
  <c r="W83" i="22"/>
  <c r="W90" i="22"/>
  <c r="W95" i="22"/>
  <c r="W79" i="22"/>
  <c r="X65" i="22"/>
  <c r="X72" i="22"/>
  <c r="X76" i="22"/>
  <c r="X84" i="22"/>
  <c r="X89" i="22"/>
  <c r="X95" i="22"/>
  <c r="W102" i="22"/>
  <c r="W84" i="22"/>
  <c r="W66" i="22"/>
  <c r="W71" i="22"/>
  <c r="W78" i="22"/>
  <c r="W108" i="22"/>
  <c r="X108" i="22"/>
  <c r="W96" i="22"/>
  <c r="W91" i="22"/>
  <c r="X66" i="22"/>
  <c r="W72" i="22"/>
  <c r="X79" i="22"/>
  <c r="X120" i="22"/>
  <c r="W67" i="22"/>
  <c r="X67" i="22"/>
  <c r="W73" i="22"/>
  <c r="X78" i="22"/>
  <c r="X102" i="22"/>
  <c r="W122" i="22"/>
  <c r="T125" i="23" l="1"/>
  <c r="U125" i="23"/>
  <c r="T126" i="23"/>
  <c r="U126" i="23"/>
  <c r="AD125" i="23"/>
  <c r="AE125" i="23"/>
  <c r="AD126" i="23"/>
  <c r="AE126" i="23"/>
  <c r="BV126" i="24"/>
  <c r="BV125" i="24"/>
  <c r="BU125" i="24"/>
  <c r="BU126" i="24"/>
  <c r="AZ125" i="24"/>
  <c r="AZ131" i="24"/>
  <c r="AZ137" i="24"/>
  <c r="AZ143" i="24"/>
  <c r="AZ149" i="24"/>
  <c r="AZ155" i="24"/>
  <c r="AZ161" i="24"/>
  <c r="AZ167" i="24"/>
  <c r="AZ173" i="24"/>
  <c r="AZ179" i="24"/>
  <c r="BA125" i="24"/>
  <c r="BA131" i="24"/>
  <c r="BA137" i="24"/>
  <c r="BA143" i="24"/>
  <c r="BA149" i="24"/>
  <c r="BA155" i="24"/>
  <c r="BA161" i="24"/>
  <c r="BA167" i="24"/>
  <c r="BA173" i="24"/>
  <c r="BA179" i="24"/>
  <c r="AZ126" i="24"/>
  <c r="BR6" i="24" s="1" a="1"/>
  <c r="BR6" i="24" s="1"/>
  <c r="AZ132" i="24"/>
  <c r="AZ138" i="24"/>
  <c r="AZ144" i="24"/>
  <c r="AZ150" i="24"/>
  <c r="AZ156" i="24"/>
  <c r="AZ162" i="24"/>
  <c r="AZ168" i="24"/>
  <c r="AZ174" i="24"/>
  <c r="AZ180" i="24"/>
  <c r="BA126" i="24"/>
  <c r="BA132" i="24"/>
  <c r="BA138" i="24"/>
  <c r="BA144" i="24"/>
  <c r="BA150" i="24"/>
  <c r="BA156" i="24"/>
  <c r="BA162" i="24"/>
  <c r="BA168" i="24"/>
  <c r="BA174" i="24"/>
  <c r="BA180" i="24"/>
  <c r="AZ127" i="24"/>
  <c r="AZ133" i="24"/>
  <c r="AZ139" i="24"/>
  <c r="AZ145" i="24"/>
  <c r="AZ151" i="24"/>
  <c r="AZ157" i="24"/>
  <c r="AZ163" i="24"/>
  <c r="AZ169" i="24"/>
  <c r="AZ175" i="24"/>
  <c r="AZ181" i="24"/>
  <c r="BA127" i="24"/>
  <c r="BA133" i="24"/>
  <c r="BA139" i="24"/>
  <c r="BA145" i="24"/>
  <c r="BA151" i="24"/>
  <c r="BA157" i="24"/>
  <c r="BA163" i="24"/>
  <c r="BA169" i="24"/>
  <c r="BA175" i="24"/>
  <c r="BA181" i="24"/>
  <c r="AZ128" i="24"/>
  <c r="AZ134" i="24"/>
  <c r="AZ140" i="24"/>
  <c r="AZ146" i="24"/>
  <c r="AZ152" i="24"/>
  <c r="AZ158" i="24"/>
  <c r="AZ164" i="24"/>
  <c r="AZ170" i="24"/>
  <c r="AZ176" i="24"/>
  <c r="AZ182" i="24"/>
  <c r="BA160" i="24"/>
  <c r="BA172" i="24"/>
  <c r="BA184" i="24"/>
  <c r="BA128" i="24"/>
  <c r="BA134" i="24"/>
  <c r="BA140" i="24"/>
  <c r="BA146" i="24"/>
  <c r="BA152" i="24"/>
  <c r="BA158" i="24"/>
  <c r="BA164" i="24"/>
  <c r="BA170" i="24"/>
  <c r="BA176" i="24"/>
  <c r="BA182" i="24"/>
  <c r="AZ129" i="24"/>
  <c r="AZ135" i="24"/>
  <c r="AZ141" i="24"/>
  <c r="AZ147" i="24"/>
  <c r="AZ153" i="24"/>
  <c r="AZ159" i="24"/>
  <c r="AZ165" i="24"/>
  <c r="AZ171" i="24"/>
  <c r="AZ177" i="24"/>
  <c r="AZ183" i="24"/>
  <c r="BA130" i="24"/>
  <c r="BA129" i="24"/>
  <c r="BA135" i="24"/>
  <c r="BA141" i="24"/>
  <c r="BA147" i="24"/>
  <c r="BA153" i="24"/>
  <c r="BA159" i="24"/>
  <c r="BA165" i="24"/>
  <c r="BA171" i="24"/>
  <c r="BA177" i="24"/>
  <c r="BA183" i="24"/>
  <c r="BA136" i="24"/>
  <c r="BA142" i="24"/>
  <c r="BA148" i="24"/>
  <c r="BA154" i="24"/>
  <c r="BA166" i="24"/>
  <c r="BA178" i="24"/>
  <c r="AZ130" i="24"/>
  <c r="AZ136" i="24"/>
  <c r="AZ142" i="24"/>
  <c r="AZ148" i="24"/>
  <c r="AZ154" i="24"/>
  <c r="AZ160" i="24"/>
  <c r="AZ166" i="24"/>
  <c r="AZ172" i="24"/>
  <c r="AZ178" i="24"/>
  <c r="AZ184" i="24"/>
  <c r="AZ123" i="24"/>
  <c r="AZ122" i="24"/>
  <c r="AZ121" i="24"/>
  <c r="BA33" i="24"/>
  <c r="AZ10" i="24"/>
  <c r="BA43" i="24"/>
  <c r="BA42" i="24"/>
  <c r="BA41" i="24"/>
  <c r="BA28" i="24"/>
  <c r="AZ26" i="24"/>
  <c r="BA49" i="24"/>
  <c r="BA60" i="24"/>
  <c r="AZ23" i="24"/>
  <c r="BA123" i="24"/>
  <c r="BA122" i="24"/>
  <c r="BA121" i="24"/>
  <c r="AZ33" i="24"/>
  <c r="BA10" i="24"/>
  <c r="AZ8" i="24"/>
  <c r="AZ30" i="24"/>
  <c r="AZ29" i="24"/>
  <c r="BA26" i="24"/>
  <c r="AZ37" i="24"/>
  <c r="AZ48" i="24"/>
  <c r="BA23" i="24"/>
  <c r="AZ56" i="24"/>
  <c r="BA8" i="24"/>
  <c r="AZ31" i="24"/>
  <c r="BA30" i="24"/>
  <c r="BA29" i="24"/>
  <c r="AZ16" i="24"/>
  <c r="BA51" i="24"/>
  <c r="BA37" i="24"/>
  <c r="BA48" i="24"/>
  <c r="AZ120" i="24"/>
  <c r="BA21" i="24"/>
  <c r="BA56" i="24"/>
  <c r="BA31" i="24"/>
  <c r="AZ18" i="24"/>
  <c r="AZ17" i="24"/>
  <c r="BA16" i="24"/>
  <c r="AZ51" i="24"/>
  <c r="AZ14" i="24"/>
  <c r="AZ25" i="24"/>
  <c r="AZ36" i="24"/>
  <c r="AZ11" i="24"/>
  <c r="BA120" i="24"/>
  <c r="AZ21" i="24"/>
  <c r="AZ44" i="24"/>
  <c r="BA18" i="24"/>
  <c r="BA17" i="24"/>
  <c r="BA39" i="24"/>
  <c r="BA14" i="24"/>
  <c r="BA25" i="24"/>
  <c r="BA36" i="24"/>
  <c r="AZ59" i="24"/>
  <c r="BA11" i="24"/>
  <c r="BA22" i="24"/>
  <c r="BA9" i="24"/>
  <c r="BA19" i="24"/>
  <c r="BA27" i="24"/>
  <c r="AZ50" i="24"/>
  <c r="BA13" i="24"/>
  <c r="BA24" i="24"/>
  <c r="AZ22" i="24"/>
  <c r="BA44" i="24"/>
  <c r="AZ19" i="24"/>
  <c r="AZ39" i="24"/>
  <c r="AZ13" i="24"/>
  <c r="AZ24" i="24"/>
  <c r="BA59" i="24"/>
  <c r="AZ46" i="24"/>
  <c r="AZ47" i="24"/>
  <c r="BA57" i="24"/>
  <c r="AZ9" i="24"/>
  <c r="AZ32" i="24"/>
  <c r="BA46" i="24"/>
  <c r="AZ52" i="24"/>
  <c r="AZ27" i="24"/>
  <c r="BA50" i="24"/>
  <c r="AZ12" i="24"/>
  <c r="BA47" i="24"/>
  <c r="AZ124" i="24"/>
  <c r="AZ57" i="24"/>
  <c r="BA32" i="24"/>
  <c r="AZ55" i="24"/>
  <c r="BA52" i="24"/>
  <c r="BA15" i="24"/>
  <c r="BA12" i="24"/>
  <c r="BA124" i="24"/>
  <c r="BA45" i="24"/>
  <c r="BA55" i="24"/>
  <c r="AZ54" i="24"/>
  <c r="AZ53" i="24"/>
  <c r="AZ40" i="24"/>
  <c r="AZ15" i="24"/>
  <c r="AZ38" i="24"/>
  <c r="AZ61" i="24"/>
  <c r="AZ35" i="24"/>
  <c r="AZ45" i="24"/>
  <c r="AZ58" i="24"/>
  <c r="AZ20" i="24"/>
  <c r="AZ34" i="24"/>
  <c r="BA54" i="24"/>
  <c r="BA53" i="24"/>
  <c r="BA40" i="24"/>
  <c r="BA38" i="24"/>
  <c r="BA61" i="24"/>
  <c r="BA35" i="24"/>
  <c r="BA58" i="24"/>
  <c r="BA20" i="24"/>
  <c r="AZ43" i="24"/>
  <c r="BA34" i="24"/>
  <c r="AZ42" i="24"/>
  <c r="AZ41" i="24"/>
  <c r="AZ28" i="24"/>
  <c r="AZ49" i="24"/>
  <c r="AZ60" i="24"/>
  <c r="BV8" i="24"/>
  <c r="BV20" i="24"/>
  <c r="BV32" i="24"/>
  <c r="BV44" i="24"/>
  <c r="BV56" i="24"/>
  <c r="BV68" i="24"/>
  <c r="BU18" i="24"/>
  <c r="BU30" i="24"/>
  <c r="BU42" i="24"/>
  <c r="BU54" i="24"/>
  <c r="BV9" i="24"/>
  <c r="BV21" i="24"/>
  <c r="BV33" i="24"/>
  <c r="BV45" i="24"/>
  <c r="BV57" i="24"/>
  <c r="BV69" i="24"/>
  <c r="BU19" i="24"/>
  <c r="BU31" i="24"/>
  <c r="BU43" i="24"/>
  <c r="BU55" i="24"/>
  <c r="BV10" i="24"/>
  <c r="BV22" i="24"/>
  <c r="BV34" i="24"/>
  <c r="BV46" i="24"/>
  <c r="BV58" i="24"/>
  <c r="BU8" i="24"/>
  <c r="BU20" i="24"/>
  <c r="BU32" i="24"/>
  <c r="BU44" i="24"/>
  <c r="BU56" i="24"/>
  <c r="BV11" i="24"/>
  <c r="BV23" i="24"/>
  <c r="BV35" i="24"/>
  <c r="BV47" i="24"/>
  <c r="BV59" i="24"/>
  <c r="BU9" i="24"/>
  <c r="BU21" i="24"/>
  <c r="BU33" i="24"/>
  <c r="BU45" i="24"/>
  <c r="BU57" i="24"/>
  <c r="BV12" i="24"/>
  <c r="BV24" i="24"/>
  <c r="BV36" i="24"/>
  <c r="BV48" i="24"/>
  <c r="BV60" i="24"/>
  <c r="BU10" i="24"/>
  <c r="BU22" i="24"/>
  <c r="BU34" i="24"/>
  <c r="BU46" i="24"/>
  <c r="BU58" i="24"/>
  <c r="BV13" i="24"/>
  <c r="BV25" i="24"/>
  <c r="BV37" i="24"/>
  <c r="BV49" i="24"/>
  <c r="BV61" i="24"/>
  <c r="BU11" i="24"/>
  <c r="BU23" i="24"/>
  <c r="BU35" i="24"/>
  <c r="BU47" i="24"/>
  <c r="BU59" i="24"/>
  <c r="BV67" i="24"/>
  <c r="BV14" i="24"/>
  <c r="BV26" i="24"/>
  <c r="BV38" i="24"/>
  <c r="BV50" i="24"/>
  <c r="BV62" i="24"/>
  <c r="BU12" i="24"/>
  <c r="BU24" i="24"/>
  <c r="BU36" i="24"/>
  <c r="BU48" i="24"/>
  <c r="BU60" i="24"/>
  <c r="BV31" i="24"/>
  <c r="BV55" i="24"/>
  <c r="BU41" i="24"/>
  <c r="BV15" i="24"/>
  <c r="BV27" i="24"/>
  <c r="BV39" i="24"/>
  <c r="BV51" i="24"/>
  <c r="BV63" i="24"/>
  <c r="BU13" i="24"/>
  <c r="BU25" i="24"/>
  <c r="BU37" i="24"/>
  <c r="BU49" i="24"/>
  <c r="BU61" i="24"/>
  <c r="BV16" i="24"/>
  <c r="BV28" i="24"/>
  <c r="BV40" i="24"/>
  <c r="BV52" i="24"/>
  <c r="BV64" i="24"/>
  <c r="BU14" i="24"/>
  <c r="BU26" i="24"/>
  <c r="BU38" i="24"/>
  <c r="BU50" i="24"/>
  <c r="BU62" i="24"/>
  <c r="BV17" i="24"/>
  <c r="BV29" i="24"/>
  <c r="BV41" i="24"/>
  <c r="BV53" i="24"/>
  <c r="BV65" i="24"/>
  <c r="BU15" i="24"/>
  <c r="BU27" i="24"/>
  <c r="BU39" i="24"/>
  <c r="BU51" i="24"/>
  <c r="BU63" i="24"/>
  <c r="BV19" i="24"/>
  <c r="BV43" i="24"/>
  <c r="BU17" i="24"/>
  <c r="BU53" i="24"/>
  <c r="BV18" i="24"/>
  <c r="BV30" i="24"/>
  <c r="BV42" i="24"/>
  <c r="BV54" i="24"/>
  <c r="BV66" i="24"/>
  <c r="BU16" i="24"/>
  <c r="BU28" i="24"/>
  <c r="BU40" i="24"/>
  <c r="BU52" i="24"/>
  <c r="BU29" i="24"/>
  <c r="BV122" i="24"/>
  <c r="BU122" i="24"/>
  <c r="BU124" i="24"/>
  <c r="BV124" i="24"/>
  <c r="BU123" i="24"/>
  <c r="BV123" i="24"/>
  <c r="AE19" i="23"/>
  <c r="AE31" i="23"/>
  <c r="AE43" i="23"/>
  <c r="AE55" i="23"/>
  <c r="AD13" i="23"/>
  <c r="AD25" i="23"/>
  <c r="AD37" i="23"/>
  <c r="AD49" i="23"/>
  <c r="AD61" i="23"/>
  <c r="AE8" i="23"/>
  <c r="AE20" i="23"/>
  <c r="AE32" i="23"/>
  <c r="AE44" i="23"/>
  <c r="AE56" i="23"/>
  <c r="AD14" i="23"/>
  <c r="AD26" i="23"/>
  <c r="AD38" i="23"/>
  <c r="AD50" i="23"/>
  <c r="AD62" i="23"/>
  <c r="AE9" i="23"/>
  <c r="AE21" i="23"/>
  <c r="AE33" i="23"/>
  <c r="AE45" i="23"/>
  <c r="AE57" i="23"/>
  <c r="AD15" i="23"/>
  <c r="AD27" i="23"/>
  <c r="AD39" i="23"/>
  <c r="AD51" i="23"/>
  <c r="AE10" i="23"/>
  <c r="AE22" i="23"/>
  <c r="AE34" i="23"/>
  <c r="AE46" i="23"/>
  <c r="AE58" i="23"/>
  <c r="AD16" i="23"/>
  <c r="AD28" i="23"/>
  <c r="AD40" i="23"/>
  <c r="AD52" i="23"/>
  <c r="AD36" i="23"/>
  <c r="AE11" i="23"/>
  <c r="AE23" i="23"/>
  <c r="AE35" i="23"/>
  <c r="AE47" i="23"/>
  <c r="AE59" i="23"/>
  <c r="AD17" i="23"/>
  <c r="AD29" i="23"/>
  <c r="AD41" i="23"/>
  <c r="AD53" i="23"/>
  <c r="AD12" i="23"/>
  <c r="AE12" i="23"/>
  <c r="AE24" i="23"/>
  <c r="AE36" i="23"/>
  <c r="AE48" i="23"/>
  <c r="AE60" i="23"/>
  <c r="AD18" i="23"/>
  <c r="AD30" i="23"/>
  <c r="AD42" i="23"/>
  <c r="AD54" i="23"/>
  <c r="AD48" i="23"/>
  <c r="AE13" i="23"/>
  <c r="AE25" i="23"/>
  <c r="AE37" i="23"/>
  <c r="AE49" i="23"/>
  <c r="AE61" i="23"/>
  <c r="AD19" i="23"/>
  <c r="AD31" i="23"/>
  <c r="AD43" i="23"/>
  <c r="AD55" i="23"/>
  <c r="AD24" i="23"/>
  <c r="AE14" i="23"/>
  <c r="AE26" i="23"/>
  <c r="AE38" i="23"/>
  <c r="AE50" i="23"/>
  <c r="AD8" i="23"/>
  <c r="AD20" i="23"/>
  <c r="AD32" i="23"/>
  <c r="AD44" i="23"/>
  <c r="AD56" i="23"/>
  <c r="AD60" i="23"/>
  <c r="AE15" i="23"/>
  <c r="AE27" i="23"/>
  <c r="AE39" i="23"/>
  <c r="AE51" i="23"/>
  <c r="AD9" i="23"/>
  <c r="AD21" i="23"/>
  <c r="AD33" i="23"/>
  <c r="AD45" i="23"/>
  <c r="AD57" i="23"/>
  <c r="AE16" i="23"/>
  <c r="AE28" i="23"/>
  <c r="AE40" i="23"/>
  <c r="AE52" i="23"/>
  <c r="AD10" i="23"/>
  <c r="AD22" i="23"/>
  <c r="AD34" i="23"/>
  <c r="AD46" i="23"/>
  <c r="AD58" i="23"/>
  <c r="AE17" i="23"/>
  <c r="AE29" i="23"/>
  <c r="AE41" i="23"/>
  <c r="AE53" i="23"/>
  <c r="AD11" i="23"/>
  <c r="AD23" i="23"/>
  <c r="AD35" i="23"/>
  <c r="AD47" i="23"/>
  <c r="AD59" i="23"/>
  <c r="AE18" i="23"/>
  <c r="AE30" i="23"/>
  <c r="AE42" i="23"/>
  <c r="AE54" i="23"/>
  <c r="U8" i="23"/>
  <c r="U20" i="23"/>
  <c r="U32" i="23"/>
  <c r="U44" i="23"/>
  <c r="U56" i="23"/>
  <c r="U68" i="23"/>
  <c r="T17" i="23"/>
  <c r="T29" i="23"/>
  <c r="T41" i="23"/>
  <c r="T53" i="23"/>
  <c r="U58" i="23"/>
  <c r="U23" i="23"/>
  <c r="U9" i="23"/>
  <c r="U21" i="23"/>
  <c r="U33" i="23"/>
  <c r="U45" i="23"/>
  <c r="U57" i="23"/>
  <c r="U69" i="23"/>
  <c r="T18" i="23"/>
  <c r="T30" i="23"/>
  <c r="T42" i="23"/>
  <c r="T54" i="23"/>
  <c r="T19" i="23"/>
  <c r="T8" i="23"/>
  <c r="U10" i="23"/>
  <c r="U22" i="23"/>
  <c r="U70" i="23"/>
  <c r="T31" i="23"/>
  <c r="T43" i="23"/>
  <c r="T55" i="23"/>
  <c r="U12" i="23"/>
  <c r="U24" i="23"/>
  <c r="U36" i="23"/>
  <c r="U48" i="23"/>
  <c r="U60" i="23"/>
  <c r="T9" i="23"/>
  <c r="T21" i="23"/>
  <c r="T33" i="23"/>
  <c r="T45" i="23"/>
  <c r="T57" i="23"/>
  <c r="U65" i="23"/>
  <c r="T32" i="23"/>
  <c r="U13" i="23"/>
  <c r="U25" i="23"/>
  <c r="U37" i="23"/>
  <c r="U49" i="23"/>
  <c r="U61" i="23"/>
  <c r="T10" i="23"/>
  <c r="T22" i="23"/>
  <c r="T34" i="23"/>
  <c r="T46" i="23"/>
  <c r="T58" i="23"/>
  <c r="U41" i="23"/>
  <c r="U11" i="23"/>
  <c r="T56" i="23"/>
  <c r="U14" i="23"/>
  <c r="U26" i="23"/>
  <c r="U38" i="23"/>
  <c r="U50" i="23"/>
  <c r="U62" i="23"/>
  <c r="T11" i="23"/>
  <c r="T23" i="23"/>
  <c r="T35" i="23"/>
  <c r="T47" i="23"/>
  <c r="T59" i="23"/>
  <c r="T14" i="23"/>
  <c r="U15" i="23"/>
  <c r="U27" i="23"/>
  <c r="U39" i="23"/>
  <c r="U51" i="23"/>
  <c r="U63" i="23"/>
  <c r="T12" i="23"/>
  <c r="T24" i="23"/>
  <c r="T36" i="23"/>
  <c r="T48" i="23"/>
  <c r="T60" i="23"/>
  <c r="U53" i="23"/>
  <c r="U59" i="23"/>
  <c r="U16" i="23"/>
  <c r="U28" i="23"/>
  <c r="U40" i="23"/>
  <c r="U52" i="23"/>
  <c r="U64" i="23"/>
  <c r="T13" i="23"/>
  <c r="T25" i="23"/>
  <c r="T37" i="23"/>
  <c r="T49" i="23"/>
  <c r="T61" i="23"/>
  <c r="T38" i="23"/>
  <c r="U47" i="23"/>
  <c r="U17" i="23"/>
  <c r="U29" i="23"/>
  <c r="T26" i="23"/>
  <c r="T50" i="23"/>
  <c r="T44" i="23"/>
  <c r="U18" i="23"/>
  <c r="U30" i="23"/>
  <c r="U42" i="23"/>
  <c r="U54" i="23"/>
  <c r="U66" i="23"/>
  <c r="T15" i="23"/>
  <c r="T27" i="23"/>
  <c r="T39" i="23"/>
  <c r="T51" i="23"/>
  <c r="U34" i="23"/>
  <c r="U35" i="23"/>
  <c r="U19" i="23"/>
  <c r="U31" i="23"/>
  <c r="U43" i="23"/>
  <c r="U55" i="23"/>
  <c r="U67" i="23"/>
  <c r="T16" i="23"/>
  <c r="T28" i="23"/>
  <c r="T40" i="23"/>
  <c r="T52" i="23"/>
  <c r="U46" i="23"/>
  <c r="T20" i="23"/>
  <c r="AE114" i="23"/>
  <c r="AE79" i="23"/>
  <c r="AD64" i="23"/>
  <c r="AD65" i="23"/>
  <c r="AD114" i="23"/>
  <c r="AD89" i="23"/>
  <c r="AE118" i="23"/>
  <c r="AD113" i="23"/>
  <c r="AE111" i="23"/>
  <c r="AE117" i="23"/>
  <c r="AD103" i="23"/>
  <c r="BU64" i="24"/>
  <c r="BV70" i="24"/>
  <c r="BU76" i="24"/>
  <c r="BV82" i="24"/>
  <c r="BV88" i="24"/>
  <c r="BU94" i="24"/>
  <c r="BU100" i="24"/>
  <c r="BV106" i="24"/>
  <c r="BU112" i="24"/>
  <c r="BU118" i="24"/>
  <c r="AE124" i="23"/>
  <c r="AE98" i="23"/>
  <c r="AD112" i="23"/>
  <c r="AD108" i="23"/>
  <c r="AE112" i="23"/>
  <c r="AD87" i="23"/>
  <c r="AE68" i="23"/>
  <c r="AE100" i="23"/>
  <c r="AD74" i="23"/>
  <c r="AD123" i="23"/>
  <c r="AD86" i="23"/>
  <c r="BU65" i="24"/>
  <c r="BV71" i="24"/>
  <c r="BV77" i="24"/>
  <c r="BV83" i="24"/>
  <c r="BV89" i="24"/>
  <c r="BV95" i="24"/>
  <c r="BV101" i="24"/>
  <c r="BU107" i="24"/>
  <c r="BV113" i="24"/>
  <c r="BV119" i="24"/>
  <c r="BU109" i="24"/>
  <c r="BV80" i="24"/>
  <c r="BU111" i="24"/>
  <c r="BV118" i="24"/>
  <c r="AD124" i="23"/>
  <c r="AD92" i="23"/>
  <c r="AE81" i="23"/>
  <c r="AD81" i="23"/>
  <c r="AE99" i="23"/>
  <c r="AD117" i="23"/>
  <c r="AD73" i="23"/>
  <c r="AD99" i="23"/>
  <c r="AD100" i="23"/>
  <c r="AE123" i="23"/>
  <c r="AE63" i="23"/>
  <c r="BU71" i="24"/>
  <c r="BU77" i="24"/>
  <c r="BU83" i="24"/>
  <c r="BU89" i="24"/>
  <c r="BU95" i="24"/>
  <c r="BU101" i="24"/>
  <c r="BV107" i="24"/>
  <c r="BU113" i="24"/>
  <c r="BU119" i="24"/>
  <c r="BV103" i="24"/>
  <c r="BU86" i="24"/>
  <c r="BV116" i="24"/>
  <c r="BV105" i="24"/>
  <c r="BU117" i="24"/>
  <c r="AE91" i="23"/>
  <c r="AE90" i="23"/>
  <c r="AD105" i="23"/>
  <c r="AE94" i="23"/>
  <c r="AD82" i="23"/>
  <c r="AE101" i="23"/>
  <c r="AE104" i="23"/>
  <c r="AE96" i="23"/>
  <c r="AE122" i="23"/>
  <c r="AE121" i="23"/>
  <c r="BU66" i="24"/>
  <c r="BV72" i="24"/>
  <c r="BV78" i="24"/>
  <c r="BV84" i="24"/>
  <c r="BV90" i="24"/>
  <c r="BV96" i="24"/>
  <c r="BV102" i="24"/>
  <c r="BV108" i="24"/>
  <c r="BV114" i="24"/>
  <c r="BV120" i="24"/>
  <c r="BU120" i="24"/>
  <c r="BV121" i="24"/>
  <c r="BU92" i="24"/>
  <c r="BU110" i="24"/>
  <c r="BU99" i="24"/>
  <c r="AD75" i="23"/>
  <c r="AE105" i="23"/>
  <c r="AE108" i="23"/>
  <c r="AD102" i="23"/>
  <c r="AE92" i="23"/>
  <c r="AE66" i="23"/>
  <c r="AE71" i="23"/>
  <c r="AD67" i="23"/>
  <c r="AE109" i="23"/>
  <c r="AD122" i="23"/>
  <c r="AD69" i="23"/>
  <c r="BU72" i="24"/>
  <c r="BU78" i="24"/>
  <c r="BU84" i="24"/>
  <c r="BU90" i="24"/>
  <c r="BU96" i="24"/>
  <c r="BU102" i="24"/>
  <c r="BU108" i="24"/>
  <c r="BU114" i="24"/>
  <c r="BU74" i="24"/>
  <c r="BV99" i="24"/>
  <c r="AE65" i="23"/>
  <c r="AD78" i="23"/>
  <c r="AE93" i="23"/>
  <c r="AD98" i="23"/>
  <c r="AE72" i="23"/>
  <c r="AE85" i="23"/>
  <c r="AD88" i="23"/>
  <c r="AE119" i="23"/>
  <c r="AD109" i="23"/>
  <c r="AD119" i="23"/>
  <c r="AE116" i="23"/>
  <c r="BU67" i="24"/>
  <c r="BV73" i="24"/>
  <c r="BU79" i="24"/>
  <c r="BV85" i="24"/>
  <c r="BU91" i="24"/>
  <c r="BU97" i="24"/>
  <c r="BV115" i="24"/>
  <c r="BV110" i="24"/>
  <c r="BV111" i="24"/>
  <c r="AD70" i="23"/>
  <c r="AE64" i="23"/>
  <c r="AE88" i="23"/>
  <c r="AE107" i="23"/>
  <c r="AE115" i="23"/>
  <c r="AE95" i="23"/>
  <c r="AE62" i="23"/>
  <c r="AD68" i="23"/>
  <c r="AD71" i="23"/>
  <c r="AD95" i="23"/>
  <c r="BU73" i="24"/>
  <c r="BV79" i="24"/>
  <c r="BU85" i="24"/>
  <c r="BV91" i="24"/>
  <c r="BV97" i="24"/>
  <c r="BU103" i="24"/>
  <c r="BV109" i="24"/>
  <c r="BU115" i="24"/>
  <c r="BU121" i="24"/>
  <c r="BU98" i="24"/>
  <c r="BU116" i="24"/>
  <c r="BU105" i="24"/>
  <c r="AE73" i="23"/>
  <c r="AD91" i="23"/>
  <c r="AE80" i="23"/>
  <c r="AD93" i="23"/>
  <c r="AE82" i="23"/>
  <c r="AE74" i="23"/>
  <c r="AD104" i="23"/>
  <c r="AD76" i="23"/>
  <c r="AD118" i="23"/>
  <c r="AD80" i="23"/>
  <c r="BV104" i="24"/>
  <c r="BV93" i="24"/>
  <c r="AE67" i="23"/>
  <c r="AD63" i="23"/>
  <c r="AE110" i="23"/>
  <c r="AE76" i="23"/>
  <c r="AD101" i="23"/>
  <c r="AD97" i="23"/>
  <c r="AD66" i="23"/>
  <c r="AD96" i="23"/>
  <c r="AD120" i="23"/>
  <c r="AD79" i="23"/>
  <c r="BU68" i="24"/>
  <c r="BV74" i="24"/>
  <c r="BU80" i="24"/>
  <c r="BV86" i="24"/>
  <c r="BV92" i="24"/>
  <c r="BV98" i="24"/>
  <c r="BU104" i="24"/>
  <c r="BU87" i="24"/>
  <c r="AD83" i="23"/>
  <c r="AD107" i="23"/>
  <c r="AD115" i="23"/>
  <c r="AD106" i="23"/>
  <c r="AD116" i="23"/>
  <c r="AD110" i="23"/>
  <c r="AD111" i="23"/>
  <c r="AE86" i="23"/>
  <c r="AE120" i="23"/>
  <c r="AE87" i="23"/>
  <c r="BV75" i="24"/>
  <c r="BU81" i="24"/>
  <c r="BV87" i="24"/>
  <c r="BU93" i="24"/>
  <c r="BV117" i="24"/>
  <c r="AD90" i="23"/>
  <c r="AE75" i="23"/>
  <c r="AE102" i="23"/>
  <c r="AD84" i="23"/>
  <c r="AE103" i="23"/>
  <c r="AE77" i="23"/>
  <c r="AE106" i="23"/>
  <c r="AD94" i="23"/>
  <c r="AD121" i="23"/>
  <c r="AE83" i="23"/>
  <c r="BU69" i="24"/>
  <c r="BU75" i="24"/>
  <c r="BV81" i="24"/>
  <c r="AE69" i="23"/>
  <c r="AE89" i="23"/>
  <c r="AD72" i="23"/>
  <c r="AE70" i="23"/>
  <c r="AE113" i="23"/>
  <c r="AE78" i="23"/>
  <c r="AE97" i="23"/>
  <c r="AD77" i="23"/>
  <c r="AD85" i="23"/>
  <c r="AE84" i="23"/>
  <c r="BU70" i="24"/>
  <c r="BV76" i="24"/>
  <c r="BU82" i="24"/>
  <c r="BU88" i="24"/>
  <c r="BV94" i="24"/>
  <c r="BV100" i="24"/>
  <c r="BU106" i="24"/>
  <c r="BV112" i="24"/>
  <c r="AH16" i="23"/>
  <c r="BY16" i="24"/>
  <c r="BA64" i="24"/>
  <c r="BA70" i="24"/>
  <c r="BA76" i="24"/>
  <c r="BA82" i="24"/>
  <c r="BA88" i="24"/>
  <c r="BA94" i="24"/>
  <c r="U102" i="23"/>
  <c r="T124" i="23"/>
  <c r="AZ64" i="24"/>
  <c r="AZ70" i="24"/>
  <c r="AZ76" i="24"/>
  <c r="AZ82" i="24"/>
  <c r="AZ88" i="24"/>
  <c r="AZ94" i="24"/>
  <c r="AZ100" i="24"/>
  <c r="AZ106" i="24"/>
  <c r="AZ112" i="24"/>
  <c r="AZ118" i="24"/>
  <c r="T121" i="23"/>
  <c r="T112" i="23"/>
  <c r="U75" i="23"/>
  <c r="U103" i="23"/>
  <c r="U78" i="23"/>
  <c r="T91" i="23"/>
  <c r="T93" i="23"/>
  <c r="T70" i="23"/>
  <c r="T72" i="23"/>
  <c r="AZ73" i="24"/>
  <c r="BA109" i="24"/>
  <c r="T68" i="23"/>
  <c r="T89" i="23"/>
  <c r="U121" i="23"/>
  <c r="T107" i="23"/>
  <c r="U124" i="23"/>
  <c r="BA65" i="24"/>
  <c r="BA71" i="24"/>
  <c r="AZ77" i="24"/>
  <c r="AZ83" i="24"/>
  <c r="AZ89" i="24"/>
  <c r="BA95" i="24"/>
  <c r="BA101" i="24"/>
  <c r="BA107" i="24"/>
  <c r="BA113" i="24"/>
  <c r="BA119" i="24"/>
  <c r="U120" i="23"/>
  <c r="T115" i="23"/>
  <c r="U87" i="23"/>
  <c r="T75" i="23"/>
  <c r="U94" i="23"/>
  <c r="U91" i="23"/>
  <c r="U83" i="23"/>
  <c r="U101" i="23"/>
  <c r="T82" i="23"/>
  <c r="U122" i="23"/>
  <c r="AZ97" i="24"/>
  <c r="AZ103" i="24"/>
  <c r="AZ115" i="24"/>
  <c r="U92" i="23"/>
  <c r="T86" i="23"/>
  <c r="T118" i="23"/>
  <c r="BA106" i="24"/>
  <c r="U108" i="23"/>
  <c r="AZ65" i="24"/>
  <c r="AZ71" i="24"/>
  <c r="BA77" i="24"/>
  <c r="BA83" i="24"/>
  <c r="BA89" i="24"/>
  <c r="AZ95" i="24"/>
  <c r="AZ101" i="24"/>
  <c r="AZ107" i="24"/>
  <c r="AZ113" i="24"/>
  <c r="AZ119" i="24"/>
  <c r="T120" i="23"/>
  <c r="U118" i="23"/>
  <c r="U99" i="23"/>
  <c r="T64" i="23"/>
  <c r="T79" i="23"/>
  <c r="U107" i="23"/>
  <c r="T74" i="23"/>
  <c r="T94" i="23"/>
  <c r="U88" i="23"/>
  <c r="AZ85" i="24"/>
  <c r="U76" i="23"/>
  <c r="T99" i="23"/>
  <c r="U82" i="23"/>
  <c r="BA112" i="24"/>
  <c r="T123" i="23"/>
  <c r="BA66" i="24"/>
  <c r="AZ72" i="24"/>
  <c r="AZ78" i="24"/>
  <c r="BA84" i="24"/>
  <c r="AZ90" i="24"/>
  <c r="AZ96" i="24"/>
  <c r="AZ102" i="24"/>
  <c r="BA108" i="24"/>
  <c r="BA114" i="24"/>
  <c r="T109" i="23"/>
  <c r="U111" i="23"/>
  <c r="T84" i="23"/>
  <c r="T103" i="23"/>
  <c r="U81" i="23"/>
  <c r="T80" i="23"/>
  <c r="T63" i="23"/>
  <c r="T106" i="23"/>
  <c r="T73" i="23"/>
  <c r="AZ79" i="24"/>
  <c r="U115" i="23"/>
  <c r="U90" i="23"/>
  <c r="AZ111" i="24"/>
  <c r="U109" i="23"/>
  <c r="U123" i="23"/>
  <c r="AZ66" i="24"/>
  <c r="BA72" i="24"/>
  <c r="BA78" i="24"/>
  <c r="AZ84" i="24"/>
  <c r="BA90" i="24"/>
  <c r="BA96" i="24"/>
  <c r="BA102" i="24"/>
  <c r="AZ108" i="24"/>
  <c r="AZ114" i="24"/>
  <c r="T113" i="23"/>
  <c r="U117" i="23"/>
  <c r="T96" i="23"/>
  <c r="U71" i="23"/>
  <c r="U93" i="23"/>
  <c r="U72" i="23"/>
  <c r="T76" i="23"/>
  <c r="U74" i="23"/>
  <c r="T97" i="23"/>
  <c r="BA67" i="24"/>
  <c r="T66" i="23"/>
  <c r="AZ117" i="24"/>
  <c r="T62" i="23"/>
  <c r="BA100" i="24"/>
  <c r="T122" i="23"/>
  <c r="AZ67" i="24"/>
  <c r="BA73" i="24"/>
  <c r="BA79" i="24"/>
  <c r="BA85" i="24"/>
  <c r="BA91" i="24"/>
  <c r="BA97" i="24"/>
  <c r="BA103" i="24"/>
  <c r="AZ109" i="24"/>
  <c r="BA115" i="24"/>
  <c r="T114" i="23"/>
  <c r="U119" i="23"/>
  <c r="T108" i="23"/>
  <c r="U80" i="23"/>
  <c r="U95" i="23"/>
  <c r="U105" i="23"/>
  <c r="T81" i="23"/>
  <c r="T87" i="23"/>
  <c r="U86" i="23"/>
  <c r="U89" i="23"/>
  <c r="AZ91" i="24"/>
  <c r="U112" i="23"/>
  <c r="U98" i="23"/>
  <c r="T95" i="23"/>
  <c r="T101" i="23"/>
  <c r="AZ62" i="24"/>
  <c r="AZ68" i="24"/>
  <c r="BA74" i="24"/>
  <c r="BA80" i="24"/>
  <c r="BA86" i="24"/>
  <c r="BA92" i="24"/>
  <c r="AZ98" i="24"/>
  <c r="AZ104" i="24"/>
  <c r="AZ110" i="24"/>
  <c r="BA116" i="24"/>
  <c r="U116" i="23"/>
  <c r="T117" i="23"/>
  <c r="U100" i="23"/>
  <c r="U104" i="23"/>
  <c r="T104" i="23"/>
  <c r="T78" i="23"/>
  <c r="T88" i="23"/>
  <c r="T100" i="23"/>
  <c r="U110" i="23"/>
  <c r="BA69" i="24"/>
  <c r="AZ99" i="24"/>
  <c r="U114" i="23"/>
  <c r="U97" i="23"/>
  <c r="U77" i="23"/>
  <c r="AZ63" i="24"/>
  <c r="BA68" i="24"/>
  <c r="AZ74" i="24"/>
  <c r="AZ80" i="24"/>
  <c r="AZ86" i="24"/>
  <c r="AZ92" i="24"/>
  <c r="BA98" i="24"/>
  <c r="BA104" i="24"/>
  <c r="BA110" i="24"/>
  <c r="AZ116" i="24"/>
  <c r="T110" i="23"/>
  <c r="T119" i="23"/>
  <c r="T85" i="23"/>
  <c r="T65" i="23"/>
  <c r="U84" i="23"/>
  <c r="T90" i="23"/>
  <c r="T67" i="23"/>
  <c r="U73" i="23"/>
  <c r="T71" i="23"/>
  <c r="U79" i="23"/>
  <c r="AZ87" i="24"/>
  <c r="T105" i="23"/>
  <c r="T111" i="23"/>
  <c r="U106" i="23"/>
  <c r="BA62" i="24"/>
  <c r="AZ69" i="24"/>
  <c r="AZ75" i="24"/>
  <c r="BA81" i="24"/>
  <c r="BA87" i="24"/>
  <c r="AZ93" i="24"/>
  <c r="BA99" i="24"/>
  <c r="BA105" i="24"/>
  <c r="BA111" i="24"/>
  <c r="BA117" i="24"/>
  <c r="T116" i="23"/>
  <c r="U113" i="23"/>
  <c r="T77" i="23"/>
  <c r="T69" i="23"/>
  <c r="T102" i="23"/>
  <c r="T92" i="23"/>
  <c r="U85" i="23"/>
  <c r="T83" i="23"/>
  <c r="BA63" i="24"/>
  <c r="BA75" i="24"/>
  <c r="AZ81" i="24"/>
  <c r="BA93" i="24"/>
  <c r="AZ105" i="24"/>
  <c r="T98" i="23"/>
  <c r="U96" i="23"/>
  <c r="BA118" i="24"/>
  <c r="AH47" i="23"/>
  <c r="N178" i="24"/>
  <c r="V178" i="24" s="1"/>
  <c r="U178" i="24" s="1"/>
  <c r="S178" i="24" s="1"/>
  <c r="N119" i="24"/>
  <c r="N162" i="24"/>
  <c r="N58" i="24"/>
  <c r="N33" i="24"/>
  <c r="V33" i="24" s="1"/>
  <c r="U33" i="24" s="1"/>
  <c r="S33" i="24" s="1"/>
  <c r="N43" i="24"/>
  <c r="N65" i="24"/>
  <c r="V65" i="24" s="1"/>
  <c r="U65" i="24" s="1"/>
  <c r="S65" i="24" s="1"/>
  <c r="N87" i="24"/>
  <c r="V87" i="24" s="1"/>
  <c r="T87" i="24" s="1"/>
  <c r="R87" i="24" s="1"/>
  <c r="X87" i="24" s="1"/>
  <c r="N28" i="24"/>
  <c r="V28" i="24" s="1"/>
  <c r="N35" i="24"/>
  <c r="N59" i="24"/>
  <c r="N30" i="24"/>
  <c r="N11" i="24"/>
  <c r="V11" i="24" s="1"/>
  <c r="T11" i="24" s="1"/>
  <c r="R11" i="24" s="1"/>
  <c r="X11" i="24" s="1"/>
  <c r="N49" i="24"/>
  <c r="N163" i="24"/>
  <c r="N32" i="24"/>
  <c r="N81" i="24"/>
  <c r="N39" i="24"/>
  <c r="N155" i="24"/>
  <c r="V155" i="24" s="1"/>
  <c r="T155" i="24" s="1"/>
  <c r="R155" i="24" s="1"/>
  <c r="X155" i="24" s="1"/>
  <c r="N54" i="24"/>
  <c r="V54" i="24" s="1"/>
  <c r="T54" i="24" s="1"/>
  <c r="R54" i="24" s="1"/>
  <c r="X54" i="24" s="1"/>
  <c r="N37" i="24"/>
  <c r="V37" i="24" s="1"/>
  <c r="N93" i="24"/>
  <c r="N80" i="24"/>
  <c r="N167" i="24"/>
  <c r="N26" i="24"/>
  <c r="V26" i="24" s="1"/>
  <c r="N120" i="24"/>
  <c r="N151" i="24"/>
  <c r="N15" i="24"/>
  <c r="N140" i="24"/>
  <c r="N154" i="24"/>
  <c r="N12" i="24"/>
  <c r="V12" i="24" s="1"/>
  <c r="T12" i="24" s="1"/>
  <c r="R12" i="24" s="1"/>
  <c r="X12" i="24" s="1"/>
  <c r="N117" i="24"/>
  <c r="V117" i="24" s="1"/>
  <c r="U117" i="24" s="1"/>
  <c r="S117" i="24" s="1"/>
  <c r="N98" i="24"/>
  <c r="V98" i="24" s="1"/>
  <c r="N107" i="24"/>
  <c r="N90" i="24"/>
  <c r="N63" i="24"/>
  <c r="V63" i="24" s="1"/>
  <c r="U63" i="24" s="1"/>
  <c r="S63" i="24" s="1"/>
  <c r="N112" i="24"/>
  <c r="V112" i="24" s="1"/>
  <c r="U112" i="24" s="1"/>
  <c r="S112" i="24" s="1"/>
  <c r="N114" i="24"/>
  <c r="N141" i="24"/>
  <c r="N159" i="24"/>
  <c r="N17" i="24"/>
  <c r="V17" i="24" s="1"/>
  <c r="T17" i="24" s="1"/>
  <c r="R17" i="24" s="1"/>
  <c r="X17" i="24" s="1"/>
  <c r="N111" i="24"/>
  <c r="N44" i="24"/>
  <c r="V44" i="24" s="1"/>
  <c r="U44" i="24" s="1"/>
  <c r="S44" i="24" s="1"/>
  <c r="N78" i="24"/>
  <c r="V78" i="24" s="1"/>
  <c r="U78" i="24" s="1"/>
  <c r="S78" i="24" s="1"/>
  <c r="N13" i="24"/>
  <c r="V13" i="24" s="1"/>
  <c r="N125" i="24"/>
  <c r="N138" i="24"/>
  <c r="N131" i="24"/>
  <c r="N42" i="24"/>
  <c r="V42" i="24" s="1"/>
  <c r="T42" i="24" s="1"/>
  <c r="R42" i="24" s="1"/>
  <c r="X42" i="24" s="1"/>
  <c r="N10" i="24"/>
  <c r="N116" i="24"/>
  <c r="N46" i="24"/>
  <c r="N71" i="24"/>
  <c r="N143" i="24"/>
  <c r="N137" i="24"/>
  <c r="V137" i="24" s="1"/>
  <c r="T137" i="24" s="1"/>
  <c r="R137" i="24" s="1"/>
  <c r="X137" i="24" s="1"/>
  <c r="N142" i="24"/>
  <c r="V142" i="24" s="1"/>
  <c r="T142" i="24" s="1"/>
  <c r="R142" i="24" s="1"/>
  <c r="X142" i="24" s="1"/>
  <c r="N52" i="24"/>
  <c r="V52" i="24" s="1"/>
  <c r="T52" i="24" s="1"/>
  <c r="R52" i="24" s="1"/>
  <c r="X52" i="24" s="1"/>
  <c r="N135" i="24"/>
  <c r="N127" i="24"/>
  <c r="N130" i="24"/>
  <c r="V130" i="24" s="1"/>
  <c r="T130" i="24" s="1"/>
  <c r="R130" i="24" s="1"/>
  <c r="X130" i="24" s="1"/>
  <c r="N153" i="24"/>
  <c r="V153" i="24" s="1"/>
  <c r="U153" i="24" s="1"/>
  <c r="S153" i="24" s="1"/>
  <c r="N108" i="24"/>
  <c r="N47" i="24"/>
  <c r="N82" i="24"/>
  <c r="N174" i="24"/>
  <c r="N74" i="24"/>
  <c r="N95" i="24"/>
  <c r="V95" i="24" s="1"/>
  <c r="U95" i="24" s="1"/>
  <c r="S95" i="24" s="1"/>
  <c r="N27" i="24"/>
  <c r="V27" i="24" s="1"/>
  <c r="T27" i="24" s="1"/>
  <c r="R27" i="24" s="1"/>
  <c r="X27" i="24" s="1"/>
  <c r="N14" i="24"/>
  <c r="V14" i="24" s="1"/>
  <c r="N157" i="24"/>
  <c r="N62" i="24"/>
  <c r="N67" i="24"/>
  <c r="N86" i="24"/>
  <c r="N176" i="24"/>
  <c r="V176" i="24" s="1"/>
  <c r="T176" i="24" s="1"/>
  <c r="R176" i="24" s="1"/>
  <c r="X176" i="24" s="1"/>
  <c r="N19" i="24"/>
  <c r="N100" i="24"/>
  <c r="N118" i="24"/>
  <c r="V118" i="24" s="1"/>
  <c r="T118" i="24" s="1"/>
  <c r="R118" i="24" s="1"/>
  <c r="X118" i="24" s="1"/>
  <c r="N160" i="24"/>
  <c r="N31" i="24"/>
  <c r="V31" i="24" s="1"/>
  <c r="T31" i="24" s="1"/>
  <c r="R31" i="24" s="1"/>
  <c r="X31" i="24" s="1"/>
  <c r="N22" i="24"/>
  <c r="V22" i="24" s="1"/>
  <c r="T22" i="24" s="1"/>
  <c r="R22" i="24" s="1"/>
  <c r="X22" i="24" s="1"/>
  <c r="N24" i="24"/>
  <c r="V24" i="24" s="1"/>
  <c r="N92" i="24"/>
  <c r="N53" i="24"/>
  <c r="N56" i="24"/>
  <c r="N148" i="24"/>
  <c r="V148" i="24" s="1"/>
  <c r="U148" i="24" s="1"/>
  <c r="S148" i="24" s="1"/>
  <c r="N181" i="24"/>
  <c r="N36" i="24"/>
  <c r="N102" i="24"/>
  <c r="N68" i="24"/>
  <c r="V68" i="24" s="1"/>
  <c r="T68" i="24" s="1"/>
  <c r="R68" i="24" s="1"/>
  <c r="X68" i="24" s="1"/>
  <c r="N179" i="24"/>
  <c r="N145" i="24"/>
  <c r="V145" i="24" s="1"/>
  <c r="T145" i="24" s="1"/>
  <c r="R145" i="24" s="1"/>
  <c r="X145" i="24" s="1"/>
  <c r="N121" i="24"/>
  <c r="V121" i="24" s="1"/>
  <c r="T121" i="24" s="1"/>
  <c r="R121" i="24" s="1"/>
  <c r="X121" i="24" s="1"/>
  <c r="N134" i="24"/>
  <c r="V134" i="24" s="1"/>
  <c r="N169" i="24"/>
  <c r="N184" i="24"/>
  <c r="N136" i="24"/>
  <c r="N66" i="24"/>
  <c r="V66" i="24" s="1"/>
  <c r="U66" i="24" s="1"/>
  <c r="S66" i="24" s="1"/>
  <c r="N164" i="24"/>
  <c r="N183" i="24"/>
  <c r="N94" i="24"/>
  <c r="N129" i="24"/>
  <c r="V129" i="24" s="1"/>
  <c r="T129" i="24" s="1"/>
  <c r="R129" i="24" s="1"/>
  <c r="X129" i="24" s="1"/>
  <c r="N156" i="24"/>
  <c r="N166" i="24"/>
  <c r="V166" i="24" s="1"/>
  <c r="T166" i="24" s="1"/>
  <c r="R166" i="24" s="1"/>
  <c r="X166" i="24" s="1"/>
  <c r="N123" i="24"/>
  <c r="V123" i="24" s="1"/>
  <c r="T123" i="24" s="1"/>
  <c r="R123" i="24" s="1"/>
  <c r="X123" i="24" s="1"/>
  <c r="N77" i="24"/>
  <c r="V77" i="24" s="1"/>
  <c r="N133" i="24"/>
  <c r="N180" i="24"/>
  <c r="N85" i="24"/>
  <c r="V85" i="24" s="1"/>
  <c r="U85" i="24" s="1"/>
  <c r="S85" i="24" s="1"/>
  <c r="N89" i="24"/>
  <c r="V89" i="24" s="1"/>
  <c r="U89" i="24" s="1"/>
  <c r="S89" i="24" s="1"/>
  <c r="N96" i="24"/>
  <c r="V96" i="24" s="1"/>
  <c r="U96" i="24" s="1"/>
  <c r="S96" i="24" s="1"/>
  <c r="N83" i="24"/>
  <c r="N113" i="24"/>
  <c r="N48" i="24"/>
  <c r="V48" i="24" s="1"/>
  <c r="T48" i="24" s="1"/>
  <c r="R48" i="24" s="1"/>
  <c r="X48" i="24" s="1"/>
  <c r="N25" i="24"/>
  <c r="N55" i="24"/>
  <c r="V55" i="24" s="1"/>
  <c r="T55" i="24" s="1"/>
  <c r="R55" i="24" s="1"/>
  <c r="X55" i="24" s="1"/>
  <c r="N9" i="24"/>
  <c r="V9" i="24" s="1"/>
  <c r="T9" i="24" s="1"/>
  <c r="R9" i="24" s="1"/>
  <c r="X9" i="24" s="1"/>
  <c r="N57" i="24"/>
  <c r="V57" i="24" s="1"/>
  <c r="N132" i="24"/>
  <c r="N124" i="24"/>
  <c r="N40" i="24"/>
  <c r="N21" i="24"/>
  <c r="V21" i="24" s="1"/>
  <c r="T21" i="24" s="1"/>
  <c r="R21" i="24" s="1"/>
  <c r="X21" i="24" s="1"/>
  <c r="N150" i="24"/>
  <c r="N122" i="24"/>
  <c r="N64" i="24"/>
  <c r="V64" i="24" s="1"/>
  <c r="U64" i="24" s="1"/>
  <c r="S64" i="24" s="1"/>
  <c r="N18" i="24"/>
  <c r="V18" i="24" s="1"/>
  <c r="T18" i="24" s="1"/>
  <c r="R18" i="24" s="1"/>
  <c r="X18" i="24" s="1"/>
  <c r="N146" i="24"/>
  <c r="N170" i="24"/>
  <c r="V170" i="24" s="1"/>
  <c r="T170" i="24" s="1"/>
  <c r="R170" i="24" s="1"/>
  <c r="X170" i="24" s="1"/>
  <c r="N60" i="24"/>
  <c r="V60" i="24" s="1"/>
  <c r="T60" i="24" s="1"/>
  <c r="R60" i="24" s="1"/>
  <c r="X60" i="24" s="1"/>
  <c r="N75" i="24"/>
  <c r="V75" i="24" s="1"/>
  <c r="U75" i="24" s="1"/>
  <c r="S75" i="24" s="1"/>
  <c r="N51" i="24"/>
  <c r="N72" i="24"/>
  <c r="N168" i="24"/>
  <c r="V168" i="24" s="1"/>
  <c r="T168" i="24" s="1"/>
  <c r="R168" i="24" s="1"/>
  <c r="X168" i="24" s="1"/>
  <c r="N104" i="24"/>
  <c r="V104" i="24" s="1"/>
  <c r="U104" i="24" s="1"/>
  <c r="S104" i="24" s="1"/>
  <c r="N84" i="24"/>
  <c r="N103" i="24"/>
  <c r="N175" i="24"/>
  <c r="N105" i="24"/>
  <c r="V105" i="24" s="1"/>
  <c r="U105" i="24" s="1"/>
  <c r="S105" i="24" s="1"/>
  <c r="N177" i="24"/>
  <c r="N172" i="24"/>
  <c r="V172" i="24" s="1"/>
  <c r="U172" i="24" s="1"/>
  <c r="S172" i="24" s="1"/>
  <c r="N34" i="24"/>
  <c r="V34" i="24" s="1"/>
  <c r="U34" i="24" s="1"/>
  <c r="S34" i="24" s="1"/>
  <c r="N97" i="24"/>
  <c r="V97" i="24" s="1"/>
  <c r="U97" i="24" s="1"/>
  <c r="S97" i="24" s="1"/>
  <c r="N20" i="24"/>
  <c r="N101" i="24"/>
  <c r="N182" i="24"/>
  <c r="V182" i="24" s="1"/>
  <c r="T182" i="24" s="1"/>
  <c r="R182" i="24" s="1"/>
  <c r="X182" i="24" s="1"/>
  <c r="N69" i="24"/>
  <c r="V69" i="24" s="1"/>
  <c r="N45" i="24"/>
  <c r="N76" i="24"/>
  <c r="N147" i="24"/>
  <c r="V147" i="24" s="1"/>
  <c r="T147" i="24" s="1"/>
  <c r="R147" i="24" s="1"/>
  <c r="X147" i="24" s="1"/>
  <c r="N165" i="24"/>
  <c r="V165" i="24" s="1"/>
  <c r="U165" i="24" s="1"/>
  <c r="S165" i="24" s="1"/>
  <c r="N16" i="24"/>
  <c r="N158" i="24"/>
  <c r="V158" i="24" s="1"/>
  <c r="T158" i="24" s="1"/>
  <c r="R158" i="24" s="1"/>
  <c r="X158" i="24" s="1"/>
  <c r="N41" i="24"/>
  <c r="V41" i="24" s="1"/>
  <c r="U41" i="24" s="1"/>
  <c r="S41" i="24" s="1"/>
  <c r="N70" i="24"/>
  <c r="V70" i="24" s="1"/>
  <c r="N152" i="24"/>
  <c r="N149" i="24"/>
  <c r="N73" i="24"/>
  <c r="V73" i="24" s="1"/>
  <c r="T73" i="24" s="1"/>
  <c r="R73" i="24" s="1"/>
  <c r="X73" i="24" s="1"/>
  <c r="N38" i="24"/>
  <c r="V38" i="24" s="1"/>
  <c r="T38" i="24" s="1"/>
  <c r="R38" i="24" s="1"/>
  <c r="X38" i="24" s="1"/>
  <c r="N115" i="24"/>
  <c r="N139" i="24"/>
  <c r="N29" i="24"/>
  <c r="V29" i="24" s="1"/>
  <c r="U29" i="24" s="1"/>
  <c r="S29" i="24" s="1"/>
  <c r="N88" i="24"/>
  <c r="V88" i="24" s="1"/>
  <c r="T88" i="24" s="1"/>
  <c r="R88" i="24" s="1"/>
  <c r="X88" i="24" s="1"/>
  <c r="N50" i="24"/>
  <c r="N79" i="24"/>
  <c r="V79" i="24" s="1"/>
  <c r="U79" i="24" s="1"/>
  <c r="S79" i="24" s="1"/>
  <c r="N8" i="24"/>
  <c r="V8" i="24" s="1"/>
  <c r="T8" i="24" s="1"/>
  <c r="R8" i="24" s="1"/>
  <c r="X8" i="24" s="1"/>
  <c r="H5" i="22"/>
  <c r="M5" i="24" s="1"/>
  <c r="N144" i="24"/>
  <c r="N106" i="24"/>
  <c r="N91" i="24"/>
  <c r="V91" i="24" s="1"/>
  <c r="U91" i="24" s="1"/>
  <c r="S91" i="24" s="1"/>
  <c r="N61" i="24"/>
  <c r="V61" i="24" s="1"/>
  <c r="U61" i="24" s="1"/>
  <c r="S61" i="24" s="1"/>
  <c r="N99" i="24"/>
  <c r="V99" i="24" s="1"/>
  <c r="U99" i="24" s="1"/>
  <c r="S99" i="24" s="1"/>
  <c r="N23" i="24"/>
  <c r="V23" i="24" s="1"/>
  <c r="T23" i="24" s="1"/>
  <c r="R23" i="24" s="1"/>
  <c r="X23" i="24" s="1"/>
  <c r="N126" i="24"/>
  <c r="V126" i="24" s="1"/>
  <c r="T126" i="24" s="1"/>
  <c r="R126" i="24" s="1"/>
  <c r="X126" i="24" s="1"/>
  <c r="N109" i="24"/>
  <c r="V109" i="24" s="1"/>
  <c r="U109" i="24" s="1"/>
  <c r="S109" i="24" s="1"/>
  <c r="N171" i="24"/>
  <c r="N161" i="24"/>
  <c r="V161" i="24" s="1"/>
  <c r="T161" i="24" s="1"/>
  <c r="R161" i="24" s="1"/>
  <c r="X161" i="24" s="1"/>
  <c r="N173" i="24"/>
  <c r="V173" i="24" s="1"/>
  <c r="U173" i="24" s="1"/>
  <c r="S173" i="24" s="1"/>
  <c r="N110" i="24"/>
  <c r="V110" i="24" s="1"/>
  <c r="Q64" i="24"/>
  <c r="Q66" i="24"/>
  <c r="Q92" i="24"/>
  <c r="Q106" i="24"/>
  <c r="O106" i="24" s="1"/>
  <c r="Q108" i="24"/>
  <c r="Q83" i="24"/>
  <c r="O83" i="24" s="1"/>
  <c r="Q107" i="24"/>
  <c r="O107" i="24" s="1"/>
  <c r="Q131" i="24"/>
  <c r="O131" i="24" s="1"/>
  <c r="Q11" i="24"/>
  <c r="Q76" i="24"/>
  <c r="O76" i="24" s="1"/>
  <c r="Q78" i="24"/>
  <c r="O78" i="24" s="1"/>
  <c r="Q104" i="24"/>
  <c r="O104" i="24" s="1"/>
  <c r="Q118" i="24"/>
  <c r="Q156" i="24"/>
  <c r="Q103" i="24"/>
  <c r="O103" i="24" s="1"/>
  <c r="Q147" i="24"/>
  <c r="O147" i="24" s="1"/>
  <c r="Q50" i="24"/>
  <c r="O50" i="24" s="1"/>
  <c r="Q15" i="24"/>
  <c r="O15" i="24" s="1"/>
  <c r="Q88" i="24"/>
  <c r="O88" i="24" s="1"/>
  <c r="Q114" i="24"/>
  <c r="O114" i="24" s="1"/>
  <c r="Q116" i="24"/>
  <c r="Q130" i="24"/>
  <c r="O130" i="24" s="1"/>
  <c r="Q168" i="24"/>
  <c r="O168" i="24" s="1"/>
  <c r="Q123" i="24"/>
  <c r="O123" i="24" s="1"/>
  <c r="Q26" i="24"/>
  <c r="Q71" i="24"/>
  <c r="O71" i="24" s="1"/>
  <c r="Q100" i="24"/>
  <c r="O100" i="24" s="1"/>
  <c r="Q126" i="24"/>
  <c r="O126" i="24" s="1"/>
  <c r="Q140" i="24"/>
  <c r="O140" i="24" s="1"/>
  <c r="Q142" i="24"/>
  <c r="O142" i="24" s="1"/>
  <c r="Q180" i="24"/>
  <c r="Q145" i="24"/>
  <c r="O145" i="24" s="1"/>
  <c r="Q47" i="24"/>
  <c r="Q133" i="24"/>
  <c r="O133" i="24" s="1"/>
  <c r="Q112" i="24"/>
  <c r="O112" i="24" s="1"/>
  <c r="Q138" i="24"/>
  <c r="O138" i="24" s="1"/>
  <c r="Q152" i="24"/>
  <c r="Q154" i="24"/>
  <c r="O154" i="24" s="1"/>
  <c r="Q13" i="24"/>
  <c r="O13" i="24" s="1"/>
  <c r="Q63" i="24"/>
  <c r="O63" i="24" s="1"/>
  <c r="Q67" i="24"/>
  <c r="O67" i="24" s="1"/>
  <c r="Q153" i="24"/>
  <c r="O153" i="24" s="1"/>
  <c r="Q148" i="24"/>
  <c r="O148" i="24" s="1"/>
  <c r="Q150" i="24"/>
  <c r="O150" i="24" s="1"/>
  <c r="Q164" i="24"/>
  <c r="O164" i="24" s="1"/>
  <c r="Q12" i="24"/>
  <c r="O12" i="24" s="1"/>
  <c r="Q39" i="24"/>
  <c r="O39" i="24" s="1"/>
  <c r="Q85" i="24"/>
  <c r="O85" i="24" s="1"/>
  <c r="Q87" i="24"/>
  <c r="Q173" i="24"/>
  <c r="Q160" i="24"/>
  <c r="O160" i="24" s="1"/>
  <c r="Q174" i="24"/>
  <c r="O174" i="24" s="1"/>
  <c r="Q176" i="24"/>
  <c r="O176" i="24" s="1"/>
  <c r="Q24" i="24"/>
  <c r="O24" i="24" s="1"/>
  <c r="Q61" i="24"/>
  <c r="O61" i="24" s="1"/>
  <c r="Q105" i="24"/>
  <c r="O105" i="24" s="1"/>
  <c r="Q170" i="24"/>
  <c r="O170" i="24" s="1"/>
  <c r="Q55" i="24"/>
  <c r="O55" i="24" s="1"/>
  <c r="Q16" i="24"/>
  <c r="O16" i="24" s="1"/>
  <c r="Q172" i="24"/>
  <c r="O172" i="24" s="1"/>
  <c r="Q8" i="24"/>
  <c r="Q10" i="24"/>
  <c r="Q36" i="24"/>
  <c r="O36" i="24" s="1"/>
  <c r="Q81" i="24"/>
  <c r="O81" i="24" s="1"/>
  <c r="Q167" i="24"/>
  <c r="O167" i="24" s="1"/>
  <c r="Q27" i="24"/>
  <c r="O27" i="24" s="1"/>
  <c r="Q9" i="24"/>
  <c r="O9" i="24" s="1"/>
  <c r="Q184" i="24"/>
  <c r="O184" i="24" s="1"/>
  <c r="Q20" i="24"/>
  <c r="Q46" i="24"/>
  <c r="O46" i="24" s="1"/>
  <c r="Q48" i="24"/>
  <c r="O48" i="24" s="1"/>
  <c r="Q101" i="24"/>
  <c r="O101" i="24" s="1"/>
  <c r="Q25" i="24"/>
  <c r="O25" i="24" s="1"/>
  <c r="Q89" i="24"/>
  <c r="Q31" i="24"/>
  <c r="O31" i="24" s="1"/>
  <c r="Q28" i="24"/>
  <c r="O28" i="24" s="1"/>
  <c r="Q30" i="24"/>
  <c r="O30" i="24" s="1"/>
  <c r="Q32" i="24"/>
  <c r="O32" i="24" s="1"/>
  <c r="Q58" i="24"/>
  <c r="O58" i="24" s="1"/>
  <c r="Q72" i="24"/>
  <c r="O72" i="24" s="1"/>
  <c r="Q183" i="24"/>
  <c r="O183" i="24" s="1"/>
  <c r="Q86" i="24"/>
  <c r="O86" i="24" s="1"/>
  <c r="Q49" i="24"/>
  <c r="O49" i="24" s="1"/>
  <c r="Q93" i="24"/>
  <c r="O93" i="24" s="1"/>
  <c r="Q40" i="24"/>
  <c r="O40" i="24" s="1"/>
  <c r="Q42" i="24"/>
  <c r="O42" i="24" s="1"/>
  <c r="Q44" i="24"/>
  <c r="O44" i="24" s="1"/>
  <c r="Q70" i="24"/>
  <c r="O70" i="24" s="1"/>
  <c r="Q84" i="24"/>
  <c r="O84" i="24" s="1"/>
  <c r="Q121" i="24"/>
  <c r="O121" i="24" s="1"/>
  <c r="Q127" i="24"/>
  <c r="O127" i="24" s="1"/>
  <c r="Q69" i="24"/>
  <c r="O69" i="24" s="1"/>
  <c r="Q134" i="24"/>
  <c r="O134" i="24" s="1"/>
  <c r="Q52" i="24"/>
  <c r="O52" i="24" s="1"/>
  <c r="Q54" i="24"/>
  <c r="O54" i="24" s="1"/>
  <c r="Q80" i="24"/>
  <c r="O80" i="24" s="1"/>
  <c r="Q82" i="24"/>
  <c r="Q96" i="24"/>
  <c r="O96" i="24" s="1"/>
  <c r="Q21" i="24"/>
  <c r="O21" i="24" s="1"/>
  <c r="Q65" i="24"/>
  <c r="O65" i="24" s="1"/>
  <c r="Q110" i="24"/>
  <c r="O110" i="24" s="1"/>
  <c r="Q179" i="24"/>
  <c r="O179" i="24" s="1"/>
  <c r="Q29" i="24"/>
  <c r="O29" i="24" s="1"/>
  <c r="Q59" i="24"/>
  <c r="O59" i="24" s="1"/>
  <c r="Q137" i="24"/>
  <c r="O137" i="24" s="1"/>
  <c r="Q157" i="24"/>
  <c r="O157" i="24" s="1"/>
  <c r="Q177" i="24"/>
  <c r="O177" i="24" s="1"/>
  <c r="Q77" i="24"/>
  <c r="O77" i="24" s="1"/>
  <c r="Q35" i="24"/>
  <c r="Q41" i="24"/>
  <c r="O41" i="24" s="1"/>
  <c r="Q125" i="24"/>
  <c r="O125" i="24" s="1"/>
  <c r="Q169" i="24"/>
  <c r="O169" i="24" s="1"/>
  <c r="Q159" i="24"/>
  <c r="O159" i="24" s="1"/>
  <c r="Q91" i="24"/>
  <c r="O91" i="24" s="1"/>
  <c r="Q51" i="24"/>
  <c r="O51" i="24" s="1"/>
  <c r="Q139" i="24"/>
  <c r="O139" i="24" s="1"/>
  <c r="Q97" i="24"/>
  <c r="O97" i="24" s="1"/>
  <c r="Q18" i="24"/>
  <c r="O18" i="24" s="1"/>
  <c r="Q162" i="24"/>
  <c r="O162" i="24" s="1"/>
  <c r="Q128" i="24"/>
  <c r="O128" i="24" s="1"/>
  <c r="Q94" i="24"/>
  <c r="Q60" i="24"/>
  <c r="O60" i="24" s="1"/>
  <c r="Q19" i="24"/>
  <c r="Q62" i="24"/>
  <c r="O62" i="24" s="1"/>
  <c r="Q146" i="24"/>
  <c r="O146" i="24" s="1"/>
  <c r="Q161" i="24"/>
  <c r="O161" i="24" s="1"/>
  <c r="Q17" i="24"/>
  <c r="O17" i="24" s="1"/>
  <c r="Q111" i="24"/>
  <c r="O111" i="24" s="1"/>
  <c r="Q73" i="24"/>
  <c r="O73" i="24" s="1"/>
  <c r="Q141" i="24"/>
  <c r="O141" i="24" s="1"/>
  <c r="Q158" i="24"/>
  <c r="O158" i="24" s="1"/>
  <c r="Q113" i="24"/>
  <c r="O113" i="24" s="1"/>
  <c r="Q33" i="24"/>
  <c r="Q98" i="24"/>
  <c r="O98" i="24" s="1"/>
  <c r="Q53" i="24"/>
  <c r="O53" i="24" s="1"/>
  <c r="Q99" i="24"/>
  <c r="O99" i="24" s="1"/>
  <c r="Q155" i="24"/>
  <c r="O155" i="24" s="1"/>
  <c r="Q74" i="24"/>
  <c r="O74" i="24" s="1"/>
  <c r="Q57" i="24"/>
  <c r="O57" i="24" s="1"/>
  <c r="Q120" i="24"/>
  <c r="O120" i="24" s="1"/>
  <c r="Q122" i="24"/>
  <c r="O122" i="24" s="1"/>
  <c r="Q165" i="24"/>
  <c r="O165" i="24" s="1"/>
  <c r="Q181" i="24"/>
  <c r="O181" i="24" s="1"/>
  <c r="Q109" i="24"/>
  <c r="O109" i="24" s="1"/>
  <c r="Q151" i="24"/>
  <c r="Q117" i="24"/>
  <c r="O117" i="24" s="1"/>
  <c r="Q175" i="24"/>
  <c r="O175" i="24" s="1"/>
  <c r="Q95" i="24"/>
  <c r="O95" i="24" s="1"/>
  <c r="Q38" i="24"/>
  <c r="O38" i="24" s="1"/>
  <c r="Q124" i="24"/>
  <c r="O124" i="24" s="1"/>
  <c r="Q90" i="24"/>
  <c r="O90" i="24" s="1"/>
  <c r="Q56" i="24"/>
  <c r="O56" i="24" s="1"/>
  <c r="Q22" i="24"/>
  <c r="O22" i="24" s="1"/>
  <c r="Q166" i="24"/>
  <c r="O166" i="24" s="1"/>
  <c r="Q132" i="24"/>
  <c r="O132" i="24" s="1"/>
  <c r="Q143" i="24"/>
  <c r="O143" i="24" s="1"/>
  <c r="Q23" i="24"/>
  <c r="Q182" i="24"/>
  <c r="O182" i="24" s="1"/>
  <c r="Q129" i="24"/>
  <c r="O129" i="24" s="1"/>
  <c r="Q171" i="24"/>
  <c r="O171" i="24" s="1"/>
  <c r="Q37" i="24"/>
  <c r="O37" i="24" s="1"/>
  <c r="Q14" i="24"/>
  <c r="O14" i="24" s="1"/>
  <c r="Q115" i="24"/>
  <c r="O115" i="24" s="1"/>
  <c r="H6" i="22"/>
  <c r="F111" i="22" s="1"/>
  <c r="H111" i="24" s="1"/>
  <c r="Q136" i="24"/>
  <c r="O136" i="24" s="1"/>
  <c r="Q102" i="24"/>
  <c r="O102" i="24" s="1"/>
  <c r="Q68" i="24"/>
  <c r="O68" i="24" s="1"/>
  <c r="Q34" i="24"/>
  <c r="O34" i="24" s="1"/>
  <c r="Q178" i="24"/>
  <c r="O178" i="24" s="1"/>
  <c r="Q144" i="24"/>
  <c r="O144" i="24" s="1"/>
  <c r="Q163" i="24"/>
  <c r="O163" i="24" s="1"/>
  <c r="Q43" i="24"/>
  <c r="O43" i="24" s="1"/>
  <c r="Q45" i="24"/>
  <c r="O45" i="24" s="1"/>
  <c r="Q149" i="24"/>
  <c r="O149" i="24" s="1"/>
  <c r="Q79" i="24"/>
  <c r="O79" i="24" s="1"/>
  <c r="Q119" i="24"/>
  <c r="O119" i="24" s="1"/>
  <c r="Q75" i="24"/>
  <c r="O75" i="24" s="1"/>
  <c r="Q135" i="24"/>
  <c r="O135" i="24" s="1"/>
  <c r="BY57" i="24"/>
  <c r="M6" i="24"/>
  <c r="AH57" i="23"/>
  <c r="CL45" i="24" s="1"/>
  <c r="BY46" i="24"/>
  <c r="O19" i="24"/>
  <c r="O108" i="24"/>
  <c r="O82" i="24"/>
  <c r="O180" i="24"/>
  <c r="O26" i="24"/>
  <c r="O89" i="24"/>
  <c r="O66" i="24"/>
  <c r="O87" i="24"/>
  <c r="O156" i="24"/>
  <c r="AO39" i="22"/>
  <c r="O152" i="24"/>
  <c r="O11" i="24"/>
  <c r="O10" i="24"/>
  <c r="O116" i="24"/>
  <c r="O35" i="24"/>
  <c r="O173" i="24"/>
  <c r="O64" i="24"/>
  <c r="O33" i="24"/>
  <c r="O8" i="24"/>
  <c r="O94" i="24"/>
  <c r="O20" i="24"/>
  <c r="O118" i="24"/>
  <c r="O23" i="24"/>
  <c r="O47" i="24"/>
  <c r="O92" i="24"/>
  <c r="O151" i="24"/>
  <c r="N128" i="24"/>
  <c r="V128" i="24" s="1"/>
  <c r="V177" i="24"/>
  <c r="U177" i="24" s="1"/>
  <c r="S177" i="24" s="1"/>
  <c r="V154" i="24"/>
  <c r="T154" i="24" s="1"/>
  <c r="R154" i="24" s="1"/>
  <c r="X154" i="24" s="1"/>
  <c r="V164" i="24"/>
  <c r="T164" i="24" s="1"/>
  <c r="R164" i="24" s="1"/>
  <c r="X164" i="24" s="1"/>
  <c r="V175" i="24"/>
  <c r="T175" i="24" s="1"/>
  <c r="R175" i="24" s="1"/>
  <c r="X175" i="24" s="1"/>
  <c r="V20" i="24"/>
  <c r="U20" i="24" s="1"/>
  <c r="S20" i="24" s="1"/>
  <c r="V90" i="24"/>
  <c r="T90" i="24" s="1"/>
  <c r="R90" i="24" s="1"/>
  <c r="X90" i="24" s="1"/>
  <c r="V101" i="24"/>
  <c r="T101" i="24" s="1"/>
  <c r="R101" i="24" s="1"/>
  <c r="X101" i="24" s="1"/>
  <c r="V119" i="24"/>
  <c r="T119" i="24" s="1"/>
  <c r="R119" i="24" s="1"/>
  <c r="X119" i="24" s="1"/>
  <c r="V19" i="24"/>
  <c r="T19" i="24" s="1"/>
  <c r="R19" i="24" s="1"/>
  <c r="X19" i="24" s="1"/>
  <c r="V108" i="24"/>
  <c r="T108" i="24" s="1"/>
  <c r="R108" i="24" s="1"/>
  <c r="X108" i="24" s="1"/>
  <c r="V94" i="24"/>
  <c r="U94" i="24" s="1"/>
  <c r="S94" i="24" s="1"/>
  <c r="V132" i="24"/>
  <c r="U132" i="24" s="1"/>
  <c r="S132" i="24" s="1"/>
  <c r="V163" i="24"/>
  <c r="U163" i="24" s="1"/>
  <c r="S163" i="24" s="1"/>
  <c r="V140" i="24"/>
  <c r="U140" i="24" s="1"/>
  <c r="S140" i="24" s="1"/>
  <c r="V76" i="24"/>
  <c r="U76" i="24" s="1"/>
  <c r="S76" i="24" s="1"/>
  <c r="V16" i="24"/>
  <c r="T16" i="24" s="1"/>
  <c r="R16" i="24" s="1"/>
  <c r="X16" i="24" s="1"/>
  <c r="V136" i="24"/>
  <c r="T136" i="24" s="1"/>
  <c r="R136" i="24" s="1"/>
  <c r="X136" i="24" s="1"/>
  <c r="V92" i="24"/>
  <c r="U92" i="24" s="1"/>
  <c r="S92" i="24" s="1"/>
  <c r="V15" i="24"/>
  <c r="U15" i="24" s="1"/>
  <c r="S15" i="24" s="1"/>
  <c r="V47" i="24"/>
  <c r="U47" i="24" s="1"/>
  <c r="S47" i="24" s="1"/>
  <c r="V120" i="24"/>
  <c r="T120" i="24" s="1"/>
  <c r="R120" i="24" s="1"/>
  <c r="X120" i="24" s="1"/>
  <c r="BY47" i="24"/>
  <c r="V125" i="24"/>
  <c r="U125" i="24" s="1"/>
  <c r="S125" i="24" s="1"/>
  <c r="V83" i="24"/>
  <c r="T83" i="24" s="1"/>
  <c r="R83" i="24" s="1"/>
  <c r="X83" i="24" s="1"/>
  <c r="V106" i="24"/>
  <c r="T106" i="24" s="1"/>
  <c r="R106" i="24" s="1"/>
  <c r="X106" i="24" s="1"/>
  <c r="V151" i="24"/>
  <c r="T151" i="24" s="1"/>
  <c r="R151" i="24" s="1"/>
  <c r="X151" i="24" s="1"/>
  <c r="V111" i="24"/>
  <c r="T111" i="24" s="1"/>
  <c r="R111" i="24" s="1"/>
  <c r="X111" i="24" s="1"/>
  <c r="V71" i="24"/>
  <c r="U71" i="24" s="1"/>
  <c r="S71" i="24" s="1"/>
  <c r="V67" i="24"/>
  <c r="U67" i="24" s="1"/>
  <c r="S67" i="24" s="1"/>
  <c r="V72" i="24"/>
  <c r="T72" i="24" s="1"/>
  <c r="R72" i="24" s="1"/>
  <c r="X72" i="24" s="1"/>
  <c r="V162" i="24"/>
  <c r="T162" i="24" s="1"/>
  <c r="R162" i="24" s="1"/>
  <c r="X162" i="24" s="1"/>
  <c r="V149" i="24"/>
  <c r="U149" i="24" s="1"/>
  <c r="S149" i="24" s="1"/>
  <c r="V113" i="24"/>
  <c r="U113" i="24" s="1"/>
  <c r="S113" i="24" s="1"/>
  <c r="V159" i="24"/>
  <c r="T159" i="24" s="1"/>
  <c r="R159" i="24" s="1"/>
  <c r="X159" i="24" s="1"/>
  <c r="V171" i="24"/>
  <c r="T171" i="24" s="1"/>
  <c r="R171" i="24" s="1"/>
  <c r="X171" i="24" s="1"/>
  <c r="V181" i="24"/>
  <c r="U181" i="24" s="1"/>
  <c r="S181" i="24" s="1"/>
  <c r="V107" i="24"/>
  <c r="T107" i="24" s="1"/>
  <c r="R107" i="24" s="1"/>
  <c r="X107" i="24" s="1"/>
  <c r="V116" i="24"/>
  <c r="U116" i="24" s="1"/>
  <c r="S116" i="24" s="1"/>
  <c r="V143" i="24"/>
  <c r="U143" i="24" s="1"/>
  <c r="S143" i="24" s="1"/>
  <c r="V62" i="24"/>
  <c r="U62" i="24" s="1"/>
  <c r="S62" i="24" s="1"/>
  <c r="V183" i="24"/>
  <c r="T183" i="24" s="1"/>
  <c r="R183" i="24" s="1"/>
  <c r="X183" i="24" s="1"/>
  <c r="V131" i="24"/>
  <c r="U131" i="24" s="1"/>
  <c r="S131" i="24" s="1"/>
  <c r="V59" i="24"/>
  <c r="U59" i="24" s="1"/>
  <c r="S59" i="24" s="1"/>
  <c r="V100" i="24"/>
  <c r="U100" i="24" s="1"/>
  <c r="S100" i="24" s="1"/>
  <c r="V127" i="24"/>
  <c r="T127" i="24" s="1"/>
  <c r="R127" i="24" s="1"/>
  <c r="X127" i="24" s="1"/>
  <c r="V180" i="24"/>
  <c r="U180" i="24" s="1"/>
  <c r="S180" i="24" s="1"/>
  <c r="V139" i="24"/>
  <c r="T139" i="24" s="1"/>
  <c r="R139" i="24" s="1"/>
  <c r="X139" i="24" s="1"/>
  <c r="V115" i="24"/>
  <c r="U115" i="24" s="1"/>
  <c r="S115" i="24" s="1"/>
  <c r="V156" i="24"/>
  <c r="T156" i="24" s="1"/>
  <c r="R156" i="24" s="1"/>
  <c r="X156" i="24" s="1"/>
  <c r="V50" i="24"/>
  <c r="T50" i="24" s="1"/>
  <c r="R50" i="24" s="1"/>
  <c r="X50" i="24" s="1"/>
  <c r="V150" i="24"/>
  <c r="T150" i="24" s="1"/>
  <c r="R150" i="24" s="1"/>
  <c r="X150" i="24" s="1"/>
  <c r="V81" i="24"/>
  <c r="T81" i="24" s="1"/>
  <c r="R81" i="24" s="1"/>
  <c r="X81" i="24" s="1"/>
  <c r="V30" i="24"/>
  <c r="T30" i="24" s="1"/>
  <c r="R30" i="24" s="1"/>
  <c r="X30" i="24" s="1"/>
  <c r="V46" i="24"/>
  <c r="U46" i="24" s="1"/>
  <c r="S46" i="24" s="1"/>
  <c r="V51" i="24"/>
  <c r="U51" i="24" s="1"/>
  <c r="S51" i="24" s="1"/>
  <c r="V39" i="24"/>
  <c r="T39" i="24" s="1"/>
  <c r="R39" i="24" s="1"/>
  <c r="X39" i="24" s="1"/>
  <c r="V45" i="24"/>
  <c r="U45" i="24" s="1"/>
  <c r="S45" i="24" s="1"/>
  <c r="V135" i="24"/>
  <c r="U135" i="24" s="1"/>
  <c r="S135" i="24" s="1"/>
  <c r="V80" i="24"/>
  <c r="T80" i="24" s="1"/>
  <c r="R80" i="24" s="1"/>
  <c r="X80" i="24" s="1"/>
  <c r="V160" i="24"/>
  <c r="T160" i="24" s="1"/>
  <c r="R160" i="24" s="1"/>
  <c r="X160" i="24" s="1"/>
  <c r="V122" i="24"/>
  <c r="U122" i="24" s="1"/>
  <c r="S122" i="24" s="1"/>
  <c r="V32" i="24"/>
  <c r="T32" i="24" s="1"/>
  <c r="R32" i="24" s="1"/>
  <c r="X32" i="24" s="1"/>
  <c r="V138" i="24"/>
  <c r="T138" i="24" s="1"/>
  <c r="R138" i="24" s="1"/>
  <c r="X138" i="24" s="1"/>
  <c r="V58" i="24"/>
  <c r="U58" i="24" s="1"/>
  <c r="S58" i="24" s="1"/>
  <c r="V146" i="24"/>
  <c r="T146" i="24" s="1"/>
  <c r="R146" i="24" s="1"/>
  <c r="X146" i="24" s="1"/>
  <c r="V74" i="24"/>
  <c r="U74" i="24" s="1"/>
  <c r="S74" i="24" s="1"/>
  <c r="V43" i="24"/>
  <c r="T43" i="24" s="1"/>
  <c r="R43" i="24" s="1"/>
  <c r="X43" i="24" s="1"/>
  <c r="V141" i="24"/>
  <c r="U141" i="24" s="1"/>
  <c r="S141" i="24" s="1"/>
  <c r="V133" i="24"/>
  <c r="T133" i="24" s="1"/>
  <c r="R133" i="24" s="1"/>
  <c r="X133" i="24" s="1"/>
  <c r="V184" i="24"/>
  <c r="T184" i="24" s="1"/>
  <c r="R184" i="24" s="1"/>
  <c r="X184" i="24" s="1"/>
  <c r="V53" i="24"/>
  <c r="T53" i="24" s="1"/>
  <c r="R53" i="24" s="1"/>
  <c r="X53" i="24" s="1"/>
  <c r="V169" i="24"/>
  <c r="U169" i="24" s="1"/>
  <c r="S169" i="24" s="1"/>
  <c r="V25" i="24"/>
  <c r="T25" i="24" s="1"/>
  <c r="R25" i="24" s="1"/>
  <c r="X25" i="24" s="1"/>
  <c r="V93" i="24"/>
  <c r="U93" i="24" s="1"/>
  <c r="S93" i="24" s="1"/>
  <c r="V157" i="24"/>
  <c r="T157" i="24" s="1"/>
  <c r="R157" i="24" s="1"/>
  <c r="X157" i="24" s="1"/>
  <c r="V82" i="24"/>
  <c r="T82" i="24" s="1"/>
  <c r="R82" i="24" s="1"/>
  <c r="X82" i="24" s="1"/>
  <c r="V40" i="24"/>
  <c r="U40" i="24" s="1"/>
  <c r="S40" i="24" s="1"/>
  <c r="V152" i="24"/>
  <c r="T152" i="24" s="1"/>
  <c r="R152" i="24" s="1"/>
  <c r="X152" i="24" s="1"/>
  <c r="V86" i="24"/>
  <c r="T86" i="24" s="1"/>
  <c r="R86" i="24" s="1"/>
  <c r="X86" i="24" s="1"/>
  <c r="V10" i="24"/>
  <c r="T10" i="24" s="1"/>
  <c r="R10" i="24" s="1"/>
  <c r="X10" i="24" s="1"/>
  <c r="V174" i="24"/>
  <c r="U174" i="24" s="1"/>
  <c r="S174" i="24" s="1"/>
  <c r="V179" i="24"/>
  <c r="T179" i="24" s="1"/>
  <c r="R179" i="24" s="1"/>
  <c r="X179" i="24" s="1"/>
  <c r="V144" i="24"/>
  <c r="T144" i="24" s="1"/>
  <c r="R144" i="24" s="1"/>
  <c r="X144" i="24" s="1"/>
  <c r="V167" i="24"/>
  <c r="T167" i="24" s="1"/>
  <c r="R167" i="24" s="1"/>
  <c r="X167" i="24" s="1"/>
  <c r="V56" i="24"/>
  <c r="U56" i="24" s="1"/>
  <c r="S56" i="24" s="1"/>
  <c r="V36" i="24"/>
  <c r="T36" i="24" s="1"/>
  <c r="R36" i="24" s="1"/>
  <c r="X36" i="24" s="1"/>
  <c r="V114" i="24"/>
  <c r="T114" i="24" s="1"/>
  <c r="R114" i="24" s="1"/>
  <c r="X114" i="24" s="1"/>
  <c r="V103" i="24"/>
  <c r="T103" i="24" s="1"/>
  <c r="R103" i="24" s="1"/>
  <c r="X103" i="24" s="1"/>
  <c r="V84" i="24"/>
  <c r="T84" i="24" s="1"/>
  <c r="R84" i="24" s="1"/>
  <c r="X84" i="24" s="1"/>
  <c r="V124" i="24"/>
  <c r="U124" i="24" s="1"/>
  <c r="S124" i="24" s="1"/>
  <c r="V102" i="24"/>
  <c r="T102" i="24" s="1"/>
  <c r="R102" i="24" s="1"/>
  <c r="X102" i="24" s="1"/>
  <c r="V35" i="24"/>
  <c r="T35" i="24" s="1"/>
  <c r="R35" i="24" s="1"/>
  <c r="X35" i="24" s="1"/>
  <c r="V49" i="24"/>
  <c r="U49" i="24" s="1"/>
  <c r="S49" i="24" s="1"/>
  <c r="AH48" i="23"/>
  <c r="BY56" i="24" s="1"/>
  <c r="AO40" i="22"/>
  <c r="BY48" i="24"/>
  <c r="AH46" i="23"/>
  <c r="F71" i="22" l="1"/>
  <c r="F73" i="22"/>
  <c r="H73" i="24" s="1"/>
  <c r="F8" i="22"/>
  <c r="H8" i="22" s="1"/>
  <c r="F115" i="22"/>
  <c r="H115" i="24" s="1"/>
  <c r="I115" i="24" s="1"/>
  <c r="F72" i="22"/>
  <c r="F82" i="22"/>
  <c r="H82" i="24" s="1"/>
  <c r="F146" i="22"/>
  <c r="H146" i="24" s="1"/>
  <c r="P146" i="24" s="1"/>
  <c r="F135" i="22"/>
  <c r="H135" i="24" s="1"/>
  <c r="F85" i="22"/>
  <c r="H85" i="24" s="1"/>
  <c r="T71" i="24"/>
  <c r="R71" i="24" s="1"/>
  <c r="X71" i="24" s="1"/>
  <c r="U176" i="24"/>
  <c r="S176" i="24" s="1"/>
  <c r="U8" i="24"/>
  <c r="S8" i="24" s="1"/>
  <c r="T99" i="24"/>
  <c r="R99" i="24" s="1"/>
  <c r="X99" i="24" s="1"/>
  <c r="U22" i="24"/>
  <c r="S22" i="24" s="1"/>
  <c r="T47" i="24"/>
  <c r="R47" i="24" s="1"/>
  <c r="X47" i="24" s="1"/>
  <c r="U119" i="24"/>
  <c r="S119" i="24" s="1"/>
  <c r="T94" i="24"/>
  <c r="R94" i="24" s="1"/>
  <c r="X94" i="24" s="1"/>
  <c r="U147" i="24"/>
  <c r="S147" i="24" s="1"/>
  <c r="U123" i="24"/>
  <c r="S123" i="24" s="1"/>
  <c r="T33" i="24"/>
  <c r="R33" i="24" s="1"/>
  <c r="X33" i="24" s="1"/>
  <c r="U19" i="24"/>
  <c r="S19" i="24" s="1"/>
  <c r="U161" i="24"/>
  <c r="S161" i="24" s="1"/>
  <c r="T67" i="24"/>
  <c r="R67" i="24" s="1"/>
  <c r="X67" i="24" s="1"/>
  <c r="T62" i="24"/>
  <c r="R62" i="24" s="1"/>
  <c r="X62" i="24" s="1"/>
  <c r="T140" i="24"/>
  <c r="R140" i="24" s="1"/>
  <c r="X140" i="24" s="1"/>
  <c r="U154" i="24"/>
  <c r="S154" i="24" s="1"/>
  <c r="F151" i="22"/>
  <c r="H151" i="24" s="1"/>
  <c r="I151" i="24" s="1"/>
  <c r="U145" i="24"/>
  <c r="S145" i="24" s="1"/>
  <c r="U158" i="24"/>
  <c r="S158" i="24" s="1"/>
  <c r="T143" i="24"/>
  <c r="R143" i="24" s="1"/>
  <c r="X143" i="24" s="1"/>
  <c r="T65" i="24"/>
  <c r="R65" i="24" s="1"/>
  <c r="X65" i="24" s="1"/>
  <c r="U72" i="24"/>
  <c r="S72" i="24" s="1"/>
  <c r="U23" i="24"/>
  <c r="S23" i="24" s="1"/>
  <c r="T26" i="24"/>
  <c r="R26" i="24" s="1"/>
  <c r="X26" i="24" s="1"/>
  <c r="U26" i="24"/>
  <c r="S26" i="24" s="1"/>
  <c r="U60" i="24"/>
  <c r="S60" i="24" s="1"/>
  <c r="U155" i="24"/>
  <c r="S155" i="24" s="1"/>
  <c r="T58" i="24"/>
  <c r="R58" i="24" s="1"/>
  <c r="X58" i="24" s="1"/>
  <c r="T45" i="24"/>
  <c r="R45" i="24" s="1"/>
  <c r="X45" i="24" s="1"/>
  <c r="U139" i="24"/>
  <c r="S139" i="24" s="1"/>
  <c r="T116" i="24"/>
  <c r="R116" i="24" s="1"/>
  <c r="X116" i="24" s="1"/>
  <c r="T56" i="24"/>
  <c r="R56" i="24" s="1"/>
  <c r="X56" i="24" s="1"/>
  <c r="U102" i="24"/>
  <c r="S102" i="24" s="1"/>
  <c r="U108" i="24"/>
  <c r="S108" i="24" s="1"/>
  <c r="U164" i="24"/>
  <c r="S164" i="24" s="1"/>
  <c r="T178" i="24"/>
  <c r="R178" i="24" s="1"/>
  <c r="X178" i="24" s="1"/>
  <c r="U106" i="24"/>
  <c r="S106" i="24" s="1"/>
  <c r="U121" i="24"/>
  <c r="S121" i="24" s="1"/>
  <c r="U10" i="24"/>
  <c r="S10" i="24" s="1"/>
  <c r="F166" i="22"/>
  <c r="H166" i="24" s="1"/>
  <c r="I166" i="24" s="1"/>
  <c r="U32" i="24"/>
  <c r="S32" i="24" s="1"/>
  <c r="U138" i="24"/>
  <c r="S138" i="24" s="1"/>
  <c r="U39" i="24"/>
  <c r="S39" i="24" s="1"/>
  <c r="U68" i="24"/>
  <c r="S68" i="24" s="1"/>
  <c r="U50" i="24"/>
  <c r="S50" i="24" s="1"/>
  <c r="T79" i="24"/>
  <c r="R79" i="24" s="1"/>
  <c r="X79" i="24" s="1"/>
  <c r="T115" i="24"/>
  <c r="R115" i="24" s="1"/>
  <c r="X115" i="24" s="1"/>
  <c r="T124" i="24"/>
  <c r="R124" i="24" s="1"/>
  <c r="X124" i="24" s="1"/>
  <c r="T169" i="24"/>
  <c r="R169" i="24" s="1"/>
  <c r="X169" i="24" s="1"/>
  <c r="T165" i="24"/>
  <c r="R165" i="24" s="1"/>
  <c r="X165" i="24" s="1"/>
  <c r="T51" i="24"/>
  <c r="R51" i="24" s="1"/>
  <c r="X51" i="24" s="1"/>
  <c r="F109" i="22"/>
  <c r="H109" i="24" s="1"/>
  <c r="P109" i="24" s="1"/>
  <c r="F113" i="22"/>
  <c r="H113" i="24" s="1"/>
  <c r="F68" i="22"/>
  <c r="H68" i="24" s="1"/>
  <c r="K68" i="24" s="1"/>
  <c r="F129" i="22"/>
  <c r="H129" i="24" s="1"/>
  <c r="I129" i="24" s="1"/>
  <c r="T64" i="24"/>
  <c r="R64" i="24" s="1"/>
  <c r="X64" i="24" s="1"/>
  <c r="U86" i="24"/>
  <c r="S86" i="24" s="1"/>
  <c r="U183" i="24"/>
  <c r="S183" i="24" s="1"/>
  <c r="T44" i="24"/>
  <c r="R44" i="24" s="1"/>
  <c r="X44" i="24" s="1"/>
  <c r="U69" i="24"/>
  <c r="S69" i="24" s="1"/>
  <c r="T69" i="24"/>
  <c r="R69" i="24" s="1"/>
  <c r="X69" i="24" s="1"/>
  <c r="U136" i="24"/>
  <c r="S136" i="24" s="1"/>
  <c r="T153" i="24"/>
  <c r="R153" i="24" s="1"/>
  <c r="X153" i="24" s="1"/>
  <c r="U83" i="24"/>
  <c r="S83" i="24" s="1"/>
  <c r="T132" i="24"/>
  <c r="R132" i="24" s="1"/>
  <c r="X132" i="24" s="1"/>
  <c r="F121" i="22"/>
  <c r="H121" i="24" s="1"/>
  <c r="P121" i="24" s="1"/>
  <c r="F88" i="22"/>
  <c r="H88" i="24" s="1"/>
  <c r="I88" i="24" s="1"/>
  <c r="T174" i="24"/>
  <c r="R174" i="24" s="1"/>
  <c r="X174" i="24" s="1"/>
  <c r="U146" i="24"/>
  <c r="S146" i="24" s="1"/>
  <c r="U142" i="24"/>
  <c r="S142" i="24" s="1"/>
  <c r="U182" i="24"/>
  <c r="S182" i="24" s="1"/>
  <c r="T163" i="24"/>
  <c r="R163" i="24" s="1"/>
  <c r="X163" i="24" s="1"/>
  <c r="U87" i="24"/>
  <c r="S87" i="24" s="1"/>
  <c r="U137" i="24"/>
  <c r="S137" i="24" s="1"/>
  <c r="U11" i="24"/>
  <c r="S11" i="24" s="1"/>
  <c r="T181" i="24"/>
  <c r="R181" i="24" s="1"/>
  <c r="X181" i="24" s="1"/>
  <c r="T85" i="24"/>
  <c r="R85" i="24" s="1"/>
  <c r="X85" i="24" s="1"/>
  <c r="U54" i="24"/>
  <c r="S54" i="24" s="1"/>
  <c r="T66" i="24"/>
  <c r="R66" i="24" s="1"/>
  <c r="X66" i="24" s="1"/>
  <c r="U133" i="24"/>
  <c r="S133" i="24" s="1"/>
  <c r="U30" i="24"/>
  <c r="S30" i="24" s="1"/>
  <c r="T40" i="24"/>
  <c r="R40" i="24" s="1"/>
  <c r="X40" i="24" s="1"/>
  <c r="U53" i="24"/>
  <c r="S53" i="24" s="1"/>
  <c r="T95" i="24"/>
  <c r="R95" i="24" s="1"/>
  <c r="X95" i="24" s="1"/>
  <c r="U35" i="24"/>
  <c r="S35" i="24" s="1"/>
  <c r="T78" i="24"/>
  <c r="R78" i="24" s="1"/>
  <c r="X78" i="24" s="1"/>
  <c r="U55" i="24"/>
  <c r="S55" i="24" s="1"/>
  <c r="T113" i="24"/>
  <c r="R113" i="24" s="1"/>
  <c r="X113" i="24" s="1"/>
  <c r="T91" i="24"/>
  <c r="R91" i="24" s="1"/>
  <c r="X91" i="24" s="1"/>
  <c r="T117" i="24"/>
  <c r="R117" i="24" s="1"/>
  <c r="X117" i="24" s="1"/>
  <c r="T20" i="24"/>
  <c r="R20" i="24" s="1"/>
  <c r="X20" i="24" s="1"/>
  <c r="U170" i="24"/>
  <c r="S170" i="24" s="1"/>
  <c r="U36" i="24"/>
  <c r="S36" i="24" s="1"/>
  <c r="U16" i="24"/>
  <c r="S16" i="24" s="1"/>
  <c r="T112" i="24"/>
  <c r="R112" i="24" s="1"/>
  <c r="X112" i="24" s="1"/>
  <c r="G97" i="23"/>
  <c r="I97" i="23" s="1"/>
  <c r="F152" i="22"/>
  <c r="H152" i="24" s="1"/>
  <c r="I152" i="24" s="1"/>
  <c r="F148" i="22"/>
  <c r="H148" i="24" s="1"/>
  <c r="I148" i="24" s="1"/>
  <c r="F162" i="22"/>
  <c r="H162" i="24" s="1"/>
  <c r="I162" i="24" s="1"/>
  <c r="F179" i="22"/>
  <c r="H179" i="24" s="1"/>
  <c r="K179" i="24" s="1"/>
  <c r="F126" i="22"/>
  <c r="H126" i="24" s="1"/>
  <c r="F143" i="22"/>
  <c r="H143" i="24" s="1"/>
  <c r="K143" i="24" s="1"/>
  <c r="F122" i="22"/>
  <c r="H122" i="24" s="1"/>
  <c r="I122" i="24" s="1"/>
  <c r="F128" i="22"/>
  <c r="H128" i="24" s="1"/>
  <c r="K128" i="24" s="1"/>
  <c r="F138" i="22"/>
  <c r="H138" i="22" s="1"/>
  <c r="F149" i="22"/>
  <c r="H149" i="24" s="1"/>
  <c r="K149" i="24" s="1"/>
  <c r="F102" i="22"/>
  <c r="H102" i="24" s="1"/>
  <c r="P102" i="24" s="1"/>
  <c r="F110" i="22"/>
  <c r="H110" i="22" s="1"/>
  <c r="F158" i="22"/>
  <c r="H158" i="24" s="1"/>
  <c r="F78" i="22"/>
  <c r="H78" i="24" s="1"/>
  <c r="P78" i="24" s="1"/>
  <c r="U38" i="24"/>
  <c r="S38" i="24" s="1"/>
  <c r="F86" i="22"/>
  <c r="H86" i="24" s="1"/>
  <c r="I86" i="24" s="1"/>
  <c r="F104" i="22"/>
  <c r="H104" i="24" s="1"/>
  <c r="I104" i="24" s="1"/>
  <c r="AU45" i="23"/>
  <c r="U157" i="24"/>
  <c r="S157" i="24" s="1"/>
  <c r="T74" i="24"/>
  <c r="R74" i="24" s="1"/>
  <c r="X74" i="24" s="1"/>
  <c r="T76" i="24"/>
  <c r="R76" i="24" s="1"/>
  <c r="X76" i="24" s="1"/>
  <c r="U175" i="24"/>
  <c r="S175" i="24" s="1"/>
  <c r="U120" i="24"/>
  <c r="S120" i="24" s="1"/>
  <c r="U17" i="24"/>
  <c r="S17" i="24" s="1"/>
  <c r="T93" i="24"/>
  <c r="R93" i="24" s="1"/>
  <c r="X93" i="24" s="1"/>
  <c r="T49" i="24"/>
  <c r="R49" i="24" s="1"/>
  <c r="X49" i="24" s="1"/>
  <c r="U12" i="24"/>
  <c r="S12" i="24" s="1"/>
  <c r="U114" i="24"/>
  <c r="S114" i="24" s="1"/>
  <c r="T46" i="24"/>
  <c r="R46" i="24" s="1"/>
  <c r="X46" i="24" s="1"/>
  <c r="U159" i="24"/>
  <c r="S159" i="24" s="1"/>
  <c r="U43" i="24"/>
  <c r="S43" i="24" s="1"/>
  <c r="U101" i="24"/>
  <c r="S101" i="24" s="1"/>
  <c r="U82" i="24"/>
  <c r="S82" i="24" s="1"/>
  <c r="T177" i="24"/>
  <c r="R177" i="24" s="1"/>
  <c r="X177" i="24" s="1"/>
  <c r="U80" i="24"/>
  <c r="S80" i="24" s="1"/>
  <c r="U167" i="24"/>
  <c r="S167" i="24" s="1"/>
  <c r="U166" i="24"/>
  <c r="S166" i="24" s="1"/>
  <c r="T29" i="24"/>
  <c r="R29" i="24" s="1"/>
  <c r="X29" i="24" s="1"/>
  <c r="T59" i="24"/>
  <c r="R59" i="24" s="1"/>
  <c r="X59" i="24" s="1"/>
  <c r="U111" i="24"/>
  <c r="S111" i="24" s="1"/>
  <c r="T180" i="24"/>
  <c r="R180" i="24" s="1"/>
  <c r="X180" i="24" s="1"/>
  <c r="T122" i="24"/>
  <c r="R122" i="24" s="1"/>
  <c r="X122" i="24" s="1"/>
  <c r="U129" i="24"/>
  <c r="S129" i="24" s="1"/>
  <c r="U107" i="24"/>
  <c r="S107" i="24" s="1"/>
  <c r="U27" i="24"/>
  <c r="S27" i="24" s="1"/>
  <c r="T15" i="24"/>
  <c r="R15" i="24" s="1"/>
  <c r="X15" i="24" s="1"/>
  <c r="U118" i="24"/>
  <c r="S118" i="24" s="1"/>
  <c r="U9" i="24"/>
  <c r="S9" i="24" s="1"/>
  <c r="U84" i="24"/>
  <c r="S84" i="24" s="1"/>
  <c r="T89" i="24"/>
  <c r="R89" i="24" s="1"/>
  <c r="X89" i="24" s="1"/>
  <c r="U168" i="24"/>
  <c r="S168" i="24" s="1"/>
  <c r="U127" i="24"/>
  <c r="S127" i="24" s="1"/>
  <c r="T34" i="24"/>
  <c r="R34" i="24" s="1"/>
  <c r="X34" i="24" s="1"/>
  <c r="U171" i="24"/>
  <c r="S171" i="24" s="1"/>
  <c r="T41" i="24"/>
  <c r="R41" i="24" s="1"/>
  <c r="X41" i="24" s="1"/>
  <c r="U31" i="24"/>
  <c r="S31" i="24" s="1"/>
  <c r="U81" i="24"/>
  <c r="S81" i="24" s="1"/>
  <c r="U128" i="24"/>
  <c r="S128" i="24" s="1"/>
  <c r="T128" i="24"/>
  <c r="R128" i="24" s="1"/>
  <c r="X128" i="24" s="1"/>
  <c r="T148" i="24"/>
  <c r="R148" i="24" s="1"/>
  <c r="X148" i="24" s="1"/>
  <c r="T135" i="24"/>
  <c r="R135" i="24" s="1"/>
  <c r="X135" i="24" s="1"/>
  <c r="U150" i="24"/>
  <c r="S150" i="24" s="1"/>
  <c r="U103" i="24"/>
  <c r="S103" i="24" s="1"/>
  <c r="U48" i="24"/>
  <c r="S48" i="24" s="1"/>
  <c r="T141" i="24"/>
  <c r="R141" i="24" s="1"/>
  <c r="X141" i="24" s="1"/>
  <c r="U144" i="24"/>
  <c r="S144" i="24" s="1"/>
  <c r="T172" i="24"/>
  <c r="R172" i="24" s="1"/>
  <c r="X172" i="24" s="1"/>
  <c r="T92" i="24"/>
  <c r="R92" i="24" s="1"/>
  <c r="X92" i="24" s="1"/>
  <c r="T96" i="24"/>
  <c r="R96" i="24" s="1"/>
  <c r="X96" i="24" s="1"/>
  <c r="T100" i="24"/>
  <c r="R100" i="24" s="1"/>
  <c r="X100" i="24" s="1"/>
  <c r="T109" i="24"/>
  <c r="R109" i="24" s="1"/>
  <c r="X109" i="24" s="1"/>
  <c r="U130" i="24"/>
  <c r="S130" i="24" s="1"/>
  <c r="U160" i="24"/>
  <c r="S160" i="24" s="1"/>
  <c r="U42" i="24"/>
  <c r="S42" i="24" s="1"/>
  <c r="T131" i="24"/>
  <c r="R131" i="24" s="1"/>
  <c r="X131" i="24" s="1"/>
  <c r="T98" i="24"/>
  <c r="R98" i="24" s="1"/>
  <c r="X98" i="24" s="1"/>
  <c r="U98" i="24"/>
  <c r="S98" i="24" s="1"/>
  <c r="U25" i="24"/>
  <c r="S25" i="24" s="1"/>
  <c r="U179" i="24"/>
  <c r="S179" i="24" s="1"/>
  <c r="T149" i="24"/>
  <c r="R149" i="24" s="1"/>
  <c r="X149" i="24" s="1"/>
  <c r="T125" i="24"/>
  <c r="R125" i="24" s="1"/>
  <c r="X125" i="24" s="1"/>
  <c r="G90" i="23"/>
  <c r="I90" i="23" s="1"/>
  <c r="G167" i="23"/>
  <c r="I167" i="23" s="1"/>
  <c r="G68" i="23"/>
  <c r="I68" i="23" s="1"/>
  <c r="U90" i="24"/>
  <c r="S90" i="24" s="1"/>
  <c r="U126" i="24"/>
  <c r="S126" i="24" s="1"/>
  <c r="G164" i="23"/>
  <c r="I164" i="23" s="1"/>
  <c r="U73" i="24"/>
  <c r="S73" i="24" s="1"/>
  <c r="T61" i="24"/>
  <c r="R61" i="24" s="1"/>
  <c r="X61" i="24" s="1"/>
  <c r="T105" i="24"/>
  <c r="R105" i="24" s="1"/>
  <c r="X105" i="24" s="1"/>
  <c r="U152" i="24"/>
  <c r="S152" i="24" s="1"/>
  <c r="U21" i="24"/>
  <c r="S21" i="24" s="1"/>
  <c r="G171" i="23"/>
  <c r="I171" i="23" s="1"/>
  <c r="G129" i="23"/>
  <c r="I129" i="23" s="1"/>
  <c r="U88" i="24"/>
  <c r="S88" i="24" s="1"/>
  <c r="T63" i="24"/>
  <c r="R63" i="24" s="1"/>
  <c r="X63" i="24" s="1"/>
  <c r="G92" i="23"/>
  <c r="I92" i="23" s="1"/>
  <c r="G70" i="23"/>
  <c r="I70" i="23" s="1"/>
  <c r="G105" i="23"/>
  <c r="I105" i="23" s="1"/>
  <c r="G126" i="23"/>
  <c r="I126" i="23" s="1"/>
  <c r="AD128" i="24"/>
  <c r="G103" i="23"/>
  <c r="I103" i="23" s="1"/>
  <c r="T173" i="24"/>
  <c r="R173" i="24" s="1"/>
  <c r="X173" i="24" s="1"/>
  <c r="T37" i="24"/>
  <c r="R37" i="24" s="1"/>
  <c r="X37" i="24" s="1"/>
  <c r="U37" i="24"/>
  <c r="S37" i="24" s="1"/>
  <c r="T77" i="24"/>
  <c r="R77" i="24" s="1"/>
  <c r="X77" i="24" s="1"/>
  <c r="U77" i="24"/>
  <c r="S77" i="24" s="1"/>
  <c r="T28" i="24"/>
  <c r="R28" i="24" s="1"/>
  <c r="X28" i="24" s="1"/>
  <c r="U28" i="24"/>
  <c r="S28" i="24" s="1"/>
  <c r="T14" i="24"/>
  <c r="R14" i="24" s="1"/>
  <c r="X14" i="24" s="1"/>
  <c r="U14" i="24"/>
  <c r="S14" i="24" s="1"/>
  <c r="T110" i="24"/>
  <c r="R110" i="24" s="1"/>
  <c r="X110" i="24" s="1"/>
  <c r="U110" i="24"/>
  <c r="S110" i="24" s="1"/>
  <c r="U57" i="24"/>
  <c r="S57" i="24" s="1"/>
  <c r="T57" i="24"/>
  <c r="R57" i="24" s="1"/>
  <c r="X57" i="24" s="1"/>
  <c r="U13" i="24"/>
  <c r="S13" i="24" s="1"/>
  <c r="T13" i="24"/>
  <c r="R13" i="24" s="1"/>
  <c r="X13" i="24" s="1"/>
  <c r="U70" i="24"/>
  <c r="S70" i="24" s="1"/>
  <c r="T70" i="24"/>
  <c r="R70" i="24" s="1"/>
  <c r="X70" i="24" s="1"/>
  <c r="U134" i="24"/>
  <c r="S134" i="24" s="1"/>
  <c r="T134" i="24"/>
  <c r="R134" i="24" s="1"/>
  <c r="X134" i="24" s="1"/>
  <c r="U24" i="24"/>
  <c r="S24" i="24" s="1"/>
  <c r="T24" i="24"/>
  <c r="R24" i="24" s="1"/>
  <c r="X24" i="24" s="1"/>
  <c r="T97" i="24"/>
  <c r="R97" i="24" s="1"/>
  <c r="X97" i="24" s="1"/>
  <c r="G123" i="23"/>
  <c r="I123" i="23" s="1"/>
  <c r="CL46" i="24"/>
  <c r="U162" i="24"/>
  <c r="S162" i="24" s="1"/>
  <c r="T75" i="24"/>
  <c r="R75" i="24" s="1"/>
  <c r="X75" i="24" s="1"/>
  <c r="U18" i="24"/>
  <c r="S18" i="24" s="1"/>
  <c r="U151" i="24"/>
  <c r="S151" i="24" s="1"/>
  <c r="G121" i="23"/>
  <c r="I121" i="23" s="1"/>
  <c r="G152" i="23"/>
  <c r="I152" i="23" s="1"/>
  <c r="T104" i="24"/>
  <c r="R104" i="24" s="1"/>
  <c r="X104" i="24" s="1"/>
  <c r="U52" i="24"/>
  <c r="S52" i="24" s="1"/>
  <c r="F131" i="22"/>
  <c r="H131" i="24" s="1"/>
  <c r="K131" i="24" s="1"/>
  <c r="G149" i="23"/>
  <c r="I149" i="23" s="1"/>
  <c r="G81" i="23"/>
  <c r="I81" i="23" s="1"/>
  <c r="U156" i="24"/>
  <c r="S156" i="24" s="1"/>
  <c r="U184" i="24"/>
  <c r="S184" i="24" s="1"/>
  <c r="F100" i="22"/>
  <c r="H100" i="24" s="1"/>
  <c r="P100" i="24" s="1"/>
  <c r="F65" i="22"/>
  <c r="H65" i="24" s="1"/>
  <c r="P65" i="24" s="1"/>
  <c r="G156" i="23"/>
  <c r="I156" i="23" s="1"/>
  <c r="AU44" i="23"/>
  <c r="G112" i="23"/>
  <c r="I112" i="23" s="1"/>
  <c r="G175" i="23"/>
  <c r="I175" i="23" s="1"/>
  <c r="G77" i="23"/>
  <c r="I77" i="23" s="1"/>
  <c r="G86" i="23"/>
  <c r="I86" i="23" s="1"/>
  <c r="BY55" i="24"/>
  <c r="G142" i="23"/>
  <c r="I142" i="23" s="1"/>
  <c r="G139" i="23"/>
  <c r="I139" i="23" s="1"/>
  <c r="G79" i="23"/>
  <c r="I79" i="23" s="1"/>
  <c r="G135" i="23"/>
  <c r="I135" i="23" s="1"/>
  <c r="G110" i="23"/>
  <c r="I110" i="23" s="1"/>
  <c r="G75" i="23"/>
  <c r="I75" i="23" s="1"/>
  <c r="I82" i="24"/>
  <c r="K82" i="24"/>
  <c r="G8" i="22"/>
  <c r="H8" i="24"/>
  <c r="P8" i="24" s="1"/>
  <c r="H72" i="22"/>
  <c r="G72" i="22"/>
  <c r="G63" i="23"/>
  <c r="G88" i="23"/>
  <c r="X4" i="24"/>
  <c r="Y11" i="24" s="1"/>
  <c r="K85" i="24"/>
  <c r="I135" i="24"/>
  <c r="K135" i="24"/>
  <c r="G83" i="23"/>
  <c r="G82" i="22"/>
  <c r="H82" i="22"/>
  <c r="G196" i="23"/>
  <c r="G220" i="23"/>
  <c r="G270" i="23"/>
  <c r="G227" i="23"/>
  <c r="G212" i="23"/>
  <c r="G229" i="23"/>
  <c r="G256" i="23"/>
  <c r="G215" i="23"/>
  <c r="G46" i="23"/>
  <c r="G37" i="23"/>
  <c r="G239" i="23"/>
  <c r="G233" i="23"/>
  <c r="G274" i="23"/>
  <c r="G258" i="23"/>
  <c r="G254" i="23"/>
  <c r="G218" i="23"/>
  <c r="G241" i="23"/>
  <c r="G206" i="23"/>
  <c r="G273" i="23"/>
  <c r="G56" i="23"/>
  <c r="G232" i="23"/>
  <c r="G54" i="23"/>
  <c r="G199" i="23"/>
  <c r="G38" i="23"/>
  <c r="G15" i="23"/>
  <c r="G34" i="23"/>
  <c r="G265" i="23"/>
  <c r="G223" i="23"/>
  <c r="G55" i="23"/>
  <c r="G36" i="23"/>
  <c r="G264" i="23"/>
  <c r="G269" i="23"/>
  <c r="G14" i="23"/>
  <c r="G19" i="23"/>
  <c r="G203" i="23"/>
  <c r="G12" i="23"/>
  <c r="G41" i="23"/>
  <c r="G47" i="23"/>
  <c r="G20" i="23"/>
  <c r="G11" i="23"/>
  <c r="G211" i="23"/>
  <c r="G39" i="23"/>
  <c r="G42" i="23"/>
  <c r="G25" i="23"/>
  <c r="G43" i="23"/>
  <c r="G259" i="23"/>
  <c r="G268" i="23"/>
  <c r="G50" i="23"/>
  <c r="G257" i="23"/>
  <c r="G277" i="23"/>
  <c r="G195" i="23"/>
  <c r="G31" i="23"/>
  <c r="G204" i="23"/>
  <c r="G190" i="23"/>
  <c r="G189" i="23"/>
  <c r="G222" i="23"/>
  <c r="G17" i="23"/>
  <c r="G10" i="23"/>
  <c r="G61" i="23"/>
  <c r="G52" i="23"/>
  <c r="G214" i="23"/>
  <c r="G22" i="23"/>
  <c r="G255" i="23"/>
  <c r="G33" i="23"/>
  <c r="G279" i="23"/>
  <c r="G238" i="23"/>
  <c r="G242" i="23"/>
  <c r="G230" i="23"/>
  <c r="G59" i="23"/>
  <c r="G224" i="23"/>
  <c r="G208" i="23"/>
  <c r="G30" i="23"/>
  <c r="G200" i="23"/>
  <c r="G51" i="23"/>
  <c r="G9" i="23"/>
  <c r="G236" i="23"/>
  <c r="G192" i="23"/>
  <c r="G205" i="23"/>
  <c r="G271" i="23"/>
  <c r="G40" i="23"/>
  <c r="G58" i="23"/>
  <c r="G49" i="23"/>
  <c r="G29" i="23"/>
  <c r="G16" i="23"/>
  <c r="G272" i="23"/>
  <c r="G48" i="23"/>
  <c r="G185" i="23"/>
  <c r="G262" i="23"/>
  <c r="G198" i="23"/>
  <c r="G191" i="23"/>
  <c r="G228" i="23"/>
  <c r="G197" i="23"/>
  <c r="G231" i="23"/>
  <c r="G28" i="23"/>
  <c r="G45" i="23"/>
  <c r="G44" i="23"/>
  <c r="G18" i="23"/>
  <c r="G216" i="23"/>
  <c r="G32" i="23"/>
  <c r="G221" i="23"/>
  <c r="G35" i="23"/>
  <c r="G57" i="23"/>
  <c r="G249" i="23"/>
  <c r="G186" i="23"/>
  <c r="G226" i="23"/>
  <c r="G27" i="23"/>
  <c r="G261" i="23"/>
  <c r="G13" i="23"/>
  <c r="G276" i="23"/>
  <c r="G26" i="23"/>
  <c r="G23" i="23"/>
  <c r="G21" i="23"/>
  <c r="G267" i="23"/>
  <c r="G53" i="23"/>
  <c r="G60" i="23"/>
  <c r="G24" i="23"/>
  <c r="G225" i="23"/>
  <c r="G213" i="23"/>
  <c r="G202" i="23"/>
  <c r="G237" i="23"/>
  <c r="G157" i="23"/>
  <c r="G251" i="23"/>
  <c r="G217" i="23"/>
  <c r="G281" i="23"/>
  <c r="G253" i="23"/>
  <c r="G201" i="23"/>
  <c r="G219" i="23"/>
  <c r="G248" i="23"/>
  <c r="G266" i="23"/>
  <c r="G260" i="23"/>
  <c r="G247" i="23"/>
  <c r="G245" i="23"/>
  <c r="G235" i="23"/>
  <c r="G207" i="23"/>
  <c r="G252" i="23"/>
  <c r="G209" i="23"/>
  <c r="G246" i="23"/>
  <c r="G193" i="23"/>
  <c r="G234" i="23"/>
  <c r="G240" i="23"/>
  <c r="G188" i="23"/>
  <c r="G243" i="23"/>
  <c r="G194" i="23"/>
  <c r="G278" i="23"/>
  <c r="G143" i="23"/>
  <c r="G172" i="23"/>
  <c r="G187" i="23"/>
  <c r="G263" i="23"/>
  <c r="G280" i="23"/>
  <c r="G210" i="23"/>
  <c r="G250" i="23"/>
  <c r="G275" i="23"/>
  <c r="G244" i="23"/>
  <c r="G147" i="23"/>
  <c r="G124" i="23"/>
  <c r="G154" i="23"/>
  <c r="G177" i="23"/>
  <c r="G122" i="23"/>
  <c r="G159" i="23"/>
  <c r="AH50" i="23"/>
  <c r="G108" i="23"/>
  <c r="G138" i="23"/>
  <c r="G176" i="23"/>
  <c r="G106" i="23"/>
  <c r="G78" i="23"/>
  <c r="G161" i="23"/>
  <c r="G104" i="23"/>
  <c r="G100" i="23"/>
  <c r="G141" i="23"/>
  <c r="G95" i="23"/>
  <c r="G158" i="23"/>
  <c r="G127" i="23"/>
  <c r="G162" i="23"/>
  <c r="G111" i="23"/>
  <c r="G72" i="23"/>
  <c r="G118" i="23"/>
  <c r="G125" i="23"/>
  <c r="G153" i="23"/>
  <c r="G84" i="23"/>
  <c r="G82" i="23"/>
  <c r="G89" i="23"/>
  <c r="G64" i="23"/>
  <c r="K73" i="24"/>
  <c r="G132" i="23"/>
  <c r="G166" i="23"/>
  <c r="G148" i="23"/>
  <c r="G170" i="23"/>
  <c r="G116" i="23"/>
  <c r="G181" i="23"/>
  <c r="G71" i="23"/>
  <c r="G117" i="23"/>
  <c r="G165" i="23"/>
  <c r="G62" i="23"/>
  <c r="G140" i="23"/>
  <c r="G169" i="23"/>
  <c r="G91" i="23"/>
  <c r="G133" i="23"/>
  <c r="G179" i="23"/>
  <c r="G67" i="23"/>
  <c r="G85" i="23"/>
  <c r="G134" i="23"/>
  <c r="G180" i="23"/>
  <c r="G128" i="23"/>
  <c r="G160" i="23"/>
  <c r="G115" i="23"/>
  <c r="G113" i="23"/>
  <c r="G99" i="23"/>
  <c r="G168" i="23"/>
  <c r="G182" i="23"/>
  <c r="G137" i="23"/>
  <c r="G74" i="23"/>
  <c r="G174" i="23"/>
  <c r="G76" i="23"/>
  <c r="G93" i="23"/>
  <c r="G136" i="23"/>
  <c r="G98" i="23"/>
  <c r="G173" i="23"/>
  <c r="G144" i="23"/>
  <c r="G183" i="23"/>
  <c r="G96" i="23"/>
  <c r="G145" i="23"/>
  <c r="G184" i="23"/>
  <c r="G109" i="23"/>
  <c r="G65" i="23"/>
  <c r="G107" i="23"/>
  <c r="G119" i="23"/>
  <c r="G73" i="23"/>
  <c r="G150" i="23"/>
  <c r="G69" i="23"/>
  <c r="G102" i="23"/>
  <c r="G8" i="23"/>
  <c r="G80" i="23"/>
  <c r="G120" i="23"/>
  <c r="G151" i="23"/>
  <c r="G87" i="23"/>
  <c r="G130" i="23"/>
  <c r="G155" i="23"/>
  <c r="G178" i="23"/>
  <c r="G94" i="23"/>
  <c r="Y151" i="24"/>
  <c r="Y25" i="24"/>
  <c r="Y91" i="24"/>
  <c r="I126" i="24"/>
  <c r="P126" i="24"/>
  <c r="K126" i="24"/>
  <c r="G163" i="23"/>
  <c r="G66" i="23"/>
  <c r="G146" i="23"/>
  <c r="G131" i="23"/>
  <c r="G114" i="23"/>
  <c r="Y101" i="24"/>
  <c r="Y48" i="24"/>
  <c r="I113" i="24"/>
  <c r="K113" i="24"/>
  <c r="AH55" i="23"/>
  <c r="G101" i="23"/>
  <c r="H72" i="24"/>
  <c r="P72" i="24" s="1"/>
  <c r="Y118" i="24"/>
  <c r="H71" i="22"/>
  <c r="G71" i="22"/>
  <c r="CL44" i="24"/>
  <c r="BY50" i="24"/>
  <c r="H135" i="22"/>
  <c r="G135" i="22"/>
  <c r="H113" i="22"/>
  <c r="G113" i="22"/>
  <c r="I85" i="24"/>
  <c r="P85" i="24"/>
  <c r="H126" i="22"/>
  <c r="G126" i="22"/>
  <c r="K151" i="24"/>
  <c r="H85" i="22"/>
  <c r="G85" i="22"/>
  <c r="I73" i="24"/>
  <c r="P73" i="24"/>
  <c r="I111" i="24"/>
  <c r="P111" i="24"/>
  <c r="K111" i="24"/>
  <c r="Y83" i="24"/>
  <c r="G73" i="22"/>
  <c r="H73" i="22"/>
  <c r="H151" i="22"/>
  <c r="G151" i="22"/>
  <c r="G104" i="22"/>
  <c r="H104" i="22"/>
  <c r="Y142" i="24"/>
  <c r="Y55" i="24"/>
  <c r="H71" i="24"/>
  <c r="P71" i="24" s="1"/>
  <c r="AU46" i="23"/>
  <c r="H111" i="22"/>
  <c r="G111" i="22"/>
  <c r="I131" i="24"/>
  <c r="P131" i="24"/>
  <c r="G131" i="22"/>
  <c r="H131" i="22"/>
  <c r="F9" i="22"/>
  <c r="F161" i="22"/>
  <c r="F147" i="22"/>
  <c r="F177" i="22"/>
  <c r="F155" i="22"/>
  <c r="F140" i="22"/>
  <c r="F172" i="22"/>
  <c r="F165" i="22"/>
  <c r="F108" i="22"/>
  <c r="F180" i="22"/>
  <c r="F182" i="22"/>
  <c r="F175" i="22"/>
  <c r="F142" i="22"/>
  <c r="F181" i="22"/>
  <c r="F160" i="22"/>
  <c r="F64" i="22"/>
  <c r="F15" i="22"/>
  <c r="F127" i="22"/>
  <c r="F132" i="22"/>
  <c r="F25" i="22"/>
  <c r="F124" i="22"/>
  <c r="F10" i="22"/>
  <c r="F87" i="22"/>
  <c r="F154" i="22"/>
  <c r="F178" i="22"/>
  <c r="F169" i="22"/>
  <c r="F81" i="22"/>
  <c r="F94" i="22"/>
  <c r="F83" i="22"/>
  <c r="F159" i="22"/>
  <c r="F76" i="22"/>
  <c r="F173" i="22"/>
  <c r="F117" i="22"/>
  <c r="F69" i="22"/>
  <c r="F62" i="22"/>
  <c r="F119" i="22"/>
  <c r="F139" i="22"/>
  <c r="F91" i="22"/>
  <c r="F27" i="22"/>
  <c r="F99" i="22"/>
  <c r="F37" i="22"/>
  <c r="F164" i="22"/>
  <c r="F31" i="22"/>
  <c r="F52" i="22"/>
  <c r="F156" i="22"/>
  <c r="F95" i="22"/>
  <c r="F107" i="22"/>
  <c r="F75" i="22"/>
  <c r="F26" i="22"/>
  <c r="F92" i="22"/>
  <c r="F46" i="22"/>
  <c r="F23" i="22"/>
  <c r="F17" i="22"/>
  <c r="F74" i="22"/>
  <c r="F70" i="22"/>
  <c r="F183" i="22"/>
  <c r="F67" i="22"/>
  <c r="F28" i="22"/>
  <c r="F53" i="22"/>
  <c r="F101" i="22"/>
  <c r="F48" i="22"/>
  <c r="F137" i="22"/>
  <c r="F163" i="22"/>
  <c r="F167" i="22"/>
  <c r="F56" i="22"/>
  <c r="F33" i="22"/>
  <c r="F80" i="22"/>
  <c r="F39" i="22"/>
  <c r="F66" i="22"/>
  <c r="F112" i="22"/>
  <c r="F13" i="22"/>
  <c r="F22" i="22"/>
  <c r="F42" i="22"/>
  <c r="F12" i="22"/>
  <c r="F63" i="22"/>
  <c r="F36" i="22"/>
  <c r="F103" i="22"/>
  <c r="F97" i="22"/>
  <c r="F171" i="22"/>
  <c r="F14" i="22"/>
  <c r="F136" i="22"/>
  <c r="F30" i="22"/>
  <c r="F130" i="22"/>
  <c r="F84" i="22"/>
  <c r="F123" i="22"/>
  <c r="F133" i="22"/>
  <c r="F96" i="22"/>
  <c r="F58" i="22"/>
  <c r="F89" i="22"/>
  <c r="F90" i="22"/>
  <c r="F93" i="22"/>
  <c r="F60" i="22"/>
  <c r="F157" i="22"/>
  <c r="F38" i="22"/>
  <c r="F150" i="22"/>
  <c r="F47" i="22"/>
  <c r="F144" i="22"/>
  <c r="F174" i="22"/>
  <c r="F118" i="22"/>
  <c r="F120" i="22"/>
  <c r="F40" i="22"/>
  <c r="F32" i="22"/>
  <c r="F141" i="22"/>
  <c r="F145" i="22"/>
  <c r="F184" i="22"/>
  <c r="F79" i="22"/>
  <c r="F11" i="22"/>
  <c r="F125" i="22"/>
  <c r="F24" i="22"/>
  <c r="F116" i="22"/>
  <c r="F34" i="22"/>
  <c r="F77" i="22"/>
  <c r="F114" i="22"/>
  <c r="F18" i="22"/>
  <c r="F170" i="22"/>
  <c r="F20" i="22"/>
  <c r="F51" i="22"/>
  <c r="F16" i="22"/>
  <c r="F45" i="22"/>
  <c r="F55" i="22"/>
  <c r="F176" i="22"/>
  <c r="F105" i="22"/>
  <c r="F134" i="22"/>
  <c r="F168" i="22"/>
  <c r="F50" i="22"/>
  <c r="F59" i="22"/>
  <c r="F153" i="22"/>
  <c r="F35" i="22"/>
  <c r="F106" i="22"/>
  <c r="F61" i="22"/>
  <c r="F54" i="22"/>
  <c r="F49" i="22"/>
  <c r="F43" i="22"/>
  <c r="F41" i="22"/>
  <c r="F57" i="22"/>
  <c r="F21" i="22"/>
  <c r="F19" i="22"/>
  <c r="F98" i="22"/>
  <c r="F29" i="22"/>
  <c r="P113" i="24"/>
  <c r="P82" i="24"/>
  <c r="F44" i="22"/>
  <c r="P104" i="24"/>
  <c r="P151" i="24"/>
  <c r="P135" i="24"/>
  <c r="AH56" i="23"/>
  <c r="H115" i="22" l="1"/>
  <c r="P115" i="24"/>
  <c r="K115" i="24"/>
  <c r="G115" i="22"/>
  <c r="Y69" i="24"/>
  <c r="G158" i="22"/>
  <c r="H158" i="22"/>
  <c r="H152" i="22"/>
  <c r="G152" i="22"/>
  <c r="P152" i="24"/>
  <c r="K6" i="24" a="1"/>
  <c r="K6" i="24" s="1"/>
  <c r="H78" i="22"/>
  <c r="Y14" i="24"/>
  <c r="G148" i="22"/>
  <c r="H148" i="22"/>
  <c r="P148" i="24"/>
  <c r="K148" i="24"/>
  <c r="K78" i="24"/>
  <c r="I78" i="24"/>
  <c r="G78" i="22"/>
  <c r="K146" i="24"/>
  <c r="I146" i="24"/>
  <c r="H138" i="24"/>
  <c r="P138" i="24" s="1"/>
  <c r="G146" i="22"/>
  <c r="H146" i="22"/>
  <c r="G138" i="22"/>
  <c r="H179" i="22"/>
  <c r="Y85" i="24"/>
  <c r="Y161" i="24"/>
  <c r="Y178" i="24"/>
  <c r="Y99" i="24"/>
  <c r="Y162" i="24"/>
  <c r="Y23" i="24"/>
  <c r="Y56" i="24"/>
  <c r="Y169" i="24"/>
  <c r="Y22" i="24"/>
  <c r="Y164" i="24"/>
  <c r="Y93" i="24"/>
  <c r="Y126" i="24"/>
  <c r="Y144" i="24"/>
  <c r="Y133" i="24"/>
  <c r="Y36" i="24"/>
  <c r="Y127" i="24"/>
  <c r="Y61" i="24"/>
  <c r="Y67" i="24"/>
  <c r="Y129" i="24"/>
  <c r="Y103" i="24"/>
  <c r="Y111" i="24"/>
  <c r="Y166" i="24"/>
  <c r="Y171" i="24"/>
  <c r="Y130" i="24"/>
  <c r="Y155" i="24"/>
  <c r="Y114" i="24"/>
  <c r="Y158" i="24"/>
  <c r="Y147" i="24"/>
  <c r="Y120" i="24"/>
  <c r="Y170" i="24"/>
  <c r="Y65" i="24"/>
  <c r="Y54" i="24"/>
  <c r="Y71" i="24"/>
  <c r="Y168" i="24"/>
  <c r="Y84" i="24"/>
  <c r="Y138" i="24"/>
  <c r="Y9" i="24"/>
  <c r="Y89" i="24"/>
  <c r="Y53" i="24"/>
  <c r="Y12" i="24"/>
  <c r="Y108" i="24"/>
  <c r="Y16" i="24"/>
  <c r="Y38" i="24"/>
  <c r="Y145" i="24"/>
  <c r="Y136" i="24"/>
  <c r="Y152" i="24"/>
  <c r="Y80" i="24"/>
  <c r="Y88" i="24"/>
  <c r="K104" i="24"/>
  <c r="Y31" i="24"/>
  <c r="Y167" i="24"/>
  <c r="Y78" i="24"/>
  <c r="Y18" i="24"/>
  <c r="Y119" i="24"/>
  <c r="Y33" i="24"/>
  <c r="Y43" i="24"/>
  <c r="Y17" i="24"/>
  <c r="Y121" i="24"/>
  <c r="Y159" i="24"/>
  <c r="Y34" i="24"/>
  <c r="Y175" i="24"/>
  <c r="Y68" i="24"/>
  <c r="Y123" i="24"/>
  <c r="Y27" i="24"/>
  <c r="Y156" i="24"/>
  <c r="Y94" i="24"/>
  <c r="Y35" i="24"/>
  <c r="Y72" i="24"/>
  <c r="Y30" i="24"/>
  <c r="Y52" i="24"/>
  <c r="K152" i="24"/>
  <c r="I179" i="24"/>
  <c r="K86" i="24"/>
  <c r="G86" i="22"/>
  <c r="Y105" i="24"/>
  <c r="Y117" i="24"/>
  <c r="I68" i="24"/>
  <c r="Y113" i="24"/>
  <c r="G143" i="22"/>
  <c r="H121" i="22"/>
  <c r="K121" i="24"/>
  <c r="P68" i="24"/>
  <c r="G179" i="22"/>
  <c r="H86" i="22"/>
  <c r="G121" i="22"/>
  <c r="I121" i="24"/>
  <c r="P86" i="24"/>
  <c r="H68" i="22"/>
  <c r="P179" i="24"/>
  <c r="G68" i="22"/>
  <c r="G166" i="22"/>
  <c r="K109" i="24"/>
  <c r="P166" i="24"/>
  <c r="H166" i="22"/>
  <c r="I109" i="24"/>
  <c r="H109" i="22"/>
  <c r="G109" i="22"/>
  <c r="K166" i="24"/>
  <c r="P143" i="24"/>
  <c r="I143" i="24"/>
  <c r="H143" i="22"/>
  <c r="P129" i="24"/>
  <c r="H129" i="22"/>
  <c r="Y37" i="24"/>
  <c r="Y149" i="24"/>
  <c r="Y74" i="24"/>
  <c r="Y64" i="24"/>
  <c r="I128" i="24"/>
  <c r="G128" i="22"/>
  <c r="H128" i="22"/>
  <c r="P128" i="24"/>
  <c r="I149" i="24"/>
  <c r="Y15" i="24"/>
  <c r="G149" i="22"/>
  <c r="H149" i="22"/>
  <c r="G100" i="22"/>
  <c r="P149" i="24"/>
  <c r="Y95" i="24"/>
  <c r="H156" i="23"/>
  <c r="Y109" i="24"/>
  <c r="Y128" i="24"/>
  <c r="Y112" i="24"/>
  <c r="Y44" i="24"/>
  <c r="Y115" i="24"/>
  <c r="H102" i="22"/>
  <c r="G102" i="22"/>
  <c r="K102" i="24"/>
  <c r="I102" i="24"/>
  <c r="Y51" i="24"/>
  <c r="G162" i="22"/>
  <c r="Y172" i="24"/>
  <c r="Y20" i="24"/>
  <c r="Y66" i="24"/>
  <c r="H122" i="22"/>
  <c r="K122" i="24"/>
  <c r="P122" i="24"/>
  <c r="G129" i="22"/>
  <c r="G122" i="22"/>
  <c r="G88" i="22"/>
  <c r="P88" i="24"/>
  <c r="H88" i="22"/>
  <c r="K129" i="24"/>
  <c r="K88" i="24"/>
  <c r="Y153" i="24"/>
  <c r="Y75" i="24"/>
  <c r="Y177" i="24"/>
  <c r="AM6" i="24" a="1"/>
  <c r="AM6" i="24" s="1"/>
  <c r="K100" i="24"/>
  <c r="I100" i="24"/>
  <c r="H100" i="22"/>
  <c r="Y131" i="24"/>
  <c r="Y59" i="24"/>
  <c r="Y76" i="24"/>
  <c r="Y28" i="24"/>
  <c r="Y63" i="24"/>
  <c r="Y148" i="24"/>
  <c r="P162" i="24"/>
  <c r="K162" i="24"/>
  <c r="H162" i="22"/>
  <c r="H110" i="24"/>
  <c r="I110" i="24" s="1"/>
  <c r="G110" i="22"/>
  <c r="Y176" i="24"/>
  <c r="Y173" i="24"/>
  <c r="Y98" i="24"/>
  <c r="Y137" i="24"/>
  <c r="Y70" i="24"/>
  <c r="Y13" i="24"/>
  <c r="Y174" i="24"/>
  <c r="Y86" i="24"/>
  <c r="Y26" i="24"/>
  <c r="Y79" i="24"/>
  <c r="Y24" i="24"/>
  <c r="G65" i="22"/>
  <c r="H65" i="22"/>
  <c r="K65" i="24"/>
  <c r="I65" i="24"/>
  <c r="Y135" i="24"/>
  <c r="Y125" i="24"/>
  <c r="Y96" i="24"/>
  <c r="Y104" i="24"/>
  <c r="Y134" i="24"/>
  <c r="Y49" i="24"/>
  <c r="Y58" i="24"/>
  <c r="H110" i="23"/>
  <c r="Y57" i="24"/>
  <c r="Y182" i="24"/>
  <c r="Y181" i="24"/>
  <c r="Y10" i="24"/>
  <c r="Y122" i="24"/>
  <c r="Y163" i="24"/>
  <c r="Y87" i="24"/>
  <c r="H79" i="23"/>
  <c r="Y29" i="24"/>
  <c r="Y46" i="24"/>
  <c r="Y100" i="24"/>
  <c r="H68" i="23"/>
  <c r="Y150" i="24"/>
  <c r="Y157" i="24"/>
  <c r="Y110" i="24"/>
  <c r="Y132" i="24"/>
  <c r="Y143" i="24"/>
  <c r="Y90" i="24"/>
  <c r="Y140" i="24"/>
  <c r="Y180" i="24"/>
  <c r="Y179" i="24"/>
  <c r="Y97" i="24"/>
  <c r="Y92" i="24"/>
  <c r="Y39" i="24"/>
  <c r="H176" i="22"/>
  <c r="G176" i="22"/>
  <c r="H176" i="24"/>
  <c r="H24" i="22"/>
  <c r="G24" i="22"/>
  <c r="H24" i="24"/>
  <c r="H144" i="22"/>
  <c r="G144" i="22"/>
  <c r="H144" i="24"/>
  <c r="H123" i="22"/>
  <c r="G123" i="22"/>
  <c r="H123" i="24"/>
  <c r="G42" i="22"/>
  <c r="H42" i="22"/>
  <c r="H42" i="24"/>
  <c r="G48" i="22"/>
  <c r="H48" i="22"/>
  <c r="H48" i="24"/>
  <c r="G26" i="22"/>
  <c r="H26" i="22"/>
  <c r="H26" i="24"/>
  <c r="G139" i="22"/>
  <c r="H139" i="22"/>
  <c r="H139" i="24"/>
  <c r="H178" i="24"/>
  <c r="G178" i="22"/>
  <c r="H178" i="22"/>
  <c r="H142" i="24"/>
  <c r="H142" i="22"/>
  <c r="G142" i="22"/>
  <c r="H9" i="24"/>
  <c r="H9" i="22"/>
  <c r="G9" i="22"/>
  <c r="H131" i="23"/>
  <c r="I131" i="23"/>
  <c r="I163" i="23"/>
  <c r="H163" i="23"/>
  <c r="H102" i="23"/>
  <c r="I102" i="23"/>
  <c r="I145" i="23"/>
  <c r="H145" i="23"/>
  <c r="H182" i="23"/>
  <c r="I182" i="23"/>
  <c r="H67" i="23"/>
  <c r="I67" i="23"/>
  <c r="AD104" i="24"/>
  <c r="AB104" i="24"/>
  <c r="AD75" i="24"/>
  <c r="AB75" i="24"/>
  <c r="H111" i="23"/>
  <c r="I111" i="23"/>
  <c r="AD105" i="24"/>
  <c r="AB105" i="24"/>
  <c r="AD129" i="24"/>
  <c r="AB129" i="24"/>
  <c r="H244" i="23"/>
  <c r="I244" i="23"/>
  <c r="AD140" i="24"/>
  <c r="AB140" i="24"/>
  <c r="AD109" i="24"/>
  <c r="AB109" i="24"/>
  <c r="AD107" i="24"/>
  <c r="AB107" i="24"/>
  <c r="AD9" i="24"/>
  <c r="AB9" i="24"/>
  <c r="AD27" i="24"/>
  <c r="AB27" i="24"/>
  <c r="H260" i="23"/>
  <c r="I260" i="23"/>
  <c r="H281" i="23"/>
  <c r="I281" i="23"/>
  <c r="AD59" i="24"/>
  <c r="AB59" i="24"/>
  <c r="I60" i="23"/>
  <c r="H60" i="23"/>
  <c r="I276" i="23"/>
  <c r="H276" i="23"/>
  <c r="AB179" i="24"/>
  <c r="AD179" i="24"/>
  <c r="I45" i="23"/>
  <c r="H45" i="23"/>
  <c r="I185" i="23"/>
  <c r="H185" i="23"/>
  <c r="AD132" i="24"/>
  <c r="AB132" i="24"/>
  <c r="H200" i="23"/>
  <c r="I200" i="23"/>
  <c r="I238" i="23"/>
  <c r="H238" i="23"/>
  <c r="AD66" i="24"/>
  <c r="AB66" i="24"/>
  <c r="I31" i="23"/>
  <c r="H31" i="23"/>
  <c r="H268" i="23"/>
  <c r="I268" i="23"/>
  <c r="AB155" i="24"/>
  <c r="AD155" i="24"/>
  <c r="AD124" i="24"/>
  <c r="AB124" i="24"/>
  <c r="AB164" i="24"/>
  <c r="AD164" i="24"/>
  <c r="H206" i="23"/>
  <c r="I206" i="23"/>
  <c r="I229" i="23"/>
  <c r="H229" i="23"/>
  <c r="H90" i="23"/>
  <c r="AB112" i="24"/>
  <c r="AD112" i="24"/>
  <c r="G49" i="22"/>
  <c r="H49" i="22"/>
  <c r="H49" i="24"/>
  <c r="G55" i="22"/>
  <c r="H55" i="24"/>
  <c r="H55" i="22"/>
  <c r="H125" i="22"/>
  <c r="G125" i="22"/>
  <c r="H125" i="24"/>
  <c r="G47" i="22"/>
  <c r="H47" i="22"/>
  <c r="H47" i="24"/>
  <c r="H84" i="22"/>
  <c r="G84" i="22"/>
  <c r="H84" i="24"/>
  <c r="H22" i="22"/>
  <c r="G22" i="22"/>
  <c r="H22" i="24"/>
  <c r="H101" i="22"/>
  <c r="G101" i="22"/>
  <c r="H101" i="24"/>
  <c r="H75" i="24"/>
  <c r="H75" i="22"/>
  <c r="G75" i="22"/>
  <c r="G119" i="22"/>
  <c r="H119" i="22"/>
  <c r="H119" i="24"/>
  <c r="G154" i="22"/>
  <c r="H154" i="22"/>
  <c r="H154" i="24"/>
  <c r="H175" i="22"/>
  <c r="G175" i="22"/>
  <c r="H175" i="24"/>
  <c r="I146" i="23"/>
  <c r="H146" i="23"/>
  <c r="AB94" i="24"/>
  <c r="AD94" i="24"/>
  <c r="H94" i="23"/>
  <c r="I94" i="23"/>
  <c r="H69" i="23"/>
  <c r="I69" i="23"/>
  <c r="H96" i="23"/>
  <c r="I96" i="23"/>
  <c r="H168" i="23"/>
  <c r="I168" i="23"/>
  <c r="H179" i="23"/>
  <c r="I179" i="23"/>
  <c r="H170" i="23"/>
  <c r="I170" i="23"/>
  <c r="AD91" i="24"/>
  <c r="AB91" i="24"/>
  <c r="I162" i="23"/>
  <c r="H162" i="23"/>
  <c r="H106" i="23"/>
  <c r="I106" i="23"/>
  <c r="AD12" i="24"/>
  <c r="AB12" i="24"/>
  <c r="I275" i="23"/>
  <c r="H275" i="23"/>
  <c r="AD138" i="24"/>
  <c r="AB138" i="24"/>
  <c r="I172" i="23"/>
  <c r="H172" i="23"/>
  <c r="I240" i="23"/>
  <c r="H240" i="23"/>
  <c r="AD163" i="24"/>
  <c r="AB163" i="24"/>
  <c r="I207" i="23"/>
  <c r="H207" i="23"/>
  <c r="I266" i="23"/>
  <c r="H266" i="23"/>
  <c r="AB160" i="24"/>
  <c r="AD160" i="24"/>
  <c r="AB161" i="24"/>
  <c r="AD161" i="24"/>
  <c r="AD69" i="24"/>
  <c r="AB69" i="24"/>
  <c r="I13" i="23"/>
  <c r="H13" i="23"/>
  <c r="AD52" i="24"/>
  <c r="AB52" i="24"/>
  <c r="I28" i="23"/>
  <c r="H28" i="23"/>
  <c r="I48" i="23"/>
  <c r="H48" i="23"/>
  <c r="AD41" i="24"/>
  <c r="AB41" i="24"/>
  <c r="AD16" i="24"/>
  <c r="AB16" i="24"/>
  <c r="I279" i="23"/>
  <c r="H279" i="23"/>
  <c r="I52" i="23"/>
  <c r="H52" i="23"/>
  <c r="I195" i="23"/>
  <c r="H195" i="23"/>
  <c r="I259" i="23"/>
  <c r="H259" i="23"/>
  <c r="AB19" i="24"/>
  <c r="AD19" i="24"/>
  <c r="AD48" i="24"/>
  <c r="AB48" i="24"/>
  <c r="AB184" i="24"/>
  <c r="AD184" i="24"/>
  <c r="H241" i="23"/>
  <c r="I241" i="23"/>
  <c r="I212" i="23"/>
  <c r="H212" i="23"/>
  <c r="G54" i="22"/>
  <c r="H54" i="22"/>
  <c r="H54" i="24"/>
  <c r="H45" i="22"/>
  <c r="G45" i="22"/>
  <c r="H45" i="24"/>
  <c r="G11" i="22"/>
  <c r="H11" i="22"/>
  <c r="H11" i="24"/>
  <c r="H150" i="22"/>
  <c r="G150" i="22"/>
  <c r="H150" i="24"/>
  <c r="H130" i="22"/>
  <c r="G130" i="22"/>
  <c r="H130" i="24"/>
  <c r="G13" i="22"/>
  <c r="H13" i="22"/>
  <c r="H13" i="24"/>
  <c r="G53" i="22"/>
  <c r="H53" i="22"/>
  <c r="H53" i="24"/>
  <c r="H107" i="24"/>
  <c r="H107" i="22"/>
  <c r="G107" i="22"/>
  <c r="H62" i="24"/>
  <c r="H62" i="22"/>
  <c r="G62" i="22"/>
  <c r="H87" i="22"/>
  <c r="G87" i="22"/>
  <c r="H87" i="24"/>
  <c r="H182" i="22"/>
  <c r="H182" i="24"/>
  <c r="G182" i="22"/>
  <c r="H178" i="23"/>
  <c r="I178" i="23"/>
  <c r="H150" i="23"/>
  <c r="I150" i="23"/>
  <c r="I183" i="23"/>
  <c r="H183" i="23"/>
  <c r="I99" i="23"/>
  <c r="H99" i="23"/>
  <c r="I133" i="23"/>
  <c r="H133" i="23"/>
  <c r="H148" i="23"/>
  <c r="I148" i="23"/>
  <c r="AD77" i="24"/>
  <c r="AB77" i="24"/>
  <c r="H127" i="23"/>
  <c r="I127" i="23"/>
  <c r="I176" i="23"/>
  <c r="H176" i="23"/>
  <c r="AD169" i="24"/>
  <c r="AB169" i="24"/>
  <c r="AB57" i="24"/>
  <c r="AD57" i="24"/>
  <c r="I263" i="23"/>
  <c r="H263" i="23"/>
  <c r="I143" i="23"/>
  <c r="H143" i="23"/>
  <c r="AD23" i="24"/>
  <c r="AB23" i="24"/>
  <c r="AD130" i="24"/>
  <c r="AB130" i="24"/>
  <c r="AD152" i="24"/>
  <c r="AB152" i="24"/>
  <c r="I248" i="23"/>
  <c r="H248" i="23"/>
  <c r="I217" i="23"/>
  <c r="H217" i="23"/>
  <c r="AB148" i="24"/>
  <c r="AD148" i="24"/>
  <c r="AD70" i="24"/>
  <c r="AB70" i="24"/>
  <c r="AD32" i="24"/>
  <c r="AB32" i="24"/>
  <c r="AD14" i="24"/>
  <c r="AB14" i="24"/>
  <c r="H231" i="23"/>
  <c r="I231" i="23"/>
  <c r="I272" i="23"/>
  <c r="H272" i="23"/>
  <c r="AD172" i="24"/>
  <c r="AB172" i="24"/>
  <c r="AD81" i="24"/>
  <c r="Z4" i="24"/>
  <c r="AA128" i="24" s="1"/>
  <c r="AB81" i="24"/>
  <c r="AD17" i="24"/>
  <c r="AB17" i="24"/>
  <c r="I61" i="23"/>
  <c r="H61" i="23"/>
  <c r="AD33" i="24"/>
  <c r="AB33" i="24"/>
  <c r="H43" i="23"/>
  <c r="I43" i="23"/>
  <c r="H11" i="23"/>
  <c r="I11" i="23"/>
  <c r="I269" i="23"/>
  <c r="H269" i="23"/>
  <c r="AB24" i="24"/>
  <c r="AD24" i="24"/>
  <c r="H218" i="23"/>
  <c r="I218" i="23"/>
  <c r="I227" i="23"/>
  <c r="H227" i="23"/>
  <c r="H43" i="22"/>
  <c r="G43" i="22"/>
  <c r="H43" i="24"/>
  <c r="G61" i="22"/>
  <c r="H61" i="22"/>
  <c r="H61" i="24"/>
  <c r="H16" i="22"/>
  <c r="G16" i="22"/>
  <c r="H16" i="24"/>
  <c r="H79" i="22"/>
  <c r="G79" i="22"/>
  <c r="H79" i="24"/>
  <c r="H38" i="22"/>
  <c r="G38" i="22"/>
  <c r="H38" i="24"/>
  <c r="H30" i="22"/>
  <c r="G30" i="22"/>
  <c r="H30" i="24"/>
  <c r="H112" i="22"/>
  <c r="G112" i="22"/>
  <c r="H112" i="24"/>
  <c r="H28" i="22"/>
  <c r="G28" i="22"/>
  <c r="H28" i="24"/>
  <c r="H95" i="22"/>
  <c r="G95" i="22"/>
  <c r="H95" i="24"/>
  <c r="H69" i="24"/>
  <c r="H69" i="22"/>
  <c r="G69" i="22"/>
  <c r="H10" i="22"/>
  <c r="G10" i="22"/>
  <c r="H10" i="24"/>
  <c r="H180" i="24"/>
  <c r="H180" i="22"/>
  <c r="G180" i="22"/>
  <c r="H155" i="23"/>
  <c r="I155" i="23"/>
  <c r="H73" i="23"/>
  <c r="I73" i="23"/>
  <c r="H144" i="23"/>
  <c r="I144" i="23"/>
  <c r="AB117" i="24"/>
  <c r="AD117" i="24"/>
  <c r="I91" i="23"/>
  <c r="H91" i="23"/>
  <c r="AD98" i="24"/>
  <c r="AB98" i="24"/>
  <c r="H82" i="23"/>
  <c r="I82" i="23"/>
  <c r="H158" i="23"/>
  <c r="I158" i="23"/>
  <c r="H138" i="23"/>
  <c r="I138" i="23"/>
  <c r="AD85" i="24"/>
  <c r="AB85" i="24"/>
  <c r="H250" i="23"/>
  <c r="I250" i="23"/>
  <c r="AD167" i="24"/>
  <c r="AB167" i="24"/>
  <c r="H278" i="23"/>
  <c r="I278" i="23"/>
  <c r="AD15" i="24"/>
  <c r="AB15" i="24"/>
  <c r="AD183" i="24"/>
  <c r="AB183" i="24"/>
  <c r="AD154" i="24"/>
  <c r="AB154" i="24"/>
  <c r="H219" i="23"/>
  <c r="I219" i="23"/>
  <c r="I251" i="23"/>
  <c r="H251" i="23"/>
  <c r="AB54" i="24"/>
  <c r="AD54" i="24"/>
  <c r="AD133" i="24"/>
  <c r="AB133" i="24"/>
  <c r="I261" i="23"/>
  <c r="H261" i="23"/>
  <c r="AD156" i="24"/>
  <c r="AB156" i="24"/>
  <c r="AB30" i="24"/>
  <c r="AD30" i="24"/>
  <c r="I16" i="23"/>
  <c r="H16" i="23"/>
  <c r="I205" i="23"/>
  <c r="H205" i="23"/>
  <c r="I30" i="23"/>
  <c r="H30" i="23"/>
  <c r="AD37" i="24"/>
  <c r="AB37" i="24"/>
  <c r="H10" i="23"/>
  <c r="I10" i="23"/>
  <c r="AD11" i="24"/>
  <c r="AB11" i="24"/>
  <c r="I25" i="23"/>
  <c r="H25" i="23"/>
  <c r="H20" i="23"/>
  <c r="I20" i="23"/>
  <c r="I264" i="23"/>
  <c r="H264" i="23"/>
  <c r="H34" i="23"/>
  <c r="I34" i="23"/>
  <c r="I254" i="23"/>
  <c r="H254" i="23"/>
  <c r="I270" i="23"/>
  <c r="H270" i="23"/>
  <c r="Y102" i="24"/>
  <c r="G106" i="22"/>
  <c r="H106" i="22"/>
  <c r="H106" i="24"/>
  <c r="H156" i="22"/>
  <c r="G156" i="22"/>
  <c r="H156" i="24"/>
  <c r="H117" i="24"/>
  <c r="H117" i="22"/>
  <c r="G117" i="22"/>
  <c r="H124" i="22"/>
  <c r="G124" i="22"/>
  <c r="H124" i="24"/>
  <c r="H108" i="24"/>
  <c r="H108" i="22"/>
  <c r="G108" i="22"/>
  <c r="I130" i="23"/>
  <c r="H130" i="23"/>
  <c r="I119" i="23"/>
  <c r="H119" i="23"/>
  <c r="H173" i="23"/>
  <c r="I173" i="23"/>
  <c r="H113" i="23"/>
  <c r="I113" i="23"/>
  <c r="H169" i="23"/>
  <c r="I169" i="23"/>
  <c r="AD76" i="24"/>
  <c r="AB76" i="24"/>
  <c r="H84" i="23"/>
  <c r="I84" i="23"/>
  <c r="AB8" i="24"/>
  <c r="AD8" i="24"/>
  <c r="I108" i="23"/>
  <c r="H108" i="23"/>
  <c r="AD136" i="24"/>
  <c r="AB136" i="24"/>
  <c r="H210" i="23"/>
  <c r="I210" i="23"/>
  <c r="I187" i="23"/>
  <c r="H187" i="23"/>
  <c r="AB65" i="24"/>
  <c r="AD65" i="24"/>
  <c r="AD49" i="24"/>
  <c r="AB49" i="24"/>
  <c r="AB106" i="24"/>
  <c r="AD106" i="24"/>
  <c r="I235" i="23"/>
  <c r="H235" i="23"/>
  <c r="H157" i="23"/>
  <c r="I157" i="23"/>
  <c r="H213" i="23"/>
  <c r="I213" i="23"/>
  <c r="AD51" i="24"/>
  <c r="AB51" i="24"/>
  <c r="I27" i="23"/>
  <c r="H27" i="23"/>
  <c r="H249" i="23"/>
  <c r="I249" i="23"/>
  <c r="AB44" i="24"/>
  <c r="AD44" i="24"/>
  <c r="H29" i="23"/>
  <c r="I29" i="23"/>
  <c r="I192" i="23"/>
  <c r="H192" i="23"/>
  <c r="H208" i="23"/>
  <c r="I208" i="23"/>
  <c r="AD45" i="24"/>
  <c r="AB45" i="24"/>
  <c r="H17" i="23"/>
  <c r="I17" i="23"/>
  <c r="AD63" i="24"/>
  <c r="AB63" i="24"/>
  <c r="H42" i="23"/>
  <c r="I42" i="23"/>
  <c r="H47" i="23"/>
  <c r="I47" i="23"/>
  <c r="AD38" i="24"/>
  <c r="AB38" i="24"/>
  <c r="I15" i="23"/>
  <c r="H15" i="23"/>
  <c r="I258" i="23"/>
  <c r="H258" i="23"/>
  <c r="I220" i="23"/>
  <c r="H220" i="23"/>
  <c r="Y106" i="24"/>
  <c r="Y81" i="24"/>
  <c r="Y42" i="24"/>
  <c r="H77" i="23"/>
  <c r="H164" i="23"/>
  <c r="H97" i="23"/>
  <c r="H66" i="22"/>
  <c r="G66" i="22"/>
  <c r="H66" i="24"/>
  <c r="H35" i="22"/>
  <c r="G35" i="22"/>
  <c r="H35" i="24"/>
  <c r="H183" i="22"/>
  <c r="G183" i="22"/>
  <c r="H183" i="24"/>
  <c r="H87" i="23"/>
  <c r="I87" i="23"/>
  <c r="H107" i="23"/>
  <c r="I107" i="23"/>
  <c r="H98" i="23"/>
  <c r="I98" i="23"/>
  <c r="AD89" i="24"/>
  <c r="AB89" i="24"/>
  <c r="H140" i="23"/>
  <c r="I140" i="23"/>
  <c r="H166" i="23"/>
  <c r="I166" i="23"/>
  <c r="H153" i="23"/>
  <c r="I153" i="23"/>
  <c r="I95" i="23"/>
  <c r="H95" i="23"/>
  <c r="BY53" i="24"/>
  <c r="AH53" i="23"/>
  <c r="AD13" i="24"/>
  <c r="AB13" i="24"/>
  <c r="AD102" i="24"/>
  <c r="AB102" i="24"/>
  <c r="AD95" i="24"/>
  <c r="AB95" i="24"/>
  <c r="AD78" i="24"/>
  <c r="AB78" i="24"/>
  <c r="I234" i="23"/>
  <c r="H234" i="23"/>
  <c r="H209" i="23"/>
  <c r="I209" i="23"/>
  <c r="I245" i="23"/>
  <c r="H245" i="23"/>
  <c r="AB74" i="24"/>
  <c r="AD74" i="24"/>
  <c r="H237" i="23"/>
  <c r="I237" i="23"/>
  <c r="I225" i="23"/>
  <c r="H225" i="23"/>
  <c r="AD58" i="24"/>
  <c r="AB58" i="24"/>
  <c r="I226" i="23"/>
  <c r="H226" i="23"/>
  <c r="I57" i="23"/>
  <c r="H57" i="23"/>
  <c r="AB178" i="24"/>
  <c r="AD178" i="24"/>
  <c r="I49" i="23"/>
  <c r="H49" i="23"/>
  <c r="H236" i="23"/>
  <c r="I236" i="23"/>
  <c r="H224" i="23"/>
  <c r="I224" i="23"/>
  <c r="AD118" i="24"/>
  <c r="AB118" i="24"/>
  <c r="I222" i="23"/>
  <c r="H222" i="23"/>
  <c r="AD123" i="24"/>
  <c r="AB123" i="24"/>
  <c r="H39" i="23"/>
  <c r="I39" i="23"/>
  <c r="H41" i="23"/>
  <c r="I41" i="23"/>
  <c r="AD134" i="24"/>
  <c r="AB134" i="24"/>
  <c r="I38" i="23"/>
  <c r="H38" i="23"/>
  <c r="I274" i="23"/>
  <c r="H274" i="23"/>
  <c r="H196" i="23"/>
  <c r="I196" i="23"/>
  <c r="Y73" i="24"/>
  <c r="Y107" i="24"/>
  <c r="Y139" i="24"/>
  <c r="Y146" i="24"/>
  <c r="Y165" i="24"/>
  <c r="H92" i="23"/>
  <c r="H167" i="23"/>
  <c r="H105" i="23"/>
  <c r="G67" i="22"/>
  <c r="H67" i="22"/>
  <c r="H67" i="24"/>
  <c r="H145" i="22"/>
  <c r="G145" i="22"/>
  <c r="H145" i="24"/>
  <c r="H39" i="22"/>
  <c r="G39" i="22"/>
  <c r="H39" i="24"/>
  <c r="H29" i="22"/>
  <c r="G29" i="22"/>
  <c r="H29" i="24"/>
  <c r="H153" i="22"/>
  <c r="G153" i="22"/>
  <c r="H153" i="24"/>
  <c r="H170" i="22"/>
  <c r="G170" i="22"/>
  <c r="H170" i="24"/>
  <c r="H141" i="22"/>
  <c r="G141" i="22"/>
  <c r="H141" i="24"/>
  <c r="H93" i="22"/>
  <c r="G93" i="22"/>
  <c r="H93" i="24"/>
  <c r="G171" i="22"/>
  <c r="H171" i="22"/>
  <c r="H171" i="24"/>
  <c r="H80" i="22"/>
  <c r="G80" i="22"/>
  <c r="H80" i="24"/>
  <c r="H70" i="22"/>
  <c r="G70" i="22"/>
  <c r="H70" i="24"/>
  <c r="H31" i="22"/>
  <c r="G31" i="22"/>
  <c r="H31" i="24"/>
  <c r="H76" i="22"/>
  <c r="G76" i="22"/>
  <c r="H76" i="24"/>
  <c r="H132" i="22"/>
  <c r="G132" i="22"/>
  <c r="H132" i="24"/>
  <c r="H172" i="22"/>
  <c r="G172" i="22"/>
  <c r="H172" i="24"/>
  <c r="AD110" i="24"/>
  <c r="AB110" i="24"/>
  <c r="H65" i="23"/>
  <c r="I65" i="23"/>
  <c r="I136" i="23"/>
  <c r="H136" i="23"/>
  <c r="H115" i="23"/>
  <c r="I115" i="23"/>
  <c r="H62" i="23"/>
  <c r="I62" i="23"/>
  <c r="H132" i="23"/>
  <c r="I132" i="23"/>
  <c r="AB80" i="24"/>
  <c r="AD80" i="24"/>
  <c r="H141" i="23"/>
  <c r="I141" i="23"/>
  <c r="H159" i="23"/>
  <c r="I159" i="23"/>
  <c r="AD158" i="24"/>
  <c r="AB158" i="24"/>
  <c r="I280" i="23"/>
  <c r="H280" i="23"/>
  <c r="AD108" i="24"/>
  <c r="AB108" i="24"/>
  <c r="AD86" i="24"/>
  <c r="AB86" i="24"/>
  <c r="I193" i="23"/>
  <c r="H193" i="23"/>
  <c r="H252" i="23"/>
  <c r="I252" i="23"/>
  <c r="AD88" i="24"/>
  <c r="AB88" i="24"/>
  <c r="AB84" i="24"/>
  <c r="AD84" i="24"/>
  <c r="AD103" i="24"/>
  <c r="AB103" i="24"/>
  <c r="AD127" i="24"/>
  <c r="AB127" i="24"/>
  <c r="AD131" i="24"/>
  <c r="AB131" i="24"/>
  <c r="AD42" i="24"/>
  <c r="AB42" i="24"/>
  <c r="I35" i="23"/>
  <c r="H35" i="23"/>
  <c r="H197" i="23"/>
  <c r="I197" i="23"/>
  <c r="H58" i="23"/>
  <c r="I58" i="23"/>
  <c r="AB180" i="24"/>
  <c r="AD180" i="24"/>
  <c r="I59" i="23"/>
  <c r="H59" i="23"/>
  <c r="AD176" i="24"/>
  <c r="AB176" i="24"/>
  <c r="AD173" i="24"/>
  <c r="AB173" i="24"/>
  <c r="AB142" i="24"/>
  <c r="AD142" i="24"/>
  <c r="AD10" i="24"/>
  <c r="AB10" i="24"/>
  <c r="I12" i="23"/>
  <c r="H12" i="23"/>
  <c r="I36" i="23"/>
  <c r="H36" i="23"/>
  <c r="AD137" i="24"/>
  <c r="AA137" i="24"/>
  <c r="AB137" i="24"/>
  <c r="I233" i="23"/>
  <c r="H233" i="23"/>
  <c r="AB128" i="24"/>
  <c r="Y45" i="24"/>
  <c r="Y160" i="24"/>
  <c r="Y41" i="24"/>
  <c r="Y47" i="24"/>
  <c r="Y184" i="24"/>
  <c r="Y77" i="24"/>
  <c r="H136" i="22"/>
  <c r="G136" i="22"/>
  <c r="H136" i="24"/>
  <c r="H20" i="22"/>
  <c r="G20" i="22"/>
  <c r="H20" i="24"/>
  <c r="H173" i="22"/>
  <c r="G173" i="22"/>
  <c r="H173" i="24"/>
  <c r="H18" i="22"/>
  <c r="G18" i="22"/>
  <c r="H18" i="24"/>
  <c r="G90" i="22"/>
  <c r="H90" i="22"/>
  <c r="H90" i="24"/>
  <c r="H97" i="22"/>
  <c r="G97" i="22"/>
  <c r="H97" i="24"/>
  <c r="H33" i="22"/>
  <c r="G33" i="22"/>
  <c r="H33" i="24"/>
  <c r="H74" i="22"/>
  <c r="G74" i="22"/>
  <c r="H74" i="24"/>
  <c r="H164" i="22"/>
  <c r="G164" i="22"/>
  <c r="H164" i="24"/>
  <c r="H159" i="22"/>
  <c r="G159" i="22"/>
  <c r="H159" i="24"/>
  <c r="H127" i="24"/>
  <c r="H127" i="22"/>
  <c r="G127" i="22"/>
  <c r="H140" i="22"/>
  <c r="G140" i="22"/>
  <c r="H140" i="24"/>
  <c r="P158" i="24"/>
  <c r="I158" i="24"/>
  <c r="K158" i="24"/>
  <c r="AD116" i="24"/>
  <c r="AB116" i="24"/>
  <c r="H109" i="23"/>
  <c r="I109" i="23"/>
  <c r="H93" i="23"/>
  <c r="I93" i="23"/>
  <c r="I160" i="23"/>
  <c r="H160" i="23"/>
  <c r="I165" i="23"/>
  <c r="H165" i="23"/>
  <c r="AB113" i="24"/>
  <c r="AD113" i="24"/>
  <c r="I100" i="23"/>
  <c r="H100" i="23"/>
  <c r="I122" i="23"/>
  <c r="H122" i="23"/>
  <c r="AD144" i="24"/>
  <c r="AB144" i="24"/>
  <c r="AD62" i="24"/>
  <c r="AB62" i="24"/>
  <c r="AB162" i="24"/>
  <c r="AD162" i="24"/>
  <c r="AD67" i="24"/>
  <c r="AB67" i="24"/>
  <c r="I246" i="23"/>
  <c r="H246" i="23"/>
  <c r="AD79" i="24"/>
  <c r="AB79" i="24"/>
  <c r="AD39" i="24"/>
  <c r="AB39" i="24"/>
  <c r="AD40" i="24"/>
  <c r="AB40" i="24"/>
  <c r="AD47" i="24"/>
  <c r="AB47" i="24"/>
  <c r="I24" i="23"/>
  <c r="H24" i="23"/>
  <c r="I53" i="23"/>
  <c r="H53" i="23"/>
  <c r="H186" i="23"/>
  <c r="I186" i="23"/>
  <c r="H221" i="23"/>
  <c r="I221" i="23"/>
  <c r="AB166" i="24"/>
  <c r="AD166" i="24"/>
  <c r="I40" i="23"/>
  <c r="H40" i="23"/>
  <c r="AB175" i="24"/>
  <c r="AD175" i="24"/>
  <c r="AB147" i="24"/>
  <c r="AD147" i="24"/>
  <c r="AD53" i="24"/>
  <c r="AA53" i="24"/>
  <c r="AB53" i="24"/>
  <c r="AD26" i="24"/>
  <c r="AB26" i="24"/>
  <c r="AB61" i="24"/>
  <c r="AD61" i="24"/>
  <c r="AD181" i="24"/>
  <c r="AB181" i="24"/>
  <c r="H203" i="23"/>
  <c r="I203" i="23"/>
  <c r="I55" i="23"/>
  <c r="H55" i="23"/>
  <c r="H199" i="23"/>
  <c r="I199" i="23"/>
  <c r="I239" i="23"/>
  <c r="H239" i="23"/>
  <c r="H70" i="23"/>
  <c r="I83" i="23"/>
  <c r="H83" i="23"/>
  <c r="Y40" i="24"/>
  <c r="Y21" i="24"/>
  <c r="H129" i="23"/>
  <c r="H171" i="23"/>
  <c r="G19" i="22"/>
  <c r="H19" i="22"/>
  <c r="H19" i="24"/>
  <c r="H40" i="22"/>
  <c r="G40" i="22"/>
  <c r="H40" i="24"/>
  <c r="H103" i="22"/>
  <c r="G103" i="22"/>
  <c r="H103" i="24"/>
  <c r="H17" i="22"/>
  <c r="G17" i="22"/>
  <c r="H17" i="24"/>
  <c r="G37" i="22"/>
  <c r="H37" i="22"/>
  <c r="H37" i="24"/>
  <c r="H15" i="24"/>
  <c r="H15" i="22"/>
  <c r="G15" i="22"/>
  <c r="H155" i="24"/>
  <c r="H155" i="22"/>
  <c r="G155" i="22"/>
  <c r="I72" i="24"/>
  <c r="K72" i="24"/>
  <c r="I151" i="23"/>
  <c r="H151" i="23"/>
  <c r="AD83" i="24"/>
  <c r="AB83" i="24"/>
  <c r="H76" i="23"/>
  <c r="I76" i="23"/>
  <c r="H128" i="23"/>
  <c r="I128" i="23"/>
  <c r="H117" i="23"/>
  <c r="I117" i="23"/>
  <c r="H64" i="23"/>
  <c r="I64" i="23"/>
  <c r="AB97" i="24"/>
  <c r="AD97" i="24"/>
  <c r="I104" i="23"/>
  <c r="H104" i="23"/>
  <c r="I177" i="23"/>
  <c r="H177" i="23"/>
  <c r="AD22" i="24"/>
  <c r="AB22" i="24"/>
  <c r="AD165" i="24"/>
  <c r="AB165" i="24"/>
  <c r="AD34" i="24"/>
  <c r="AB34" i="24"/>
  <c r="I194" i="23"/>
  <c r="H194" i="23"/>
  <c r="AB182" i="24"/>
  <c r="AD182" i="24"/>
  <c r="AB141" i="24"/>
  <c r="AD141" i="24"/>
  <c r="AD64" i="24"/>
  <c r="AB64" i="24"/>
  <c r="AD150" i="24"/>
  <c r="AA150" i="24"/>
  <c r="AB150" i="24"/>
  <c r="AD71" i="24"/>
  <c r="AB71" i="24"/>
  <c r="AD18" i="24"/>
  <c r="AA18" i="24"/>
  <c r="AB18" i="24"/>
  <c r="H267" i="23"/>
  <c r="I267" i="23"/>
  <c r="AB171" i="24"/>
  <c r="AD171" i="24"/>
  <c r="I32" i="23"/>
  <c r="H32" i="23"/>
  <c r="I228" i="23"/>
  <c r="H228" i="23"/>
  <c r="AD119" i="24"/>
  <c r="AA119" i="24"/>
  <c r="AB119" i="24"/>
  <c r="AB35" i="24"/>
  <c r="AD35" i="24"/>
  <c r="H230" i="23"/>
  <c r="I230" i="23"/>
  <c r="H33" i="23"/>
  <c r="I33" i="23"/>
  <c r="AD126" i="24"/>
  <c r="AB126" i="24"/>
  <c r="AD50" i="24"/>
  <c r="AB50" i="24"/>
  <c r="AD43" i="24"/>
  <c r="AB43" i="24"/>
  <c r="I19" i="23"/>
  <c r="H19" i="23"/>
  <c r="AD125" i="24"/>
  <c r="AB125" i="24"/>
  <c r="I54" i="23"/>
  <c r="H54" i="23"/>
  <c r="I37" i="23"/>
  <c r="H37" i="23"/>
  <c r="AB87" i="24"/>
  <c r="AD87" i="24"/>
  <c r="H121" i="23"/>
  <c r="Y124" i="24"/>
  <c r="H142" i="23"/>
  <c r="H123" i="23"/>
  <c r="H184" i="22"/>
  <c r="G184" i="22"/>
  <c r="H184" i="24"/>
  <c r="H14" i="22"/>
  <c r="G14" i="22"/>
  <c r="H14" i="24"/>
  <c r="H165" i="24"/>
  <c r="H165" i="22"/>
  <c r="G165" i="22"/>
  <c r="H59" i="22"/>
  <c r="G59" i="22"/>
  <c r="H59" i="24"/>
  <c r="H50" i="22"/>
  <c r="G50" i="22"/>
  <c r="H50" i="24"/>
  <c r="H114" i="22"/>
  <c r="G114" i="22"/>
  <c r="H114" i="24"/>
  <c r="H89" i="22"/>
  <c r="G89" i="22"/>
  <c r="H89" i="24"/>
  <c r="H56" i="22"/>
  <c r="G56" i="22"/>
  <c r="H56" i="24"/>
  <c r="G83" i="22"/>
  <c r="H83" i="24"/>
  <c r="H83" i="22"/>
  <c r="H21" i="22"/>
  <c r="G21" i="22"/>
  <c r="H21" i="24"/>
  <c r="H168" i="22"/>
  <c r="G168" i="22"/>
  <c r="H168" i="24"/>
  <c r="H77" i="22"/>
  <c r="G77" i="22"/>
  <c r="H77" i="24"/>
  <c r="G120" i="22"/>
  <c r="H120" i="22"/>
  <c r="H120" i="24"/>
  <c r="H58" i="22"/>
  <c r="G58" i="22"/>
  <c r="H58" i="24"/>
  <c r="H36" i="22"/>
  <c r="G36" i="22"/>
  <c r="H36" i="24"/>
  <c r="H167" i="22"/>
  <c r="G167" i="22"/>
  <c r="H167" i="24"/>
  <c r="G23" i="22"/>
  <c r="H23" i="22"/>
  <c r="H23" i="24"/>
  <c r="H99" i="22"/>
  <c r="G99" i="22"/>
  <c r="H99" i="24"/>
  <c r="H94" i="22"/>
  <c r="G94" i="22"/>
  <c r="H94" i="24"/>
  <c r="H64" i="22"/>
  <c r="G64" i="22"/>
  <c r="H64" i="24"/>
  <c r="H177" i="24"/>
  <c r="H177" i="22"/>
  <c r="G177" i="22"/>
  <c r="I71" i="24"/>
  <c r="K71" i="24"/>
  <c r="H101" i="23"/>
  <c r="I101" i="23"/>
  <c r="H120" i="23"/>
  <c r="I120" i="23"/>
  <c r="AD93" i="24"/>
  <c r="AB93" i="24"/>
  <c r="H174" i="23"/>
  <c r="I174" i="23"/>
  <c r="H180" i="23"/>
  <c r="I180" i="23"/>
  <c r="H71" i="23"/>
  <c r="I71" i="23"/>
  <c r="H89" i="23"/>
  <c r="I89" i="23"/>
  <c r="H125" i="23"/>
  <c r="I125" i="23"/>
  <c r="H161" i="23"/>
  <c r="I161" i="23"/>
  <c r="H154" i="23"/>
  <c r="I154" i="23"/>
  <c r="AD82" i="24"/>
  <c r="AB82" i="24"/>
  <c r="AB36" i="24"/>
  <c r="AD36" i="24"/>
  <c r="AA55" i="24"/>
  <c r="AB55" i="24"/>
  <c r="AD55" i="24"/>
  <c r="I243" i="23"/>
  <c r="H243" i="23"/>
  <c r="AD168" i="24"/>
  <c r="AB168" i="24"/>
  <c r="AB111" i="24"/>
  <c r="AD111" i="24"/>
  <c r="AD73" i="24"/>
  <c r="AA73" i="24"/>
  <c r="AB73" i="24"/>
  <c r="H201" i="23"/>
  <c r="I201" i="23"/>
  <c r="I202" i="23"/>
  <c r="H202" i="23"/>
  <c r="AD121" i="24"/>
  <c r="AB121" i="24"/>
  <c r="I21" i="23"/>
  <c r="H21" i="23"/>
  <c r="AB25" i="24"/>
  <c r="AD25" i="24"/>
  <c r="H216" i="23"/>
  <c r="I216" i="23"/>
  <c r="H191" i="23"/>
  <c r="I191" i="23"/>
  <c r="I271" i="23"/>
  <c r="H271" i="23"/>
  <c r="AB100" i="24"/>
  <c r="AD100" i="24"/>
  <c r="AB21" i="24"/>
  <c r="AD21" i="24"/>
  <c r="I255" i="23"/>
  <c r="H255" i="23"/>
  <c r="I189" i="23"/>
  <c r="H189" i="23"/>
  <c r="H277" i="23"/>
  <c r="I277" i="23"/>
  <c r="AD122" i="24"/>
  <c r="AB122" i="24"/>
  <c r="I14" i="23"/>
  <c r="H14" i="23"/>
  <c r="I223" i="23"/>
  <c r="H223" i="23"/>
  <c r="H232" i="23"/>
  <c r="I232" i="23"/>
  <c r="I46" i="23"/>
  <c r="H46" i="23"/>
  <c r="Y154" i="24"/>
  <c r="Y32" i="24"/>
  <c r="Y141" i="24"/>
  <c r="Y82" i="24"/>
  <c r="Y116" i="24"/>
  <c r="H51" i="22"/>
  <c r="G51" i="22"/>
  <c r="H51" i="24"/>
  <c r="G52" i="22"/>
  <c r="H52" i="22"/>
  <c r="H52" i="24"/>
  <c r="H98" i="22"/>
  <c r="G98" i="22"/>
  <c r="H98" i="24"/>
  <c r="H57" i="22"/>
  <c r="G57" i="22"/>
  <c r="H57" i="24"/>
  <c r="G134" i="22"/>
  <c r="H134" i="22"/>
  <c r="H134" i="24"/>
  <c r="G34" i="22"/>
  <c r="H34" i="22"/>
  <c r="H34" i="24"/>
  <c r="G118" i="22"/>
  <c r="H118" i="22"/>
  <c r="H118" i="24"/>
  <c r="H96" i="22"/>
  <c r="G96" i="22"/>
  <c r="H96" i="24"/>
  <c r="H63" i="22"/>
  <c r="G63" i="22"/>
  <c r="H63" i="24"/>
  <c r="H163" i="22"/>
  <c r="G163" i="22"/>
  <c r="H163" i="24"/>
  <c r="G46" i="22"/>
  <c r="H46" i="22"/>
  <c r="H46" i="24"/>
  <c r="H27" i="22"/>
  <c r="G27" i="22"/>
  <c r="H27" i="24"/>
  <c r="G81" i="22"/>
  <c r="H81" i="22"/>
  <c r="H81" i="24"/>
  <c r="H160" i="22"/>
  <c r="G160" i="22"/>
  <c r="H160" i="24"/>
  <c r="H147" i="24"/>
  <c r="H147" i="22"/>
  <c r="G147" i="22"/>
  <c r="H86" i="23"/>
  <c r="H149" i="23"/>
  <c r="H152" i="23"/>
  <c r="H126" i="23"/>
  <c r="H139" i="23"/>
  <c r="I114" i="23"/>
  <c r="H114" i="23"/>
  <c r="H103" i="23"/>
  <c r="H80" i="23"/>
  <c r="I80" i="23"/>
  <c r="AB92" i="24"/>
  <c r="AD92" i="24"/>
  <c r="H74" i="23"/>
  <c r="I74" i="23"/>
  <c r="I134" i="23"/>
  <c r="H134" i="23"/>
  <c r="H181" i="23"/>
  <c r="I181" i="23"/>
  <c r="AD96" i="24"/>
  <c r="AB96" i="24"/>
  <c r="AA96" i="24"/>
  <c r="H118" i="23"/>
  <c r="I118" i="23"/>
  <c r="AD115" i="24"/>
  <c r="AB115" i="24"/>
  <c r="H124" i="23"/>
  <c r="I124" i="23"/>
  <c r="AD29" i="24"/>
  <c r="AB29" i="24"/>
  <c r="AD146" i="24"/>
  <c r="AA146" i="24"/>
  <c r="AB146" i="24"/>
  <c r="AD159" i="24"/>
  <c r="AB159" i="24"/>
  <c r="AD151" i="24"/>
  <c r="AB151" i="24"/>
  <c r="AD28" i="24"/>
  <c r="AB28" i="24"/>
  <c r="AD101" i="24"/>
  <c r="AA101" i="24"/>
  <c r="AB101" i="24"/>
  <c r="AD145" i="24"/>
  <c r="AB145" i="24"/>
  <c r="AD170" i="24"/>
  <c r="AA170" i="24"/>
  <c r="AB170" i="24"/>
  <c r="AD149" i="24"/>
  <c r="AB149" i="24"/>
  <c r="AD68" i="24"/>
  <c r="AA68" i="24"/>
  <c r="AB68" i="24"/>
  <c r="I23" i="23"/>
  <c r="H23" i="23"/>
  <c r="AA20" i="24"/>
  <c r="AB20" i="24"/>
  <c r="AD20" i="24"/>
  <c r="H18" i="23"/>
  <c r="I18" i="23"/>
  <c r="I198" i="23"/>
  <c r="H198" i="23"/>
  <c r="AD120" i="24"/>
  <c r="AA120" i="24"/>
  <c r="AB120" i="24"/>
  <c r="I9" i="23"/>
  <c r="H9" i="23"/>
  <c r="AD46" i="24"/>
  <c r="AB46" i="24"/>
  <c r="I22" i="23"/>
  <c r="H22" i="23"/>
  <c r="I190" i="23"/>
  <c r="H190" i="23"/>
  <c r="H257" i="23"/>
  <c r="I257" i="23"/>
  <c r="AD31" i="24"/>
  <c r="AB31" i="24"/>
  <c r="AD157" i="24"/>
  <c r="AB157" i="24"/>
  <c r="I265" i="23"/>
  <c r="H265" i="23"/>
  <c r="H56" i="23"/>
  <c r="I56" i="23"/>
  <c r="I215" i="23"/>
  <c r="H215" i="23"/>
  <c r="Y62" i="24"/>
  <c r="Y50" i="24"/>
  <c r="Y183" i="24"/>
  <c r="H175" i="23"/>
  <c r="H135" i="23"/>
  <c r="H112" i="23"/>
  <c r="H157" i="22"/>
  <c r="G157" i="22"/>
  <c r="H157" i="24"/>
  <c r="G60" i="22"/>
  <c r="H60" i="22"/>
  <c r="H60" i="24"/>
  <c r="H25" i="24"/>
  <c r="H25" i="22"/>
  <c r="G25" i="22"/>
  <c r="G44" i="22"/>
  <c r="H44" i="22"/>
  <c r="H44" i="24"/>
  <c r="G32" i="22"/>
  <c r="H32" i="22"/>
  <c r="H32" i="24"/>
  <c r="G41" i="22"/>
  <c r="H41" i="22"/>
  <c r="H41" i="24"/>
  <c r="H105" i="22"/>
  <c r="G105" i="22"/>
  <c r="H105" i="24"/>
  <c r="H116" i="22"/>
  <c r="G116" i="22"/>
  <c r="H116" i="24"/>
  <c r="G174" i="22"/>
  <c r="H174" i="22"/>
  <c r="H174" i="24"/>
  <c r="H133" i="22"/>
  <c r="G133" i="22"/>
  <c r="H133" i="24"/>
  <c r="H12" i="22"/>
  <c r="G12" i="22"/>
  <c r="H12" i="24"/>
  <c r="H137" i="22"/>
  <c r="G137" i="22"/>
  <c r="H137" i="24"/>
  <c r="H92" i="22"/>
  <c r="G92" i="22"/>
  <c r="H92" i="24"/>
  <c r="H91" i="22"/>
  <c r="G91" i="22"/>
  <c r="H91" i="24"/>
  <c r="G169" i="22"/>
  <c r="H169" i="22"/>
  <c r="H169" i="24"/>
  <c r="H181" i="22"/>
  <c r="H181" i="24"/>
  <c r="G181" i="22"/>
  <c r="H161" i="24"/>
  <c r="H161" i="22"/>
  <c r="G161" i="22"/>
  <c r="I66" i="23"/>
  <c r="H66" i="23"/>
  <c r="H75" i="23"/>
  <c r="I8" i="23"/>
  <c r="H8" i="23"/>
  <c r="I184" i="23"/>
  <c r="H184" i="23"/>
  <c r="I137" i="23"/>
  <c r="H137" i="23"/>
  <c r="H85" i="23"/>
  <c r="I85" i="23"/>
  <c r="H116" i="23"/>
  <c r="I116" i="23"/>
  <c r="AD90" i="24"/>
  <c r="AB90" i="24"/>
  <c r="AA90" i="24"/>
  <c r="H72" i="23"/>
  <c r="I72" i="23"/>
  <c r="H78" i="23"/>
  <c r="I78" i="23"/>
  <c r="I147" i="23"/>
  <c r="H147" i="23"/>
  <c r="AD139" i="24"/>
  <c r="AB139" i="24"/>
  <c r="AD114" i="24"/>
  <c r="AA114" i="24"/>
  <c r="AB114" i="24"/>
  <c r="AD56" i="24"/>
  <c r="AB56" i="24"/>
  <c r="I188" i="23"/>
  <c r="H188" i="23"/>
  <c r="AD153" i="24"/>
  <c r="AB153" i="24"/>
  <c r="AD99" i="24"/>
  <c r="AA99" i="24"/>
  <c r="AB99" i="24"/>
  <c r="I247" i="23"/>
  <c r="H247" i="23"/>
  <c r="H253" i="23"/>
  <c r="I253" i="23"/>
  <c r="AD72" i="24"/>
  <c r="AA72" i="24"/>
  <c r="AB72" i="24"/>
  <c r="AD60" i="24"/>
  <c r="AB60" i="24"/>
  <c r="H26" i="23"/>
  <c r="I26" i="23"/>
  <c r="AA143" i="24"/>
  <c r="AB143" i="24"/>
  <c r="AD143" i="24"/>
  <c r="I44" i="23"/>
  <c r="H44" i="23"/>
  <c r="I262" i="23"/>
  <c r="H262" i="23"/>
  <c r="AD174" i="24"/>
  <c r="AB174" i="24"/>
  <c r="I51" i="23"/>
  <c r="H51" i="23"/>
  <c r="I242" i="23"/>
  <c r="H242" i="23"/>
  <c r="I214" i="23"/>
  <c r="H214" i="23"/>
  <c r="I204" i="23"/>
  <c r="H204" i="23"/>
  <c r="I50" i="23"/>
  <c r="H50" i="23"/>
  <c r="H211" i="23"/>
  <c r="I211" i="23"/>
  <c r="AD135" i="24"/>
  <c r="AA135" i="24"/>
  <c r="AB135" i="24"/>
  <c r="AB177" i="24"/>
  <c r="AD177" i="24"/>
  <c r="AA177" i="24"/>
  <c r="H273" i="23"/>
  <c r="I273" i="23"/>
  <c r="I256" i="23"/>
  <c r="H256" i="23"/>
  <c r="Y60" i="24"/>
  <c r="Y19" i="24"/>
  <c r="I88" i="23"/>
  <c r="H88" i="23"/>
  <c r="H63" i="23"/>
  <c r="I63" i="23"/>
  <c r="K8" i="24"/>
  <c r="I8" i="24"/>
  <c r="H81" i="23"/>
  <c r="AA103" i="24" l="1"/>
  <c r="K138" i="24"/>
  <c r="I138" i="24"/>
  <c r="AA166" i="24"/>
  <c r="AA62" i="24"/>
  <c r="AA67" i="24"/>
  <c r="AA168" i="24"/>
  <c r="AA88" i="24"/>
  <c r="AA151" i="24"/>
  <c r="AA61" i="24"/>
  <c r="AA173" i="24"/>
  <c r="K110" i="24"/>
  <c r="AA102" i="24"/>
  <c r="AA63" i="24"/>
  <c r="AA157" i="24"/>
  <c r="AA46" i="24"/>
  <c r="AA115" i="24"/>
  <c r="AA21" i="24"/>
  <c r="AA25" i="24"/>
  <c r="AA36" i="24"/>
  <c r="AA83" i="24"/>
  <c r="AA175" i="24"/>
  <c r="AA79" i="24"/>
  <c r="AA86" i="24"/>
  <c r="AA78" i="24"/>
  <c r="AA43" i="24"/>
  <c r="AA171" i="24"/>
  <c r="AA34" i="24"/>
  <c r="AA97" i="24"/>
  <c r="AA80" i="24"/>
  <c r="AA123" i="24"/>
  <c r="AA56" i="24"/>
  <c r="AA145" i="24"/>
  <c r="AA159" i="24"/>
  <c r="AA122" i="24"/>
  <c r="AA87" i="24"/>
  <c r="AA64" i="24"/>
  <c r="AA26" i="24"/>
  <c r="AA144" i="24"/>
  <c r="AA176" i="24"/>
  <c r="AA31" i="24"/>
  <c r="AA100" i="24"/>
  <c r="AA111" i="24"/>
  <c r="AA35" i="24"/>
  <c r="AA47" i="24"/>
  <c r="AA42" i="24"/>
  <c r="AA84" i="24"/>
  <c r="AA108" i="24"/>
  <c r="AA110" i="24"/>
  <c r="AA38" i="24"/>
  <c r="AA45" i="24"/>
  <c r="AA92" i="24"/>
  <c r="AA121" i="24"/>
  <c r="AA82" i="24"/>
  <c r="AA50" i="24"/>
  <c r="AA165" i="24"/>
  <c r="AA74" i="24"/>
  <c r="AA141" i="24"/>
  <c r="AA40" i="24"/>
  <c r="AA10" i="24"/>
  <c r="AA131" i="24"/>
  <c r="AA134" i="24"/>
  <c r="AA118" i="24"/>
  <c r="AA51" i="24"/>
  <c r="AA126" i="24"/>
  <c r="AA22" i="24"/>
  <c r="AA174" i="24"/>
  <c r="AA60" i="24"/>
  <c r="AA139" i="24"/>
  <c r="AA149" i="24"/>
  <c r="AA28" i="24"/>
  <c r="AA29" i="24"/>
  <c r="AA71" i="24"/>
  <c r="AA181" i="24"/>
  <c r="AA113" i="24"/>
  <c r="AA116" i="24"/>
  <c r="AA13" i="24"/>
  <c r="AA89" i="24"/>
  <c r="AA153" i="24"/>
  <c r="AA93" i="24"/>
  <c r="AA125" i="24"/>
  <c r="AA182" i="24"/>
  <c r="AA147" i="24"/>
  <c r="AA39" i="24"/>
  <c r="AA162" i="24"/>
  <c r="P110" i="24"/>
  <c r="AA49" i="24"/>
  <c r="AA65" i="24"/>
  <c r="AA142" i="24"/>
  <c r="AA180" i="24"/>
  <c r="AA15" i="24"/>
  <c r="AA178" i="24"/>
  <c r="AA76" i="24"/>
  <c r="AA127" i="24"/>
  <c r="AA158" i="24"/>
  <c r="AA95" i="24"/>
  <c r="AA106" i="24"/>
  <c r="AA136" i="24"/>
  <c r="AA58" i="24"/>
  <c r="AA30" i="24"/>
  <c r="AA37" i="24"/>
  <c r="AA156" i="24"/>
  <c r="AA44" i="24"/>
  <c r="AA154" i="24"/>
  <c r="AA183" i="24"/>
  <c r="AA85" i="24"/>
  <c r="AA54" i="24"/>
  <c r="AA117" i="24"/>
  <c r="AA24" i="24"/>
  <c r="AA57" i="24"/>
  <c r="AA11" i="24"/>
  <c r="AA23" i="24"/>
  <c r="AA98" i="24"/>
  <c r="AA133" i="24"/>
  <c r="AA130" i="24"/>
  <c r="AA33" i="24"/>
  <c r="AA172" i="24"/>
  <c r="AA70" i="24"/>
  <c r="AA17" i="24"/>
  <c r="AA167" i="24"/>
  <c r="AA81" i="24"/>
  <c r="AA32" i="24"/>
  <c r="K25" i="24"/>
  <c r="I25" i="24"/>
  <c r="P25" i="24"/>
  <c r="K14" i="24"/>
  <c r="P14" i="24"/>
  <c r="I14" i="24"/>
  <c r="I173" i="24"/>
  <c r="K173" i="24"/>
  <c r="P173" i="24"/>
  <c r="K29" i="24"/>
  <c r="P29" i="24"/>
  <c r="I29" i="24"/>
  <c r="I106" i="24"/>
  <c r="K106" i="24"/>
  <c r="P106" i="24"/>
  <c r="P30" i="24"/>
  <c r="K30" i="24"/>
  <c r="I30" i="24"/>
  <c r="I53" i="24"/>
  <c r="K53" i="24"/>
  <c r="P53" i="24"/>
  <c r="AA19" i="24"/>
  <c r="K175" i="24"/>
  <c r="I175" i="24"/>
  <c r="P175" i="24"/>
  <c r="K125" i="24"/>
  <c r="I125" i="24"/>
  <c r="P125" i="24"/>
  <c r="AA179" i="24"/>
  <c r="AA9" i="24"/>
  <c r="AA75" i="24"/>
  <c r="I41" i="24"/>
  <c r="K41" i="24"/>
  <c r="P41" i="24"/>
  <c r="K60" i="24"/>
  <c r="P60" i="24"/>
  <c r="I60" i="24"/>
  <c r="K147" i="24"/>
  <c r="I147" i="24"/>
  <c r="P147" i="24"/>
  <c r="I77" i="24"/>
  <c r="K77" i="24"/>
  <c r="P77" i="24"/>
  <c r="I89" i="24"/>
  <c r="K89" i="24"/>
  <c r="P89" i="24"/>
  <c r="K15" i="24"/>
  <c r="I15" i="24"/>
  <c r="P15" i="24"/>
  <c r="K103" i="24"/>
  <c r="I103" i="24"/>
  <c r="P103" i="24"/>
  <c r="I43" i="24"/>
  <c r="K43" i="24"/>
  <c r="P43" i="24"/>
  <c r="K150" i="24"/>
  <c r="I150" i="24"/>
  <c r="P150" i="24"/>
  <c r="AA52" i="24"/>
  <c r="AA138" i="24"/>
  <c r="AA132" i="24"/>
  <c r="AA105" i="24"/>
  <c r="K178" i="24"/>
  <c r="I178" i="24"/>
  <c r="P178" i="24"/>
  <c r="I144" i="24"/>
  <c r="K144" i="24"/>
  <c r="P144" i="24"/>
  <c r="K91" i="24"/>
  <c r="I91" i="24"/>
  <c r="P91" i="24"/>
  <c r="P116" i="24"/>
  <c r="K116" i="24"/>
  <c r="I116" i="24"/>
  <c r="K160" i="24"/>
  <c r="I160" i="24"/>
  <c r="P160" i="24"/>
  <c r="K34" i="24"/>
  <c r="P34" i="24"/>
  <c r="I34" i="24"/>
  <c r="K23" i="24"/>
  <c r="I23" i="24"/>
  <c r="P23" i="24"/>
  <c r="P37" i="24"/>
  <c r="I37" i="24"/>
  <c r="K37" i="24"/>
  <c r="I90" i="24"/>
  <c r="K90" i="24"/>
  <c r="P90" i="24"/>
  <c r="I80" i="24"/>
  <c r="K80" i="24"/>
  <c r="P80" i="24"/>
  <c r="K67" i="24"/>
  <c r="I67" i="24"/>
  <c r="P67" i="24"/>
  <c r="K66" i="24"/>
  <c r="P66" i="24"/>
  <c r="I66" i="24"/>
  <c r="BY52" i="24" a="1"/>
  <c r="BY52" i="24" s="1"/>
  <c r="CL43" i="24" s="1"/>
  <c r="BY51" i="24" a="1"/>
  <c r="BY51" i="24" s="1"/>
  <c r="P28" i="24"/>
  <c r="K28" i="24"/>
  <c r="I28" i="24"/>
  <c r="I54" i="24"/>
  <c r="K54" i="24"/>
  <c r="P54" i="24"/>
  <c r="AA184" i="24"/>
  <c r="I84" i="24"/>
  <c r="K84" i="24"/>
  <c r="P84" i="24"/>
  <c r="AA155" i="24"/>
  <c r="I139" i="24"/>
  <c r="P139" i="24"/>
  <c r="K139" i="24"/>
  <c r="K137" i="24"/>
  <c r="I137" i="24"/>
  <c r="P137" i="24"/>
  <c r="K12" i="24"/>
  <c r="I12" i="24"/>
  <c r="P12" i="24"/>
  <c r="K46" i="24"/>
  <c r="I46" i="24"/>
  <c r="P46" i="24"/>
  <c r="I58" i="24"/>
  <c r="K58" i="24"/>
  <c r="P58" i="24"/>
  <c r="P20" i="24"/>
  <c r="K20" i="24"/>
  <c r="I20" i="24"/>
  <c r="P141" i="24"/>
  <c r="K141" i="24"/>
  <c r="I141" i="24"/>
  <c r="K16" i="24"/>
  <c r="I16" i="24"/>
  <c r="P16" i="24"/>
  <c r="AA163" i="24"/>
  <c r="K154" i="24"/>
  <c r="P154" i="24"/>
  <c r="I154" i="24"/>
  <c r="K75" i="24"/>
  <c r="I75" i="24"/>
  <c r="P75" i="24"/>
  <c r="K42" i="24"/>
  <c r="I42" i="24"/>
  <c r="P42" i="24"/>
  <c r="P96" i="24"/>
  <c r="K96" i="24"/>
  <c r="I96" i="24"/>
  <c r="K94" i="24"/>
  <c r="I94" i="24"/>
  <c r="P94" i="24"/>
  <c r="K83" i="24"/>
  <c r="I83" i="24"/>
  <c r="P83" i="24"/>
  <c r="I59" i="24"/>
  <c r="K59" i="24"/>
  <c r="P59" i="24"/>
  <c r="K127" i="24"/>
  <c r="I127" i="24"/>
  <c r="P127" i="24"/>
  <c r="K33" i="24"/>
  <c r="I33" i="24"/>
  <c r="P33" i="24"/>
  <c r="I31" i="24"/>
  <c r="K31" i="24"/>
  <c r="P31" i="24"/>
  <c r="K11" i="24"/>
  <c r="I11" i="24"/>
  <c r="P11" i="24"/>
  <c r="AA160" i="24"/>
  <c r="I101" i="24"/>
  <c r="K101" i="24"/>
  <c r="P101" i="24"/>
  <c r="AA164" i="24"/>
  <c r="AA66" i="24"/>
  <c r="AA140" i="24"/>
  <c r="AA46" i="22" a="1"/>
  <c r="AA46" i="22" s="1"/>
  <c r="AA49" i="22" s="1"/>
  <c r="AA47" i="22" a="1"/>
  <c r="AA47" i="22" s="1"/>
  <c r="AO38" i="22" s="1"/>
  <c r="K24" i="24"/>
  <c r="I24" i="24"/>
  <c r="P24" i="24"/>
  <c r="K81" i="24"/>
  <c r="I81" i="24"/>
  <c r="P81" i="24"/>
  <c r="K98" i="24"/>
  <c r="I98" i="24"/>
  <c r="P98" i="24"/>
  <c r="K51" i="24"/>
  <c r="P51" i="24"/>
  <c r="I51" i="24"/>
  <c r="K184" i="24"/>
  <c r="I184" i="24"/>
  <c r="P184" i="24"/>
  <c r="P40" i="24"/>
  <c r="K40" i="24"/>
  <c r="I40" i="24"/>
  <c r="K159" i="24"/>
  <c r="I159" i="24"/>
  <c r="P159" i="24"/>
  <c r="I172" i="24"/>
  <c r="K172" i="24"/>
  <c r="P172" i="24"/>
  <c r="I38" i="24"/>
  <c r="K38" i="24"/>
  <c r="P38" i="24"/>
  <c r="P13" i="24"/>
  <c r="I13" i="24"/>
  <c r="K13" i="24"/>
  <c r="I9" i="24"/>
  <c r="K9" i="24"/>
  <c r="P9" i="24"/>
  <c r="I26" i="24"/>
  <c r="K26" i="24"/>
  <c r="P26" i="24"/>
  <c r="AH52" i="23" a="1"/>
  <c r="AH52" i="23" s="1"/>
  <c r="AU43" i="23" s="1"/>
  <c r="AH51" i="23" a="1"/>
  <c r="AH51" i="23" s="1"/>
  <c r="BY54" i="24" s="1"/>
  <c r="K157" i="24"/>
  <c r="I157" i="24"/>
  <c r="P157" i="24"/>
  <c r="P168" i="24"/>
  <c r="K168" i="24"/>
  <c r="I168" i="24"/>
  <c r="I114" i="24"/>
  <c r="K114" i="24"/>
  <c r="P114" i="24"/>
  <c r="K170" i="24"/>
  <c r="I170" i="24"/>
  <c r="P170" i="24"/>
  <c r="P39" i="24"/>
  <c r="K39" i="24"/>
  <c r="I39" i="24"/>
  <c r="I183" i="24"/>
  <c r="P183" i="24"/>
  <c r="K183" i="24"/>
  <c r="I62" i="24"/>
  <c r="K62" i="24"/>
  <c r="P62" i="24"/>
  <c r="AA16" i="24"/>
  <c r="AA91" i="24"/>
  <c r="K119" i="24"/>
  <c r="I119" i="24"/>
  <c r="P119" i="24"/>
  <c r="AA107" i="24"/>
  <c r="K161" i="24"/>
  <c r="I161" i="24"/>
  <c r="P161" i="24"/>
  <c r="I92" i="24"/>
  <c r="K92" i="24"/>
  <c r="P92" i="24"/>
  <c r="K105" i="24"/>
  <c r="I105" i="24"/>
  <c r="P105" i="24"/>
  <c r="P134" i="24"/>
  <c r="K134" i="24"/>
  <c r="I134" i="24"/>
  <c r="I167" i="24"/>
  <c r="K167" i="24"/>
  <c r="P167" i="24"/>
  <c r="K17" i="24"/>
  <c r="I17" i="24"/>
  <c r="P17" i="24"/>
  <c r="K18" i="24"/>
  <c r="I18" i="24"/>
  <c r="P18" i="24"/>
  <c r="K171" i="24"/>
  <c r="P171" i="24"/>
  <c r="I171" i="24"/>
  <c r="I112" i="24"/>
  <c r="K112" i="24"/>
  <c r="P112" i="24"/>
  <c r="K182" i="24"/>
  <c r="I182" i="24"/>
  <c r="P182" i="24"/>
  <c r="AA94" i="24"/>
  <c r="K47" i="24"/>
  <c r="I47" i="24"/>
  <c r="P47" i="24"/>
  <c r="P55" i="24"/>
  <c r="I55" i="24"/>
  <c r="K55" i="24"/>
  <c r="AA104" i="24"/>
  <c r="I44" i="24"/>
  <c r="K44" i="24"/>
  <c r="P44" i="24"/>
  <c r="K133" i="24"/>
  <c r="I133" i="24"/>
  <c r="P133" i="24"/>
  <c r="P163" i="24"/>
  <c r="K163" i="24"/>
  <c r="I163" i="24"/>
  <c r="K120" i="24"/>
  <c r="I120" i="24"/>
  <c r="P120" i="24"/>
  <c r="K56" i="24"/>
  <c r="I56" i="24"/>
  <c r="P56" i="24"/>
  <c r="I155" i="24"/>
  <c r="K155" i="24"/>
  <c r="P155" i="24"/>
  <c r="I164" i="24"/>
  <c r="K164" i="24"/>
  <c r="P164" i="24"/>
  <c r="K136" i="24"/>
  <c r="I136" i="24"/>
  <c r="P136" i="24"/>
  <c r="I132" i="24"/>
  <c r="K132" i="24"/>
  <c r="P132" i="24"/>
  <c r="I117" i="24"/>
  <c r="K117" i="24"/>
  <c r="P117" i="24"/>
  <c r="K69" i="24"/>
  <c r="I69" i="24"/>
  <c r="P69" i="24"/>
  <c r="I61" i="24"/>
  <c r="K61" i="24"/>
  <c r="P61" i="24"/>
  <c r="AA77" i="24"/>
  <c r="AA48" i="24"/>
  <c r="AA69" i="24"/>
  <c r="AA12" i="24"/>
  <c r="AA112" i="24"/>
  <c r="AA27" i="24"/>
  <c r="K123" i="24"/>
  <c r="P123" i="24"/>
  <c r="I123" i="24"/>
  <c r="K181" i="24"/>
  <c r="I181" i="24"/>
  <c r="P181" i="24"/>
  <c r="K118" i="24"/>
  <c r="P118" i="24"/>
  <c r="I118" i="24"/>
  <c r="I99" i="24"/>
  <c r="K99" i="24"/>
  <c r="P99" i="24"/>
  <c r="I21" i="24"/>
  <c r="K21" i="24"/>
  <c r="P21" i="24"/>
  <c r="K97" i="24"/>
  <c r="I97" i="24"/>
  <c r="P97" i="24"/>
  <c r="I70" i="24"/>
  <c r="K70" i="24"/>
  <c r="P70" i="24"/>
  <c r="I153" i="24"/>
  <c r="P153" i="24"/>
  <c r="K153" i="24"/>
  <c r="I35" i="24"/>
  <c r="K35" i="24"/>
  <c r="P35" i="24"/>
  <c r="I156" i="24"/>
  <c r="K156" i="24"/>
  <c r="P156" i="24"/>
  <c r="K95" i="24"/>
  <c r="I95" i="24"/>
  <c r="P95" i="24"/>
  <c r="K45" i="24"/>
  <c r="I45" i="24"/>
  <c r="P45" i="24"/>
  <c r="K22" i="24"/>
  <c r="I22" i="24"/>
  <c r="P22" i="24"/>
  <c r="AA59" i="24"/>
  <c r="K176" i="24"/>
  <c r="I176" i="24"/>
  <c r="P176" i="24"/>
  <c r="P32" i="24"/>
  <c r="I32" i="24"/>
  <c r="K32" i="24"/>
  <c r="K27" i="24"/>
  <c r="I27" i="24"/>
  <c r="P27" i="24"/>
  <c r="K57" i="24"/>
  <c r="I57" i="24"/>
  <c r="P57" i="24"/>
  <c r="K177" i="24"/>
  <c r="I177" i="24"/>
  <c r="P177" i="24"/>
  <c r="I36" i="24"/>
  <c r="P36" i="24"/>
  <c r="K36" i="24"/>
  <c r="I19" i="24"/>
  <c r="K19" i="24"/>
  <c r="P19" i="24"/>
  <c r="K93" i="24"/>
  <c r="I93" i="24"/>
  <c r="P93" i="24"/>
  <c r="I108" i="24"/>
  <c r="K108" i="24"/>
  <c r="P108" i="24"/>
  <c r="I180" i="24"/>
  <c r="K180" i="24"/>
  <c r="P180" i="24"/>
  <c r="P79" i="24"/>
  <c r="K79" i="24"/>
  <c r="I79" i="24"/>
  <c r="AA14" i="24"/>
  <c r="I87" i="24"/>
  <c r="K87" i="24"/>
  <c r="P87" i="24"/>
  <c r="P130" i="24"/>
  <c r="K130" i="24"/>
  <c r="I130" i="24"/>
  <c r="P49" i="24"/>
  <c r="I49" i="24"/>
  <c r="K49" i="24"/>
  <c r="AA124" i="24"/>
  <c r="AA109" i="24"/>
  <c r="I142" i="24"/>
  <c r="P142" i="24"/>
  <c r="K142" i="24"/>
  <c r="P48" i="24"/>
  <c r="I48" i="24"/>
  <c r="K48" i="24"/>
  <c r="K169" i="24"/>
  <c r="I169" i="24"/>
  <c r="P169" i="24"/>
  <c r="I174" i="24"/>
  <c r="K174" i="24"/>
  <c r="P174" i="24"/>
  <c r="I63" i="24"/>
  <c r="K63" i="24"/>
  <c r="P63" i="24"/>
  <c r="I52" i="24"/>
  <c r="K52" i="24"/>
  <c r="P52" i="24"/>
  <c r="I64" i="24"/>
  <c r="K64" i="24"/>
  <c r="P64" i="24"/>
  <c r="I50" i="24"/>
  <c r="P50" i="24"/>
  <c r="K50" i="24"/>
  <c r="K165" i="24"/>
  <c r="I165" i="24"/>
  <c r="P165" i="24"/>
  <c r="K140" i="24"/>
  <c r="I140" i="24"/>
  <c r="P140" i="24"/>
  <c r="I74" i="24"/>
  <c r="K74" i="24"/>
  <c r="P74" i="24"/>
  <c r="K76" i="24"/>
  <c r="I76" i="24"/>
  <c r="P76" i="24"/>
  <c r="P145" i="24"/>
  <c r="I145" i="24"/>
  <c r="K145" i="24"/>
  <c r="K124" i="24"/>
  <c r="I124" i="24"/>
  <c r="P124" i="24"/>
  <c r="K10" i="24"/>
  <c r="P10" i="24"/>
  <c r="I10" i="24"/>
  <c r="AA148" i="24"/>
  <c r="AA152" i="24"/>
  <c r="AA169" i="24"/>
  <c r="I107" i="24"/>
  <c r="K107" i="24"/>
  <c r="P107" i="24"/>
  <c r="AA41" i="24"/>
  <c r="AA161" i="24"/>
  <c r="AA129" i="24"/>
  <c r="AH54" i="23" l="1"/>
  <c r="P4" i="24"/>
  <c r="W56" i="24" s="1"/>
  <c r="I4" i="24"/>
  <c r="I82" i="22"/>
  <c r="I115" i="22"/>
  <c r="I102" i="22"/>
  <c r="J65" i="22"/>
  <c r="I100" i="22"/>
  <c r="I71" i="22"/>
  <c r="J85" i="22"/>
  <c r="I104" i="22"/>
  <c r="I65" i="22"/>
  <c r="J71" i="22"/>
  <c r="J86" i="22"/>
  <c r="I109" i="22"/>
  <c r="I85" i="22"/>
  <c r="I88" i="22"/>
  <c r="J104" i="22"/>
  <c r="I110" i="22"/>
  <c r="J78" i="22"/>
  <c r="I86" i="22"/>
  <c r="J109" i="22"/>
  <c r="J100" i="22"/>
  <c r="J110" i="22"/>
  <c r="I78" i="22"/>
  <c r="J113" i="22"/>
  <c r="J111" i="22"/>
  <c r="I113" i="22"/>
  <c r="I73" i="22"/>
  <c r="J88" i="22"/>
  <c r="I111" i="22"/>
  <c r="J73" i="22"/>
  <c r="I68" i="22"/>
  <c r="I126" i="22"/>
  <c r="J68" i="22"/>
  <c r="I72" i="22"/>
  <c r="J126" i="22"/>
  <c r="J8" i="22"/>
  <c r="J72" i="22"/>
  <c r="J115" i="22"/>
  <c r="J121" i="22"/>
  <c r="J102" i="22"/>
  <c r="J122" i="22"/>
  <c r="I121" i="22"/>
  <c r="I122" i="22"/>
  <c r="I8" i="22"/>
  <c r="J82" i="22"/>
  <c r="J22" i="22"/>
  <c r="J75" i="22"/>
  <c r="I45" i="22"/>
  <c r="I87" i="22"/>
  <c r="I95" i="22"/>
  <c r="J93" i="22"/>
  <c r="J97" i="22"/>
  <c r="J56" i="22"/>
  <c r="I120" i="22"/>
  <c r="J36" i="22"/>
  <c r="J99" i="22"/>
  <c r="I57" i="22"/>
  <c r="J118" i="22"/>
  <c r="J27" i="22"/>
  <c r="J32" i="22"/>
  <c r="I123" i="22"/>
  <c r="I22" i="22"/>
  <c r="J45" i="22"/>
  <c r="I107" i="22"/>
  <c r="I61" i="22"/>
  <c r="J95" i="22"/>
  <c r="J35" i="22"/>
  <c r="J17" i="22"/>
  <c r="I15" i="22"/>
  <c r="J114" i="22"/>
  <c r="J120" i="22"/>
  <c r="I99" i="22"/>
  <c r="I60" i="22"/>
  <c r="J123" i="22"/>
  <c r="I55" i="22"/>
  <c r="I47" i="22"/>
  <c r="I119" i="22"/>
  <c r="J107" i="22"/>
  <c r="J87" i="22"/>
  <c r="J61" i="22"/>
  <c r="J112" i="22"/>
  <c r="I18" i="22"/>
  <c r="J15" i="22"/>
  <c r="I114" i="22"/>
  <c r="J51" i="22"/>
  <c r="J25" i="22"/>
  <c r="J105" i="22"/>
  <c r="I92" i="22"/>
  <c r="I25" i="22"/>
  <c r="J92" i="22"/>
  <c r="I116" i="22"/>
  <c r="J26" i="22"/>
  <c r="J47" i="22"/>
  <c r="J119" i="22"/>
  <c r="J13" i="22"/>
  <c r="I112" i="22"/>
  <c r="I39" i="22"/>
  <c r="J18" i="22"/>
  <c r="J33" i="22"/>
  <c r="I17" i="22"/>
  <c r="I59" i="22"/>
  <c r="I94" i="22"/>
  <c r="I98" i="22"/>
  <c r="I96" i="22"/>
  <c r="J81" i="22"/>
  <c r="I105" i="22"/>
  <c r="I26" i="22"/>
  <c r="I9" i="22"/>
  <c r="I11" i="22"/>
  <c r="I13" i="22"/>
  <c r="I38" i="22"/>
  <c r="I108" i="22"/>
  <c r="J39" i="22"/>
  <c r="J40" i="22"/>
  <c r="I58" i="22"/>
  <c r="J98" i="22"/>
  <c r="J96" i="22"/>
  <c r="I81" i="22"/>
  <c r="I24" i="22"/>
  <c r="J9" i="22"/>
  <c r="I101" i="22"/>
  <c r="J11" i="22"/>
  <c r="J38" i="22"/>
  <c r="I28" i="22"/>
  <c r="J108" i="22"/>
  <c r="J66" i="22"/>
  <c r="J31" i="22"/>
  <c r="I20" i="22"/>
  <c r="J90" i="22"/>
  <c r="I40" i="22"/>
  <c r="J83" i="22"/>
  <c r="I51" i="22"/>
  <c r="J44" i="22"/>
  <c r="J116" i="22"/>
  <c r="I91" i="22"/>
  <c r="J24" i="22"/>
  <c r="J42" i="22"/>
  <c r="J55" i="22"/>
  <c r="J101" i="22"/>
  <c r="J54" i="22"/>
  <c r="J16" i="22"/>
  <c r="J69" i="22"/>
  <c r="J117" i="22"/>
  <c r="J67" i="22"/>
  <c r="I31" i="22"/>
  <c r="I90" i="22"/>
  <c r="I33" i="22"/>
  <c r="I37" i="22"/>
  <c r="J59" i="22"/>
  <c r="I83" i="22"/>
  <c r="J58" i="22"/>
  <c r="J23" i="22"/>
  <c r="J94" i="22"/>
  <c r="J46" i="22"/>
  <c r="I44" i="22"/>
  <c r="J12" i="22"/>
  <c r="I42" i="22"/>
  <c r="J84" i="22"/>
  <c r="I54" i="22"/>
  <c r="I16" i="22"/>
  <c r="I69" i="22"/>
  <c r="I117" i="22"/>
  <c r="I67" i="22"/>
  <c r="J80" i="22"/>
  <c r="J20" i="22"/>
  <c r="I103" i="22"/>
  <c r="J37" i="22"/>
  <c r="I14" i="22"/>
  <c r="I23" i="22"/>
  <c r="J34" i="22"/>
  <c r="I46" i="22"/>
  <c r="J60" i="22"/>
  <c r="I12" i="22"/>
  <c r="J91" i="22"/>
  <c r="I32" i="22"/>
  <c r="I84" i="22"/>
  <c r="I62" i="22"/>
  <c r="J43" i="22"/>
  <c r="I30" i="22"/>
  <c r="J28" i="22"/>
  <c r="J10" i="22"/>
  <c r="J106" i="22"/>
  <c r="I66" i="22"/>
  <c r="J29" i="22"/>
  <c r="I80" i="22"/>
  <c r="I89" i="22"/>
  <c r="I77" i="22"/>
  <c r="I34" i="22"/>
  <c r="J48" i="22"/>
  <c r="I49" i="22"/>
  <c r="J125" i="22"/>
  <c r="I75" i="22"/>
  <c r="J53" i="22"/>
  <c r="J62" i="22"/>
  <c r="I43" i="22"/>
  <c r="J30" i="22"/>
  <c r="I106" i="22"/>
  <c r="I93" i="22"/>
  <c r="I74" i="22"/>
  <c r="J89" i="22"/>
  <c r="J77" i="22"/>
  <c r="I41" i="22"/>
  <c r="J49" i="22"/>
  <c r="I125" i="22"/>
  <c r="I53" i="22"/>
  <c r="J79" i="22"/>
  <c r="I124" i="22"/>
  <c r="I35" i="22"/>
  <c r="I29" i="22"/>
  <c r="J70" i="22"/>
  <c r="J76" i="22"/>
  <c r="J19" i="22"/>
  <c r="J14" i="22"/>
  <c r="J50" i="22"/>
  <c r="J21" i="22"/>
  <c r="J64" i="22"/>
  <c r="J52" i="22"/>
  <c r="I63" i="22"/>
  <c r="J41" i="22"/>
  <c r="I48" i="22"/>
  <c r="I79" i="22"/>
  <c r="I10" i="22"/>
  <c r="J124" i="22"/>
  <c r="I70" i="22"/>
  <c r="I76" i="22"/>
  <c r="I97" i="22"/>
  <c r="J74" i="22"/>
  <c r="I19" i="22"/>
  <c r="J103" i="22"/>
  <c r="I50" i="22"/>
  <c r="I56" i="22"/>
  <c r="I21" i="22"/>
  <c r="I36" i="22"/>
  <c r="I64" i="22"/>
  <c r="I52" i="22"/>
  <c r="J57" i="22"/>
  <c r="I118" i="22"/>
  <c r="J63" i="22"/>
  <c r="I27" i="22"/>
  <c r="W37" i="24"/>
  <c r="W116" i="24"/>
  <c r="W15" i="24"/>
  <c r="W175" i="24"/>
  <c r="J106" i="24"/>
  <c r="J44" i="24" l="1"/>
  <c r="W178" i="24"/>
  <c r="W25" i="24"/>
  <c r="W106" i="24"/>
  <c r="W18" i="24"/>
  <c r="W163" i="24"/>
  <c r="W67" i="24"/>
  <c r="W141" i="24"/>
  <c r="W114" i="24"/>
  <c r="J83" i="24"/>
  <c r="W170" i="24"/>
  <c r="W169" i="24"/>
  <c r="W134" i="24"/>
  <c r="J60" i="24"/>
  <c r="J12" i="24"/>
  <c r="W45" i="24"/>
  <c r="W62" i="24"/>
  <c r="W12" i="24"/>
  <c r="W117" i="24"/>
  <c r="W31" i="24"/>
  <c r="J127" i="24"/>
  <c r="W30" i="24"/>
  <c r="W50" i="24"/>
  <c r="W125" i="24"/>
  <c r="W43" i="24"/>
  <c r="W14" i="24"/>
  <c r="W34" i="24"/>
  <c r="J75" i="24"/>
  <c r="W51" i="24"/>
  <c r="W11" i="24"/>
  <c r="W58" i="24"/>
  <c r="J116" i="24"/>
  <c r="J38" i="24"/>
  <c r="J49" i="24"/>
  <c r="J117" i="24"/>
  <c r="J77" i="24"/>
  <c r="J130" i="24"/>
  <c r="J47" i="24"/>
  <c r="W144" i="24"/>
  <c r="W101" i="24"/>
  <c r="W147" i="24"/>
  <c r="W153" i="24"/>
  <c r="W184" i="24"/>
  <c r="W38" i="24"/>
  <c r="W103" i="24"/>
  <c r="W180" i="24"/>
  <c r="W105" i="24"/>
  <c r="J80" i="24"/>
  <c r="J59" i="24"/>
  <c r="J178" i="24"/>
  <c r="J27" i="24"/>
  <c r="J160" i="24"/>
  <c r="J96" i="24"/>
  <c r="J37" i="24"/>
  <c r="J76" i="24"/>
  <c r="W127" i="24"/>
  <c r="W41" i="24"/>
  <c r="J84" i="24"/>
  <c r="J19" i="24"/>
  <c r="J10" i="24"/>
  <c r="J168" i="24"/>
  <c r="W90" i="24"/>
  <c r="J53" i="24"/>
  <c r="W26" i="24"/>
  <c r="W55" i="24"/>
  <c r="W92" i="24"/>
  <c r="J58" i="24"/>
  <c r="W77" i="24"/>
  <c r="W44" i="24"/>
  <c r="W156" i="24"/>
  <c r="W176" i="24"/>
  <c r="J56" i="24"/>
  <c r="W39" i="24"/>
  <c r="J66" i="24"/>
  <c r="W16" i="24"/>
  <c r="J144" i="24"/>
  <c r="W118" i="24"/>
  <c r="J48" i="24"/>
  <c r="W140" i="24"/>
  <c r="J182" i="24"/>
  <c r="W64" i="24"/>
  <c r="W84" i="24"/>
  <c r="W96" i="24"/>
  <c r="W28" i="24"/>
  <c r="W17" i="24"/>
  <c r="J17" i="24"/>
  <c r="W137" i="24"/>
  <c r="W177" i="24"/>
  <c r="W10" i="24"/>
  <c r="W133" i="24"/>
  <c r="W40" i="24"/>
  <c r="W139" i="24"/>
  <c r="W124" i="24"/>
  <c r="W108" i="24"/>
  <c r="J169" i="24"/>
  <c r="J90" i="24"/>
  <c r="J43" i="24"/>
  <c r="J101" i="24"/>
  <c r="W183" i="24"/>
  <c r="J23" i="24"/>
  <c r="J22" i="24"/>
  <c r="J125" i="24"/>
  <c r="W160" i="24"/>
  <c r="W99" i="24"/>
  <c r="W47" i="24"/>
  <c r="J95" i="24"/>
  <c r="J163" i="24"/>
  <c r="J142" i="24"/>
  <c r="J154" i="24"/>
  <c r="J147" i="24"/>
  <c r="J24" i="24"/>
  <c r="J164" i="24"/>
  <c r="J105" i="24"/>
  <c r="J69" i="24"/>
  <c r="J63" i="24"/>
  <c r="J136" i="24"/>
  <c r="J25" i="24"/>
  <c r="J103" i="24"/>
  <c r="J184" i="24"/>
  <c r="J139" i="24"/>
  <c r="J45" i="24"/>
  <c r="J21" i="24"/>
  <c r="W36" i="24"/>
  <c r="J35" i="24"/>
  <c r="W145" i="24"/>
  <c r="J181" i="24"/>
  <c r="W89" i="24"/>
  <c r="J81" i="24"/>
  <c r="J34" i="24"/>
  <c r="J98" i="24"/>
  <c r="J36" i="24"/>
  <c r="W171" i="24"/>
  <c r="J28" i="24"/>
  <c r="J159" i="24"/>
  <c r="W70" i="24"/>
  <c r="J31" i="24"/>
  <c r="J20" i="24"/>
  <c r="J108" i="24"/>
  <c r="W87" i="24"/>
  <c r="J156" i="24"/>
  <c r="W46" i="24"/>
  <c r="J172" i="24"/>
  <c r="W48" i="24"/>
  <c r="J161" i="24"/>
  <c r="W32" i="24"/>
  <c r="W94" i="24"/>
  <c r="W57" i="24"/>
  <c r="J18" i="24"/>
  <c r="J26" i="24"/>
  <c r="J52" i="24"/>
  <c r="W123" i="24"/>
  <c r="J170" i="24"/>
  <c r="J9" i="24"/>
  <c r="W22" i="24"/>
  <c r="J150" i="24"/>
  <c r="J167" i="24"/>
  <c r="J64" i="24"/>
  <c r="W33" i="24"/>
  <c r="W93" i="24"/>
  <c r="J29" i="24"/>
  <c r="J92" i="24"/>
  <c r="J132" i="24"/>
  <c r="W142" i="24"/>
  <c r="W80" i="24"/>
  <c r="J112" i="24"/>
  <c r="W95" i="24"/>
  <c r="W98" i="24"/>
  <c r="W63" i="24"/>
  <c r="J175" i="24"/>
  <c r="W167" i="24"/>
  <c r="W172" i="24"/>
  <c r="W81" i="24"/>
  <c r="W27" i="24"/>
  <c r="J133" i="24"/>
  <c r="J171" i="24"/>
  <c r="J165" i="24"/>
  <c r="J54" i="24"/>
  <c r="J120" i="24"/>
  <c r="W49" i="24"/>
  <c r="W159" i="24"/>
  <c r="W165" i="24"/>
  <c r="W60" i="24"/>
  <c r="W112" i="24"/>
  <c r="W122" i="24"/>
  <c r="W143" i="24"/>
  <c r="W146" i="24"/>
  <c r="W126" i="24"/>
  <c r="W166" i="24"/>
  <c r="W138" i="24"/>
  <c r="W113" i="24"/>
  <c r="W149" i="24"/>
  <c r="W109" i="24"/>
  <c r="W115" i="24"/>
  <c r="W102" i="24"/>
  <c r="W129" i="24"/>
  <c r="W135" i="24"/>
  <c r="W86" i="24"/>
  <c r="W111" i="24"/>
  <c r="W68" i="24"/>
  <c r="W151" i="24"/>
  <c r="W179" i="24"/>
  <c r="W100" i="24"/>
  <c r="W72" i="24"/>
  <c r="W73" i="24"/>
  <c r="W152" i="24"/>
  <c r="W131" i="24"/>
  <c r="W88" i="24"/>
  <c r="W71" i="24"/>
  <c r="W121" i="24"/>
  <c r="W85" i="24"/>
  <c r="W148" i="24"/>
  <c r="W128" i="24"/>
  <c r="AW6" i="24" s="1" a="1"/>
  <c r="AW6" i="24" s="1"/>
  <c r="W65" i="24"/>
  <c r="W104" i="24"/>
  <c r="W162" i="24"/>
  <c r="W82" i="24"/>
  <c r="W78" i="24"/>
  <c r="W110" i="24"/>
  <c r="W158" i="24"/>
  <c r="W19" i="24"/>
  <c r="W42" i="24"/>
  <c r="J55" i="24"/>
  <c r="J176" i="24"/>
  <c r="J137" i="24"/>
  <c r="J61" i="24"/>
  <c r="W59" i="24"/>
  <c r="W9" i="24"/>
  <c r="J107" i="24"/>
  <c r="J15" i="24"/>
  <c r="W52" i="24"/>
  <c r="J129" i="24"/>
  <c r="J148" i="24"/>
  <c r="J151" i="24"/>
  <c r="J115" i="24"/>
  <c r="J166" i="24"/>
  <c r="J109" i="24"/>
  <c r="J162" i="24"/>
  <c r="J104" i="24"/>
  <c r="J78" i="24"/>
  <c r="J82" i="24"/>
  <c r="J135" i="24"/>
  <c r="J131" i="24"/>
  <c r="J152" i="24"/>
  <c r="J86" i="24"/>
  <c r="J111" i="24"/>
  <c r="J65" i="24"/>
  <c r="J121" i="24"/>
  <c r="J73" i="24"/>
  <c r="J179" i="24"/>
  <c r="J113" i="24"/>
  <c r="J102" i="24"/>
  <c r="J68" i="24"/>
  <c r="J122" i="24"/>
  <c r="J149" i="24"/>
  <c r="J128" i="24"/>
  <c r="J126" i="24"/>
  <c r="J85" i="24"/>
  <c r="J88" i="24"/>
  <c r="J146" i="24"/>
  <c r="J143" i="24"/>
  <c r="J100" i="24"/>
  <c r="J158" i="24"/>
  <c r="J110" i="24"/>
  <c r="J138" i="24"/>
  <c r="J72" i="24"/>
  <c r="J71" i="24"/>
  <c r="J57" i="24"/>
  <c r="W24" i="24"/>
  <c r="J40" i="24"/>
  <c r="J79" i="24"/>
  <c r="W155" i="24"/>
  <c r="W164" i="24"/>
  <c r="J51" i="24"/>
  <c r="W20" i="24"/>
  <c r="W35" i="24"/>
  <c r="W74" i="24"/>
  <c r="J114" i="24"/>
  <c r="J126" i="23"/>
  <c r="J92" i="23"/>
  <c r="K123" i="23"/>
  <c r="J68" i="23"/>
  <c r="K81" i="23"/>
  <c r="J112" i="23"/>
  <c r="K70" i="23"/>
  <c r="AE128" i="24"/>
  <c r="J70" i="23"/>
  <c r="J123" i="23"/>
  <c r="K121" i="23"/>
  <c r="J121" i="23"/>
  <c r="J86" i="23"/>
  <c r="J79" i="23"/>
  <c r="K68" i="23"/>
  <c r="K90" i="23"/>
  <c r="K86" i="23"/>
  <c r="J110" i="23"/>
  <c r="AF128" i="24"/>
  <c r="J75" i="23"/>
  <c r="K92" i="23"/>
  <c r="K112" i="23"/>
  <c r="J77" i="23"/>
  <c r="K110" i="23"/>
  <c r="K103" i="23"/>
  <c r="J105" i="23"/>
  <c r="K105" i="23"/>
  <c r="J81" i="23"/>
  <c r="K77" i="23"/>
  <c r="J97" i="23"/>
  <c r="J90" i="23"/>
  <c r="K79" i="23"/>
  <c r="K97" i="23"/>
  <c r="K75" i="23"/>
  <c r="K126" i="23"/>
  <c r="J103" i="23"/>
  <c r="AF75" i="24"/>
  <c r="AF59" i="24"/>
  <c r="AF132" i="24"/>
  <c r="K94" i="23"/>
  <c r="AF138" i="24"/>
  <c r="AE52" i="24"/>
  <c r="J52" i="23"/>
  <c r="AE48" i="24"/>
  <c r="AE172" i="24"/>
  <c r="J61" i="23"/>
  <c r="K43" i="23"/>
  <c r="J91" i="23"/>
  <c r="AE167" i="24"/>
  <c r="AE54" i="24"/>
  <c r="K16" i="23"/>
  <c r="AE8" i="24"/>
  <c r="AF44" i="24"/>
  <c r="AE63" i="24"/>
  <c r="AE89" i="24"/>
  <c r="AF58" i="24"/>
  <c r="AE86" i="24"/>
  <c r="AE84" i="24"/>
  <c r="J35" i="23"/>
  <c r="AE116" i="24"/>
  <c r="J122" i="23"/>
  <c r="AE62" i="24"/>
  <c r="AF40" i="24"/>
  <c r="AE166" i="24"/>
  <c r="AE64" i="24"/>
  <c r="AE35" i="24"/>
  <c r="AE36" i="24"/>
  <c r="AF100" i="24"/>
  <c r="K118" i="23"/>
  <c r="AF159" i="24"/>
  <c r="J18" i="23"/>
  <c r="AE75" i="24"/>
  <c r="AE9" i="24"/>
  <c r="AF179" i="24"/>
  <c r="AE132" i="24"/>
  <c r="J69" i="23"/>
  <c r="AE138" i="24"/>
  <c r="AF69" i="24"/>
  <c r="AF48" i="24"/>
  <c r="AE23" i="24"/>
  <c r="AE70" i="24"/>
  <c r="AF167" i="24"/>
  <c r="AE183" i="24"/>
  <c r="AF54" i="24"/>
  <c r="K10" i="23"/>
  <c r="AE44" i="24"/>
  <c r="AF13" i="24"/>
  <c r="AF178" i="24"/>
  <c r="K39" i="23"/>
  <c r="K38" i="23"/>
  <c r="AF84" i="24"/>
  <c r="AF131" i="24"/>
  <c r="AF62" i="24"/>
  <c r="AE40" i="24"/>
  <c r="AF166" i="24"/>
  <c r="AE26" i="24"/>
  <c r="J83" i="23"/>
  <c r="J117" i="23"/>
  <c r="K104" i="23"/>
  <c r="AF182" i="24"/>
  <c r="AF64" i="24"/>
  <c r="AE126" i="24"/>
  <c r="K19" i="23"/>
  <c r="J54" i="23"/>
  <c r="K120" i="23"/>
  <c r="AE115" i="24"/>
  <c r="AE29" i="24"/>
  <c r="J23" i="23"/>
  <c r="AF31" i="24"/>
  <c r="AF135" i="24"/>
  <c r="AF177" i="24"/>
  <c r="AF68" i="24"/>
  <c r="K67" i="23"/>
  <c r="AE129" i="24"/>
  <c r="AE109" i="24"/>
  <c r="J31" i="23"/>
  <c r="AE41" i="24"/>
  <c r="K52" i="23"/>
  <c r="AF169" i="24"/>
  <c r="AE152" i="24"/>
  <c r="J11" i="23"/>
  <c r="AF98" i="24"/>
  <c r="AE85" i="24"/>
  <c r="J10" i="23"/>
  <c r="K20" i="23"/>
  <c r="J119" i="23"/>
  <c r="J108" i="23"/>
  <c r="AF106" i="24"/>
  <c r="AE45" i="24"/>
  <c r="J42" i="23"/>
  <c r="J15" i="23"/>
  <c r="J107" i="23"/>
  <c r="AE178" i="24"/>
  <c r="J39" i="23"/>
  <c r="AE110" i="24"/>
  <c r="AF80" i="24"/>
  <c r="J59" i="23"/>
  <c r="AF173" i="24"/>
  <c r="K12" i="23"/>
  <c r="AE137" i="24"/>
  <c r="J53" i="23"/>
  <c r="AE147" i="24"/>
  <c r="AF26" i="24"/>
  <c r="K83" i="23"/>
  <c r="K117" i="23"/>
  <c r="J104" i="23"/>
  <c r="AE165" i="24"/>
  <c r="AE182" i="24"/>
  <c r="AF150" i="24"/>
  <c r="K32" i="23"/>
  <c r="AF126" i="24"/>
  <c r="J19" i="23"/>
  <c r="K37" i="23"/>
  <c r="J71" i="23"/>
  <c r="AF25" i="24"/>
  <c r="J80" i="23"/>
  <c r="AF29" i="24"/>
  <c r="AF101" i="24"/>
  <c r="AE149" i="24"/>
  <c r="AE31" i="24"/>
  <c r="K56" i="23"/>
  <c r="J85" i="23"/>
  <c r="AF139" i="24"/>
  <c r="AF60" i="24"/>
  <c r="K44" i="23"/>
  <c r="J51" i="23"/>
  <c r="K63" i="23"/>
  <c r="K8" i="23"/>
  <c r="K72" i="23"/>
  <c r="J44" i="23"/>
  <c r="AE159" i="24"/>
  <c r="J67" i="23"/>
  <c r="AF129" i="24"/>
  <c r="AF109" i="24"/>
  <c r="K69" i="23"/>
  <c r="J28" i="23"/>
  <c r="AF41" i="24"/>
  <c r="AE169" i="24"/>
  <c r="AF152" i="24"/>
  <c r="AE14" i="24"/>
  <c r="K61" i="23"/>
  <c r="K11" i="23"/>
  <c r="AF85" i="24"/>
  <c r="AF156" i="24"/>
  <c r="J20" i="23"/>
  <c r="AE76" i="24"/>
  <c r="K108" i="23"/>
  <c r="AE106" i="24"/>
  <c r="AF51" i="24"/>
  <c r="AF45" i="24"/>
  <c r="K42" i="23"/>
  <c r="K107" i="23"/>
  <c r="AE13" i="24"/>
  <c r="AE95" i="24"/>
  <c r="AF118" i="24"/>
  <c r="J115" i="23"/>
  <c r="AE80" i="24"/>
  <c r="AF108" i="24"/>
  <c r="AF103" i="24"/>
  <c r="AE173" i="24"/>
  <c r="J12" i="23"/>
  <c r="K122" i="23"/>
  <c r="AF147" i="24"/>
  <c r="K55" i="23"/>
  <c r="AF83" i="24"/>
  <c r="AF165" i="24"/>
  <c r="AE150" i="24"/>
  <c r="AF18" i="24"/>
  <c r="J32" i="23"/>
  <c r="AE50" i="24"/>
  <c r="AF55" i="24"/>
  <c r="AE111" i="24"/>
  <c r="AE25" i="24"/>
  <c r="AF122" i="24"/>
  <c r="AE101" i="24"/>
  <c r="AF149" i="24"/>
  <c r="K23" i="23"/>
  <c r="AF46" i="24"/>
  <c r="J56" i="23"/>
  <c r="AE135" i="24"/>
  <c r="J74" i="23"/>
  <c r="AE56" i="24"/>
  <c r="K102" i="23"/>
  <c r="J111" i="23"/>
  <c r="K60" i="23"/>
  <c r="AF164" i="24"/>
  <c r="AF160" i="24"/>
  <c r="AE133" i="24"/>
  <c r="K84" i="23"/>
  <c r="AE65" i="24"/>
  <c r="J29" i="23"/>
  <c r="AE58" i="24"/>
  <c r="J49" i="23"/>
  <c r="AE118" i="24"/>
  <c r="J38" i="23"/>
  <c r="AF110" i="24"/>
  <c r="K115" i="23"/>
  <c r="AE103" i="24"/>
  <c r="AE144" i="24"/>
  <c r="AE162" i="24"/>
  <c r="AE61" i="24"/>
  <c r="J55" i="23"/>
  <c r="AE83" i="24"/>
  <c r="AF34" i="24"/>
  <c r="AE18" i="24"/>
  <c r="AE55" i="24"/>
  <c r="AF111" i="24"/>
  <c r="AE122" i="24"/>
  <c r="J46" i="23"/>
  <c r="AF151" i="24"/>
  <c r="AE46" i="24"/>
  <c r="J8" i="23"/>
  <c r="K78" i="23"/>
  <c r="AE153" i="24"/>
  <c r="J26" i="23"/>
  <c r="AF174" i="24"/>
  <c r="AE99" i="24"/>
  <c r="K111" i="23"/>
  <c r="AE27" i="24"/>
  <c r="K45" i="23"/>
  <c r="AE164" i="24"/>
  <c r="AE112" i="24"/>
  <c r="AE12" i="24"/>
  <c r="AE160" i="24"/>
  <c r="AE69" i="24"/>
  <c r="AE77" i="24"/>
  <c r="AF23" i="24"/>
  <c r="AF70" i="24"/>
  <c r="AE81" i="24"/>
  <c r="AE98" i="24"/>
  <c r="AE15" i="24"/>
  <c r="AE154" i="24"/>
  <c r="J30" i="23"/>
  <c r="AF136" i="24"/>
  <c r="AF65" i="24"/>
  <c r="K29" i="23"/>
  <c r="J17" i="23"/>
  <c r="K15" i="23"/>
  <c r="AF74" i="24"/>
  <c r="K49" i="23"/>
  <c r="J41" i="23"/>
  <c r="AE131" i="24"/>
  <c r="K59" i="23"/>
  <c r="AF142" i="24"/>
  <c r="J109" i="23"/>
  <c r="AF162" i="24"/>
  <c r="AE79" i="24"/>
  <c r="AF47" i="24"/>
  <c r="K53" i="23"/>
  <c r="K40" i="23"/>
  <c r="AF61" i="24"/>
  <c r="K76" i="23"/>
  <c r="K64" i="23"/>
  <c r="AE34" i="24"/>
  <c r="J37" i="23"/>
  <c r="AF93" i="24"/>
  <c r="J89" i="23"/>
  <c r="AF115" i="24"/>
  <c r="AE151" i="24"/>
  <c r="K116" i="23"/>
  <c r="J78" i="23"/>
  <c r="AE72" i="24"/>
  <c r="K26" i="23"/>
  <c r="AF143" i="24"/>
  <c r="J9" i="23"/>
  <c r="AE105" i="24"/>
  <c r="AF27" i="24"/>
  <c r="J45" i="23"/>
  <c r="AE155" i="24"/>
  <c r="AE94" i="24"/>
  <c r="AF91" i="24"/>
  <c r="AF12" i="24"/>
  <c r="K28" i="23"/>
  <c r="AE184" i="24"/>
  <c r="AF77" i="24"/>
  <c r="AE57" i="24"/>
  <c r="AF81" i="24"/>
  <c r="AE117" i="24"/>
  <c r="AF154" i="24"/>
  <c r="AE30" i="24"/>
  <c r="K30" i="23"/>
  <c r="K27" i="23"/>
  <c r="K17" i="23"/>
  <c r="K47" i="23"/>
  <c r="K98" i="23"/>
  <c r="AE74" i="24"/>
  <c r="K41" i="23"/>
  <c r="K62" i="23"/>
  <c r="K58" i="23"/>
  <c r="AE142" i="24"/>
  <c r="J36" i="23"/>
  <c r="K109" i="23"/>
  <c r="AF113" i="24"/>
  <c r="AF144" i="24"/>
  <c r="AF79" i="24"/>
  <c r="AE47" i="24"/>
  <c r="J40" i="23"/>
  <c r="J64" i="23"/>
  <c r="AF22" i="24"/>
  <c r="AF141" i="24"/>
  <c r="AF50" i="24"/>
  <c r="AF125" i="24"/>
  <c r="J101" i="23"/>
  <c r="AE93" i="24"/>
  <c r="K89" i="23"/>
  <c r="AE82" i="24"/>
  <c r="AE121" i="24"/>
  <c r="AE21" i="24"/>
  <c r="K46" i="23"/>
  <c r="AF92" i="24"/>
  <c r="K124" i="23"/>
  <c r="AF146" i="24"/>
  <c r="AE28" i="24"/>
  <c r="AE20" i="24"/>
  <c r="AE120" i="24"/>
  <c r="AE157" i="24"/>
  <c r="J116" i="23"/>
  <c r="AE114" i="24"/>
  <c r="AF72" i="24"/>
  <c r="K66" i="23"/>
  <c r="J102" i="23"/>
  <c r="AF104" i="24"/>
  <c r="AF105" i="24"/>
  <c r="AE107" i="24"/>
  <c r="J60" i="23"/>
  <c r="AF155" i="24"/>
  <c r="AF112" i="24"/>
  <c r="K96" i="23"/>
  <c r="AE91" i="24"/>
  <c r="AF163" i="24"/>
  <c r="AF16" i="24"/>
  <c r="AF184" i="24"/>
  <c r="J99" i="23"/>
  <c r="AF57" i="24"/>
  <c r="AF130" i="24"/>
  <c r="AE33" i="24"/>
  <c r="AF117" i="24"/>
  <c r="K82" i="23"/>
  <c r="AF30" i="24"/>
  <c r="AF11" i="24"/>
  <c r="K113" i="23"/>
  <c r="J84" i="23"/>
  <c r="AE136" i="24"/>
  <c r="J27" i="23"/>
  <c r="J47" i="23"/>
  <c r="J98" i="23"/>
  <c r="AE78" i="24"/>
  <c r="AE108" i="24"/>
  <c r="J58" i="23"/>
  <c r="K36" i="23"/>
  <c r="J93" i="23"/>
  <c r="AE113" i="24"/>
  <c r="AE175" i="24"/>
  <c r="AE141" i="24"/>
  <c r="K33" i="23"/>
  <c r="AE125" i="24"/>
  <c r="K101" i="23"/>
  <c r="AF82" i="24"/>
  <c r="AF121" i="24"/>
  <c r="AF21" i="24"/>
  <c r="J114" i="23"/>
  <c r="AE92" i="24"/>
  <c r="AE96" i="24"/>
  <c r="AE146" i="24"/>
  <c r="AF145" i="24"/>
  <c r="AE68" i="24"/>
  <c r="AF20" i="24"/>
  <c r="AF120" i="24"/>
  <c r="K22" i="23"/>
  <c r="AF157" i="24"/>
  <c r="AF114" i="24"/>
  <c r="AF153" i="24"/>
  <c r="K88" i="23"/>
  <c r="J118" i="23"/>
  <c r="AE104" i="24"/>
  <c r="AF107" i="24"/>
  <c r="AF94" i="24"/>
  <c r="J96" i="23"/>
  <c r="K13" i="23"/>
  <c r="AE16" i="24"/>
  <c r="AF19" i="24"/>
  <c r="AF33" i="24"/>
  <c r="AE24" i="24"/>
  <c r="AF15" i="24"/>
  <c r="AF133" i="24"/>
  <c r="AE11" i="24"/>
  <c r="K34" i="23"/>
  <c r="J113" i="23"/>
  <c r="J87" i="23"/>
  <c r="AF78" i="24"/>
  <c r="AE134" i="24"/>
  <c r="J62" i="23"/>
  <c r="AF158" i="24"/>
  <c r="AE88" i="24"/>
  <c r="AF175" i="24"/>
  <c r="AE53" i="24"/>
  <c r="AF181" i="24"/>
  <c r="J76" i="23"/>
  <c r="AE22" i="24"/>
  <c r="AE71" i="24"/>
  <c r="AF43" i="24"/>
  <c r="AF87" i="24"/>
  <c r="K125" i="23"/>
  <c r="AF168" i="24"/>
  <c r="J21" i="23"/>
  <c r="K14" i="23"/>
  <c r="K114" i="23"/>
  <c r="K74" i="23"/>
  <c r="AF96" i="24"/>
  <c r="AE145" i="24"/>
  <c r="J22" i="23"/>
  <c r="J88" i="23"/>
  <c r="K51" i="23"/>
  <c r="AE140" i="24"/>
  <c r="AF66" i="24"/>
  <c r="J94" i="23"/>
  <c r="AF161" i="24"/>
  <c r="J13" i="23"/>
  <c r="J48" i="23"/>
  <c r="AE19" i="24"/>
  <c r="K99" i="23"/>
  <c r="AF148" i="24"/>
  <c r="AF32" i="24"/>
  <c r="AF24" i="24"/>
  <c r="J82" i="23"/>
  <c r="K25" i="23"/>
  <c r="J34" i="23"/>
  <c r="AF38" i="24"/>
  <c r="J95" i="23"/>
  <c r="AE102" i="24"/>
  <c r="K57" i="23"/>
  <c r="AF134" i="24"/>
  <c r="K65" i="23"/>
  <c r="AF88" i="24"/>
  <c r="AF42" i="24"/>
  <c r="AE180" i="24"/>
  <c r="AE176" i="24"/>
  <c r="AF10" i="24"/>
  <c r="J100" i="23"/>
  <c r="AF53" i="24"/>
  <c r="AE181" i="24"/>
  <c r="AE171" i="24"/>
  <c r="AE119" i="24"/>
  <c r="J33" i="23"/>
  <c r="AE43" i="24"/>
  <c r="AE168" i="24"/>
  <c r="AE73" i="24"/>
  <c r="J14" i="23"/>
  <c r="J124" i="23"/>
  <c r="AF170" i="24"/>
  <c r="J66" i="23"/>
  <c r="K85" i="23"/>
  <c r="AF140" i="24"/>
  <c r="AF9" i="24"/>
  <c r="AE179" i="24"/>
  <c r="AE66" i="24"/>
  <c r="AE124" i="24"/>
  <c r="K106" i="23"/>
  <c r="AE163" i="24"/>
  <c r="AE161" i="24"/>
  <c r="K48" i="23"/>
  <c r="AE130" i="24"/>
  <c r="AE148" i="24"/>
  <c r="AE32" i="24"/>
  <c r="AF17" i="24"/>
  <c r="J73" i="23"/>
  <c r="AF183" i="24"/>
  <c r="AE37" i="24"/>
  <c r="J25" i="23"/>
  <c r="AF8" i="24"/>
  <c r="AE49" i="24"/>
  <c r="AE38" i="24"/>
  <c r="K95" i="23"/>
  <c r="AF102" i="24"/>
  <c r="J57" i="23"/>
  <c r="AE123" i="24"/>
  <c r="J65" i="23"/>
  <c r="AE158" i="24"/>
  <c r="AF127" i="24"/>
  <c r="AE42" i="24"/>
  <c r="AF180" i="24"/>
  <c r="AF176" i="24"/>
  <c r="AE10" i="24"/>
  <c r="AF137" i="24"/>
  <c r="AF116" i="24"/>
  <c r="K93" i="23"/>
  <c r="K100" i="23"/>
  <c r="AE67" i="24"/>
  <c r="AE39" i="24"/>
  <c r="J24" i="23"/>
  <c r="AE97" i="24"/>
  <c r="AF171" i="24"/>
  <c r="AF119" i="24"/>
  <c r="K54" i="23"/>
  <c r="AE87" i="24"/>
  <c r="J120" i="23"/>
  <c r="J125" i="23"/>
  <c r="AF73" i="24"/>
  <c r="AF28" i="24"/>
  <c r="AE170" i="24"/>
  <c r="K18" i="23"/>
  <c r="K9" i="23"/>
  <c r="AF90" i="24"/>
  <c r="AE139" i="24"/>
  <c r="AE60" i="24"/>
  <c r="AE143" i="24"/>
  <c r="AE174" i="24"/>
  <c r="AE177" i="24"/>
  <c r="AE59" i="24"/>
  <c r="K31" i="23"/>
  <c r="AF124" i="24"/>
  <c r="J106" i="23"/>
  <c r="AF52" i="24"/>
  <c r="AF14" i="24"/>
  <c r="AF172" i="24"/>
  <c r="AE17" i="24"/>
  <c r="J43" i="23"/>
  <c r="K73" i="23"/>
  <c r="K91" i="23"/>
  <c r="AE156" i="24"/>
  <c r="J16" i="23"/>
  <c r="AF37" i="24"/>
  <c r="K119" i="23"/>
  <c r="AF76" i="24"/>
  <c r="AF49" i="24"/>
  <c r="AE51" i="24"/>
  <c r="AF63" i="24"/>
  <c r="K87" i="23"/>
  <c r="AF89" i="24"/>
  <c r="AF95" i="24"/>
  <c r="AF123" i="24"/>
  <c r="AF86" i="24"/>
  <c r="AE127" i="24"/>
  <c r="K35" i="23"/>
  <c r="AF67" i="24"/>
  <c r="AF39" i="24"/>
  <c r="K24" i="23"/>
  <c r="AF97" i="24"/>
  <c r="AF71" i="24"/>
  <c r="AF35" i="24"/>
  <c r="K71" i="23"/>
  <c r="AF36" i="24"/>
  <c r="K21" i="23"/>
  <c r="AE100" i="24"/>
  <c r="K80" i="23"/>
  <c r="AE90" i="24"/>
  <c r="J50" i="23"/>
  <c r="K50" i="23"/>
  <c r="J72" i="23"/>
  <c r="AF99" i="24"/>
  <c r="J63" i="23"/>
  <c r="AF56" i="24"/>
  <c r="W91" i="24"/>
  <c r="W136" i="24"/>
  <c r="J118" i="24"/>
  <c r="J46" i="24"/>
  <c r="J119" i="24"/>
  <c r="W13" i="24"/>
  <c r="W79" i="24"/>
  <c r="J13" i="24"/>
  <c r="J145" i="24"/>
  <c r="J153" i="24"/>
  <c r="W168" i="24"/>
  <c r="W174" i="24"/>
  <c r="J50" i="24"/>
  <c r="W69" i="24"/>
  <c r="J155" i="24"/>
  <c r="W154" i="24"/>
  <c r="J93" i="24"/>
  <c r="W29" i="24"/>
  <c r="J62" i="24"/>
  <c r="J177" i="24"/>
  <c r="W23" i="24"/>
  <c r="W61" i="24"/>
  <c r="J124" i="24"/>
  <c r="W182" i="24"/>
  <c r="W75" i="24"/>
  <c r="W66" i="24"/>
  <c r="J42" i="24"/>
  <c r="J14" i="24"/>
  <c r="J157" i="24"/>
  <c r="J174" i="24"/>
  <c r="W157" i="24"/>
  <c r="W130" i="24"/>
  <c r="J41" i="24"/>
  <c r="J183" i="24"/>
  <c r="W76" i="24"/>
  <c r="W173" i="24"/>
  <c r="J123" i="24"/>
  <c r="J74" i="24"/>
  <c r="J94" i="24"/>
  <c r="W97" i="24"/>
  <c r="W150" i="24"/>
  <c r="W161" i="24"/>
  <c r="J70" i="24"/>
  <c r="J67" i="24"/>
  <c r="W181" i="24"/>
  <c r="J99" i="24"/>
  <c r="J180" i="24"/>
  <c r="W83" i="24"/>
  <c r="J141" i="24"/>
  <c r="J11" i="24"/>
  <c r="J30" i="24"/>
  <c r="W119" i="24"/>
  <c r="J173" i="24"/>
  <c r="J39" i="24"/>
  <c r="W107" i="24"/>
  <c r="J89" i="24"/>
  <c r="J134" i="24"/>
  <c r="J87" i="24"/>
  <c r="W53" i="24"/>
  <c r="W21" i="24"/>
  <c r="J32" i="24"/>
  <c r="J33" i="24"/>
  <c r="J140" i="24"/>
  <c r="J91" i="24"/>
  <c r="W120" i="24"/>
  <c r="W132" i="24"/>
  <c r="W54" i="24"/>
  <c r="J97" i="24"/>
  <c r="J16" i="24"/>
  <c r="BH6" i="24" l="1" a="1"/>
  <c r="BH6" i="2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tc={18E5A2A4-4328-4013-9C5A-7FF3FFE52F37}</author>
    <author>tc={B28540D2-8971-4B31-876F-24BE58C058FA}</author>
    <author>tc={361F45E2-544C-4814-986A-5F23748796D7}</author>
    <author>tc={84201E2F-7D32-4D3E-A68C-2A395C0AFEB1}</author>
    <author>tc={A873C920-16AD-4BAC-9C3D-8B9354B93FEC}</author>
    <author>tc={0621FDE1-092F-4B0A-B6B9-713897DF0CC5}</author>
    <author>tc={6744EB57-859E-42EA-B4F2-F10942B49A22}</author>
    <author>tc={33530D03-226A-4358-A568-CF8D6E16063E}</author>
    <author>tc={DEE131DF-B99E-49E5-B71E-E8FA46139EA4}</author>
    <author>tc={D7D1BB5E-BF21-4496-ACA8-360768C57861}</author>
    <author>tc={A4FE517B-52ED-47DC-A9CE-D59F3913061A}</author>
    <author>tc={23A8430F-0975-4873-BBFC-766DAA82BD52}</author>
    <author>tc={C9ADCFB2-7E30-41ED-B43B-6911BE354135}</author>
    <author>tc={3554D052-A587-4C91-AB4C-0861754C75B5}</author>
  </authors>
  <commentList>
    <comment ref="AE3" authorId="0" shapeId="0" xr:uid="{18E5A2A4-4328-4013-9C5A-7FF3FFE52F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E4" authorId="1" shapeId="0" xr:uid="{B28540D2-8971-4B31-876F-24BE58C058F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E5" authorId="2" shapeId="0" xr:uid="{361F45E2-544C-4814-986A-5F23748796D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E6" authorId="3" shapeId="0" xr:uid="{84201E2F-7D32-4D3E-A68C-2A395C0AFEB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A873C920-16AD-4BAC-9C3D-8B9354B93FE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Data from https://github.com/CSSEGISandData</t>
      </text>
    </comment>
    <comment ref="B62" authorId="5" shapeId="0" xr:uid="{0621FDE1-092F-4B0A-B6B9-713897DF0CC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6744EB57-859E-42EA-B4F2-F10942B49A2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33530D03-226A-4358-A568-CF8D6E16063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DEE131DF-B99E-49E5-B71E-E8FA46139EA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D7D1BB5E-BF21-4496-ACA8-360768C5786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A4FE517B-52ED-47DC-A9CE-D59F3913061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D79" authorId="11" shapeId="0" xr:uid="{23A8430F-0975-4873-BBFC-766DAA82BD5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2277 to be treated as outlier</t>
      </text>
    </comment>
    <comment ref="B90" authorId="12" shapeId="0" xr:uid="{C9ADCFB2-7E30-41ED-B43B-6911BE35413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  <comment ref="D92" authorId="13" shapeId="0" xr:uid="{3554D052-A587-4C91-AB4C-0861754C75B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49515 to be treated as outier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tc={722BC269-F91C-4139-8BC1-B2D7CFD655D1}</author>
    <author>tc={545E94EF-1517-4064-88E6-2D9228EF509C}</author>
    <author>tc={9F0F1623-7128-476E-B1C6-D2F247C712B8}</author>
    <author>tc={21AC4952-C932-4556-AB9B-F965D7C85037}</author>
    <author>tc={35848DFF-2269-48CA-BBD5-939EFA41CE4B}</author>
    <author>tc={55BA04F6-DD5C-404D-9143-067D1A800A3A}</author>
    <author>tc={BDDA7B4B-B1F4-44B2-A550-3674E961B52E}</author>
    <author>tc={4CDB76F3-57CC-4212-B53F-F8F165375B94}</author>
    <author>tc={CE65C50C-3F83-4631-A90E-C07B7C5721E9}</author>
    <author>tc={92B8577E-1708-4B0F-85FD-31A0291F718A}</author>
    <author>tc={67CE4491-269D-478E-850E-4FD0904AA888}</author>
    <author>tc={12A51D8D-BC18-4F3B-A122-CB2A491B9543}</author>
    <author>tc={052C6121-DD23-4E87-9E31-5549D0CF4536}</author>
  </authors>
  <commentList>
    <comment ref="AI3" authorId="0" shapeId="0" xr:uid="{722BC269-F91C-4139-8BC1-B2D7CFD655D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I4" authorId="1" shapeId="0" xr:uid="{545E94EF-1517-4064-88E6-2D9228EF509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I5" authorId="2" shapeId="0" xr:uid="{9F0F1623-7128-476E-B1C6-D2F247C712B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I6" authorId="3" shapeId="0" xr:uid="{21AC4952-C932-4556-AB9B-F965D7C850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35848DFF-2269-48CA-BBD5-939EFA41CE4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see previous sheet</t>
      </text>
    </comment>
    <comment ref="B62" authorId="5" shapeId="0" xr:uid="{55BA04F6-DD5C-404D-9143-067D1A800A3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BDDA7B4B-B1F4-44B2-A550-3674E961B52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4CDB76F3-57CC-4212-B53F-F8F165375B9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CE65C50C-3F83-4631-A90E-C07B7C5721E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92B8577E-1708-4B0F-85FD-31A0291F718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67CE4491-269D-478E-850E-4FD0904AA88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12A51D8D-BC18-4F3B-A122-CB2A491B954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  <comment ref="E92" authorId="12" shapeId="0" xr:uid="{052C6121-DD23-4E87-9E31-5549D0CF453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outlier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tc={5BB2974A-9676-4C5B-803F-CF982FB54C17}</author>
    <author>tc={5985897A-FB7E-4117-8EAE-F8102ABED9D6}</author>
    <author>tc={47066B5F-AE32-47EA-93C2-BB0BD06AF4AC}</author>
    <author>tc={0EE8AFFD-59E9-4E35-B418-47FBE2E4A52B}</author>
    <author>tc={3D06FFC5-AE5C-40AF-951E-8817B4F3A121}</author>
    <author>tc={F1B3988C-7831-496F-82F5-0B82EE836187}</author>
    <author>tc={13AB517F-BD4E-4746-AF07-A982E4FB6ACE}</author>
    <author>tc={DDE92F60-776B-4CDE-B4EB-B14A18B23E6B}</author>
    <author>tc={4D0715D5-E2BE-4259-9DBA-1C570C2BC087}</author>
    <author>tc={45A3707D-7D38-4419-9325-AB8727F4742B}</author>
    <author>tc={05E3B6D9-8618-4BF7-8E63-7AFE3A48A850}</author>
  </authors>
  <commentList>
    <comment ref="BZ3" authorId="0" shapeId="0" xr:uid="{5BB2974A-9676-4C5B-803F-CF982FB54C1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BZ4" authorId="1" shapeId="0" xr:uid="{5985897A-FB7E-4117-8EAE-F8102ABED9D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BZ5" authorId="2" shapeId="0" xr:uid="{47066B5F-AE32-47EA-93C2-BB0BD06AF4A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BZ6" authorId="3" shapeId="0" xr:uid="{0EE8AFFD-59E9-4E35-B418-47FBE2E4A5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62" authorId="4" shapeId="0" xr:uid="{3D06FFC5-AE5C-40AF-951E-8817B4F3A12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5" shapeId="0" xr:uid="{F1B3988C-7831-496F-82F5-0B82EE8361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6" shapeId="0" xr:uid="{13AB517F-BD4E-4746-AF07-A982E4FB6AC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7" shapeId="0" xr:uid="{DDE92F60-776B-4CDE-B4EB-B14A18B23E6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8" shapeId="0" xr:uid="{4D0715D5-E2BE-4259-9DBA-1C570C2BC0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9" shapeId="0" xr:uid="{45A3707D-7D38-4419-9325-AB8727F474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0" shapeId="0" xr:uid="{05E3B6D9-8618-4BF7-8E63-7AFE3A48A85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97CD08-FC61-4FE4-AB7F-5BD4BDD5E72A}" keepAlive="1" name="Query - dpc-covid19-ita-andamento-nazionale" description="Connessione alla query 'dpc-covid19-ita-andamento-nazionale' nella cartella di lavoro." type="5" refreshedVersion="6" background="1" saveData="1">
    <dbPr connection="Provider=Microsoft.Mashup.OleDb.1;Data Source=$Workbook$;Location=dpc-covid19-ita-andamento-nazionale;Extended Properties=&quot;&quot;" command="SELECT * FROM [dpc-covid19-ita-andamento-nazionale]"/>
  </connection>
  <connection id="2" xr16:uid="{AB9125BF-B115-49B9-91F9-CD5F3A8576B4}" keepAlive="1" name="Query - dpc-covid19-ita-andamento-nazionale (10)" description="Connessione alla query 'dpc-covid19-ita-andamento-nazionale (10)' nella cartella di lavoro." type="5" refreshedVersion="6" background="1" saveData="1">
    <dbPr connection="Provider=Microsoft.Mashup.OleDb.1;Data Source=$Workbook$;Location=&quot;dpc-covid19-ita-andamento-nazionale (10)&quot;;Extended Properties=&quot;&quot;" command="SELECT * FROM [dpc-covid19-ita-andamento-nazionale (10)]"/>
  </connection>
  <connection id="3" xr16:uid="{600A235F-1026-4113-A353-F496C5298061}" keepAlive="1" name="Query - dpc-covid19-ita-andamento-nazionale (2)" description="Connessione alla query 'dpc-covid19-ita-andamento-nazionale (2)' nella cartella di lavoro." type="5" refreshedVersion="6" background="1" saveData="1">
    <dbPr connection="Provider=Microsoft.Mashup.OleDb.1;Data Source=$Workbook$;Location=&quot;dpc-covid19-ita-andamento-nazionale (2)&quot;;Extended Properties=&quot;&quot;" command="SELECT * FROM [dpc-covid19-ita-andamento-nazionale (2)]"/>
  </connection>
  <connection id="4" xr16:uid="{34ADFF1E-043C-4677-B979-DBE7398C19BF}" keepAlive="1" name="Query - dpc-covid19-ita-andamento-nazionale (3)" description="Connessione alla query 'dpc-covid19-ita-andamento-nazionale (3)' nella cartella di lavoro." type="5" refreshedVersion="6" background="1" saveData="1">
    <dbPr connection="Provider=Microsoft.Mashup.OleDb.1;Data Source=$Workbook$;Location=&quot;dpc-covid19-ita-andamento-nazionale (3)&quot;;Extended Properties=&quot;&quot;" command="SELECT * FROM [dpc-covid19-ita-andamento-nazionale (3)]"/>
  </connection>
  <connection id="5" xr16:uid="{0A0BBF4F-D2A7-4A62-A8DD-1FCF29187A2E}" keepAlive="1" name="Query - dpc-covid19-ita-andamento-nazionale (4)" description="Connessione alla query 'dpc-covid19-ita-andamento-nazionale (4)' nella cartella di lavoro." type="5" refreshedVersion="6" background="1" saveData="1">
    <dbPr connection="Provider=Microsoft.Mashup.OleDb.1;Data Source=$Workbook$;Location=&quot;dpc-covid19-ita-andamento-nazionale (4)&quot;;Extended Properties=&quot;&quot;" command="SELECT * FROM [dpc-covid19-ita-andamento-nazionale (4)]"/>
  </connection>
  <connection id="6" xr16:uid="{5198AC09-F82A-476C-B5AC-29C3DDF427FA}" keepAlive="1" name="Query - dpc-covid19-ita-andamento-nazionale (5)" description="Connessione alla query 'dpc-covid19-ita-andamento-nazionale (5)' nella cartella di lavoro." type="5" refreshedVersion="6" background="1" saveData="1">
    <dbPr connection="Provider=Microsoft.Mashup.OleDb.1;Data Source=$Workbook$;Location=&quot;dpc-covid19-ita-andamento-nazionale (5)&quot;;Extended Properties=&quot;&quot;" command="SELECT * FROM [dpc-covid19-ita-andamento-nazionale (5)]"/>
  </connection>
  <connection id="7" xr16:uid="{0CDB0A75-ABD7-426A-87B7-2465E15FBDF3}" keepAlive="1" name="Query - dpc-covid19-ita-andamento-nazionale (6)" description="Connessione alla query 'dpc-covid19-ita-andamento-nazionale (6)' nella cartella di lavoro." type="5" refreshedVersion="6" background="1" saveData="1">
    <dbPr connection="Provider=Microsoft.Mashup.OleDb.1;Data Source=$Workbook$;Location=&quot;dpc-covid19-ita-andamento-nazionale (6)&quot;;Extended Properties=&quot;&quot;" command="SELECT * FROM [dpc-covid19-ita-andamento-nazionale (6)]"/>
  </connection>
  <connection id="8" xr16:uid="{33750D60-6E02-4074-A863-BEA5FD4335F3}" keepAlive="1" name="Query - dpc-covid19-ita-andamento-nazionale (7)" description="Connessione alla query 'dpc-covid19-ita-andamento-nazionale (7)' nella cartella di lavoro." type="5" refreshedVersion="6" background="1" saveData="1">
    <dbPr connection="Provider=Microsoft.Mashup.OleDb.1;Data Source=$Workbook$;Location=&quot;dpc-covid19-ita-andamento-nazionale (7)&quot;;Extended Properties=&quot;&quot;" command="SELECT * FROM [dpc-covid19-ita-andamento-nazionale (7)]"/>
  </connection>
  <connection id="9" xr16:uid="{6D24FD6D-E97C-47AA-8BA3-4DE573F0DB36}" keepAlive="1" name="Query - dpc-covid19-ita-andamento-nazionale (8)" description="Connessione alla query 'dpc-covid19-ita-andamento-nazionale (8)' nella cartella di lavoro." type="5" refreshedVersion="6" background="1" saveData="1">
    <dbPr connection="Provider=Microsoft.Mashup.OleDb.1;Data Source=$Workbook$;Location=&quot;dpc-covid19-ita-andamento-nazionale (8)&quot;;Extended Properties=&quot;&quot;" command="SELECT * FROM [dpc-covid19-ita-andamento-nazionale (8)]"/>
  </connection>
  <connection id="10" xr16:uid="{09B9BECC-52F0-443E-85DF-E1447200184C}" keepAlive="1" name="Query - dpc-covid19-ita-andamento-nazionale (9)" description="Connessione alla query 'dpc-covid19-ita-andamento-nazionale (9)' nella cartella di lavoro." type="5" refreshedVersion="6" background="1" saveData="1">
    <dbPr connection="Provider=Microsoft.Mashup.OleDb.1;Data Source=$Workbook$;Location=&quot;dpc-covid19-ita-andamento-nazionale (9)&quot;;Extended Properties=&quot;&quot;" command="SELECT * FROM [dpc-covid19-ita-andamento-nazionale (9)]"/>
  </connection>
  <connection id="11" xr16:uid="{D9C35F96-02C9-490F-87B0-9FE8BEB6F2D3}" keepAlive="1" name="Query - dpc-covid19-ita-regioni" description="Connessione alla query 'dpc-covid19-ita-regioni' nella cartella di lavoro." type="5" refreshedVersion="6" background="1" saveData="1">
    <dbPr connection="Provider=Microsoft.Mashup.OleDb.1;Data Source=$Workbook$;Location=dpc-covid19-ita-regioni;Extended Properties=&quot;&quot;" command="SELECT * FROM [dpc-covid19-ita-regioni]"/>
  </connection>
  <connection id="12" xr16:uid="{7B5BDFD5-A01D-4A93-9334-AF9EAE70351E}" keepAlive="1" name="Query - dpc-covid19-ita-regioni (2)" description="Connessione alla query 'dpc-covid19-ita-regioni (2)' nella cartella di lavoro." type="5" refreshedVersion="6" background="1" saveData="1">
    <dbPr connection="Provider=Microsoft.Mashup.OleDb.1;Data Source=$Workbook$;Location=&quot;dpc-covid19-ita-regioni (2)&quot;;Extended Properties=&quot;&quot;" command="SELECT * FROM [dpc-covid19-ita-regioni (2)]"/>
  </connection>
  <connection id="13" xr16:uid="{78D4B2F2-C57B-4E13-890E-FD5C70175E5E}" keepAlive="1" name="Query - dpc-covid19-ita-regioni (3)" description="Connessione alla query 'dpc-covid19-ita-regioni (3)' nella cartella di lavoro." type="5" refreshedVersion="6" background="1" saveData="1">
    <dbPr connection="Provider=Microsoft.Mashup.OleDb.1;Data Source=$Workbook$;Location=&quot;dpc-covid19-ita-regioni (3)&quot;;Extended Properties=&quot;&quot;" command="SELECT * FROM [dpc-covid19-ita-regioni (3)]"/>
  </connection>
  <connection id="14" xr16:uid="{0E1B982F-57E9-4809-885F-F9AC207D6541}" keepAlive="1" name="Query - dpc-covid19-ita-regioni (4)" description="Connessione alla query 'dpc-covid19-ita-regioni (4)' nella cartella di lavoro." type="5" refreshedVersion="6" background="1" saveData="1">
    <dbPr connection="Provider=Microsoft.Mashup.OleDb.1;Data Source=$Workbook$;Location=&quot;dpc-covid19-ita-regioni (4)&quot;;Extended Properties=&quot;&quot;" command="SELECT * FROM [dpc-covid19-ita-regioni (4)]"/>
  </connection>
  <connection id="15" xr16:uid="{0F897742-E816-4FE8-822F-0141BD59699A}" keepAlive="1" name="Query - dpc-covid19-ita-regioni (5)" description="Connessione alla query 'dpc-covid19-ita-regioni (5)' nella cartella di lavoro." type="5" refreshedVersion="6" background="1" saveData="1">
    <dbPr connection="Provider=Microsoft.Mashup.OleDb.1;Data Source=$Workbook$;Location=&quot;dpc-covid19-ita-regioni (5)&quot;;Extended Properties=&quot;&quot;" command="SELECT * FROM [dpc-covid19-ita-regioni (5)]"/>
  </connection>
  <connection id="16" xr16:uid="{35EC220A-A28A-4804-A7E9-6B59E3FB97E2}" keepAlive="1" name="Query - Tabella1" description="Connessione alla query 'Tabella1' nella cartella di lavoro." type="5" refreshedVersion="6" background="1" saveData="1">
    <dbPr connection="Provider=Microsoft.Mashup.OleDb.1;Data Source=$Workbook$;Location=Tabella1;Extended Properties=&quot;&quot;" command="SELECT * FROM [Tabella1]"/>
  </connection>
  <connection id="17" xr16:uid="{5D9F261F-A413-4AEC-B44E-7E0DE2E4FEB1}" keepAlive="1" name="Query - time_series_covid19_confirmed_global" description="Connessione alla query 'time_series_covid19_confirmed_global' nella cartella di lavoro." type="5" refreshedVersion="6" background="1" saveData="1">
    <dbPr connection="Provider=Microsoft.Mashup.OleDb.1;Data Source=$Workbook$;Location=time_series_covid19_confirmed_global;Extended Properties=&quot;&quot;" command="SELECT * FROM [time_series_covid19_confirmed_global]"/>
  </connection>
  <connection id="18" xr16:uid="{F57E34CA-AFBD-4D40-B4B7-AB82CE1D62B6}" keepAlive="1" name="Query - time_series_covid19_confirmed_global (2)" description="Connessione alla query 'time_series_covid19_confirmed_global (2)' nella cartella di lavoro." type="5" refreshedVersion="6" background="1" saveData="1">
    <dbPr connection="Provider=Microsoft.Mashup.OleDb.1;Data Source=$Workbook$;Location=&quot;time_series_covid19_confirmed_global (2)&quot;;Extended Properties=&quot;&quot;" command="SELECT * FROM [time_series_covid19_confirmed_global (2)]"/>
  </connection>
  <connection id="19" xr16:uid="{32D9E78D-2352-4A60-B92C-007831B03845}" keepAlive="1" name="ThisWorkbookDataModel" description="Modello di dati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0" xr16:uid="{D40C31B4-445A-4A48-8814-96FBC01F01BB}" name="WorksheetConnection_COVID-19 Italy cases trend - B fit.xlsx!dpc_covid19_ita_andamento_nazionale" type="102" refreshedVersion="6" minRefreshableVersion="5">
    <extLst>
      <ext xmlns:x15="http://schemas.microsoft.com/office/spreadsheetml/2010/11/main" uri="{DE250136-89BD-433C-8126-D09CA5730AF9}">
        <x15:connection id="dpc_covid19_ita_andamento_nazionale" autoDelete="1">
          <x15:rangePr sourceName="_xlcn.WorksheetConnection_COVID19ItalycasestrendBfit.xlsxdpc_covid19_ita_andamento_naziona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<sst xmlns="http://schemas.openxmlformats.org/spreadsheetml/2006/main" count="27459" uniqueCount="4364">
  <si>
    <t>K=</t>
  </si>
  <si>
    <t>Mean_of_y</t>
  </si>
  <si>
    <t>df</t>
  </si>
  <si>
    <t>SE_of_y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</si>
  <si>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</si>
  <si>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Critical_t</t>
  </si>
  <si>
    <t>CI</t>
  </si>
  <si>
    <t>Upper CI</t>
  </si>
  <si>
    <t>Lower CI</t>
  </si>
  <si>
    <t>Date</t>
  </si>
  <si>
    <t>Day</t>
  </si>
  <si>
    <t>Iterative non-linear least squares regression</t>
  </si>
  <si>
    <t/>
  </si>
  <si>
    <t>region</t>
  </si>
  <si>
    <t>r. Upper CI</t>
  </si>
  <si>
    <t>r. Lower CI</t>
  </si>
  <si>
    <t>o.r. Upper CI</t>
  </si>
  <si>
    <t>o.r. Lower CI</t>
  </si>
  <si>
    <t>outside</t>
  </si>
  <si>
    <t>Lombardy</t>
  </si>
  <si>
    <t>Italy fit</t>
  </si>
  <si>
    <t>Peak value</t>
  </si>
  <si>
    <t>SOLVER models</t>
  </si>
  <si>
    <t>Colonna1</t>
  </si>
  <si>
    <t>Colonna2</t>
  </si>
  <si>
    <t>Colonna3</t>
  </si>
  <si>
    <t>Colonna4</t>
  </si>
  <si>
    <t>Colonna5</t>
  </si>
  <si>
    <t>Colonna6</t>
  </si>
  <si>
    <t>Colonna7</t>
  </si>
  <si>
    <t>fitting parameter - constraint (none)</t>
  </si>
  <si>
    <t>Italy sum</t>
  </si>
  <si>
    <t>Lombardy fit</t>
  </si>
  <si>
    <t xml:space="preserve">rest of Italy </t>
  </si>
  <si>
    <t>rest of Italy fit</t>
  </si>
  <si>
    <t>Whole country sum</t>
  </si>
  <si>
    <r>
      <t>R</t>
    </r>
    <r>
      <rPr>
        <vertAlign val="superscript"/>
        <sz val="11"/>
        <color theme="3"/>
        <rFont val="Calibri"/>
        <family val="2"/>
        <scheme val="minor"/>
      </rPr>
      <t>2</t>
    </r>
  </si>
  <si>
    <t>rest of Italy</t>
  </si>
  <si>
    <t>Whole country fit</t>
  </si>
  <si>
    <t>Colonna22</t>
  </si>
  <si>
    <t>Colonna32</t>
  </si>
  <si>
    <t>Colonna33</t>
  </si>
  <si>
    <t>Colonna322</t>
  </si>
  <si>
    <t>t-Peak</t>
  </si>
  <si>
    <t>Whole contry fit</t>
  </si>
  <si>
    <t>Saturation value</t>
  </si>
  <si>
    <t>DO NOT EXECUTE</t>
  </si>
  <si>
    <t>Solver method: GRG2 non linear engine - option: default</t>
  </si>
  <si>
    <t>7470</t>
  </si>
  <si>
    <t>4015</t>
  </si>
  <si>
    <t>4252</t>
  </si>
  <si>
    <r>
      <t>R</t>
    </r>
    <r>
      <rPr>
        <vertAlign val="superscript"/>
        <sz val="11"/>
        <rFont val="Calibri"/>
        <family val="2"/>
        <scheme val="minor"/>
      </rPr>
      <t>2</t>
    </r>
  </si>
  <si>
    <t>Lombardy data</t>
  </si>
  <si>
    <t>Lower CI_</t>
  </si>
  <si>
    <t>Upper CI_</t>
  </si>
  <si>
    <t>rest of Italy data</t>
  </si>
  <si>
    <t>Upper CI__</t>
  </si>
  <si>
    <t>Lower CI__</t>
  </si>
  <si>
    <t>Lombardy cumul. Fit</t>
  </si>
  <si>
    <t>Lombardy cumul. Data</t>
  </si>
  <si>
    <t>rest of Italy cum. Data</t>
  </si>
  <si>
    <t>rest of Italy cumul. Fit</t>
  </si>
  <si>
    <t>Peak value (mode)</t>
  </si>
  <si>
    <t>μ=</t>
  </si>
  <si>
    <t>σ=</t>
  </si>
  <si>
    <r>
      <t>fitting parameter - constraint (</t>
    </r>
    <r>
      <rPr>
        <b/>
        <sz val="11"/>
        <color theme="3"/>
        <rFont val="Calibri"/>
        <family val="2"/>
      </rPr>
      <t>≠</t>
    </r>
    <r>
      <rPr>
        <b/>
        <sz val="11"/>
        <color theme="3"/>
        <rFont val="Calibri"/>
        <family val="2"/>
        <scheme val="minor"/>
      </rPr>
      <t>0)</t>
    </r>
  </si>
  <si>
    <t>Modeling function: Lognormal</t>
  </si>
  <si>
    <t>Lombardy fit (Norm.)</t>
  </si>
  <si>
    <t>rest of Italy fit (Norm.)</t>
  </si>
  <si>
    <t>&lt; x__________ Today___________ y&gt;</t>
  </si>
  <si>
    <t>Lombardy cum. Fit (Norm.)</t>
  </si>
  <si>
    <t>rest of Italy com. Fit (Norm.)</t>
  </si>
  <si>
    <t>19250</t>
  </si>
  <si>
    <r>
      <t>fitting parameter - constraint (</t>
    </r>
    <r>
      <rPr>
        <sz val="14"/>
        <color theme="1"/>
        <rFont val="Calibri"/>
        <family val="2"/>
      </rPr>
      <t>≤0)</t>
    </r>
  </si>
  <si>
    <t>p=</t>
  </si>
  <si>
    <t>&lt;&lt;&lt; predicted starting date of the outbreak &gt;&gt;&gt;</t>
  </si>
  <si>
    <t>&lt;&lt;&lt; backdating of starting day &gt;&gt;&gt;</t>
  </si>
  <si>
    <t>Italy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</si>
  <si>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</si>
  <si>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</si>
  <si>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</si>
  <si>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</si>
  <si>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</si>
  <si>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</si>
  <si>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</si>
  <si>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</si>
  <si>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</si>
  <si>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</si>
  <si>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</si>
  <si>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</si>
  <si>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</si>
  <si>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</si>
  <si>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</si>
  <si>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</si>
  <si>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</si>
  <si>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</si>
  <si>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</si>
  <si>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</si>
  <si>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</si>
  <si>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</si>
  <si>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</si>
  <si>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</si>
  <si>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</si>
  <si>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</si>
  <si>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</si>
  <si>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</si>
  <si>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</si>
  <si>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</si>
  <si>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</si>
  <si>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</si>
  <si>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</si>
  <si>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</si>
  <si>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</si>
  <si>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</si>
  <si>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</si>
  <si>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</si>
  <si>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</si>
  <si>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</si>
  <si>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</si>
  <si>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</si>
  <si>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</si>
  <si>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</si>
  <si>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</si>
  <si>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</si>
  <si>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</si>
  <si>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</si>
  <si>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</si>
  <si>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</si>
  <si>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</si>
  <si>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</si>
  <si>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</si>
  <si>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</si>
  <si>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</si>
  <si>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</si>
  <si>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</si>
  <si>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</si>
  <si>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</si>
  <si>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</si>
  <si>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</si>
  <si>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</si>
  <si>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</si>
  <si>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</si>
  <si>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</si>
  <si>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</si>
  <si>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</si>
  <si>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</si>
  <si>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</si>
  <si>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</si>
  <si>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</si>
  <si>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</si>
  <si>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</si>
  <si>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</si>
  <si>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</si>
  <si>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</si>
  <si>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</si>
  <si>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</si>
  <si>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</si>
  <si>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</si>
  <si>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</si>
  <si>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</si>
  <si>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</si>
  <si>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</si>
  <si>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</si>
  <si>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</si>
  <si>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</si>
  <si>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</si>
  <si>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</si>
  <si>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</si>
  <si>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</si>
  <si>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</si>
  <si>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</si>
  <si>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</si>
  <si>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</si>
  <si>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</si>
  <si>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</si>
  <si>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</si>
  <si>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</si>
  <si>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</si>
  <si>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</si>
  <si>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</si>
  <si>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</si>
  <si>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</si>
  <si>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</si>
  <si>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</si>
  <si>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</si>
  <si>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</si>
  <si>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</si>
  <si>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</si>
  <si>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</si>
  <si>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</si>
  <si>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</si>
  <si>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</si>
  <si>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</si>
  <si>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</si>
  <si>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</si>
  <si>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</si>
  <si>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</si>
  <si>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</si>
  <si>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</si>
  <si>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</si>
  <si>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</si>
  <si>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</si>
  <si>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</si>
  <si>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</si>
  <si>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</si>
  <si>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</si>
  <si>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</si>
  <si>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</si>
  <si>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</si>
  <si>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</si>
  <si>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</si>
  <si>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</si>
  <si>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</si>
  <si>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</si>
  <si>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</si>
  <si>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</si>
  <si>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</si>
  <si>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</si>
  <si>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</si>
  <si>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</si>
  <si>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</si>
  <si>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</si>
  <si>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</si>
  <si>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</si>
  <si>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</si>
  <si>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</si>
  <si>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</si>
  <si>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</si>
  <si>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</si>
  <si>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</si>
  <si>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</si>
  <si>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</si>
  <si>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</si>
  <si>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</si>
  <si>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</si>
  <si>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</si>
  <si>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</si>
  <si>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</si>
  <si>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</si>
  <si>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</si>
  <si>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</si>
  <si>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</si>
  <si>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</si>
  <si>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</si>
  <si>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</si>
  <si>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</si>
  <si>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</si>
  <si>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</si>
  <si>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</si>
  <si>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</si>
  <si>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</si>
  <si>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</si>
  <si>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</si>
  <si>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</si>
  <si>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</si>
  <si>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</si>
  <si>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</si>
  <si>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</si>
  <si>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</si>
  <si>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</si>
  <si>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</si>
  <si>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</si>
  <si>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</si>
  <si>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</si>
  <si>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</si>
  <si>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</si>
  <si>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</si>
  <si>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</si>
  <si>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</si>
  <si>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</si>
  <si>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</si>
  <si>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</si>
  <si>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</si>
  <si>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</si>
  <si>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Afghanistan</t>
  </si>
  <si>
    <t>33.0</t>
  </si>
  <si>
    <t>65.0</t>
  </si>
  <si>
    <t>0</t>
  </si>
  <si>
    <t>1</t>
  </si>
  <si>
    <t>4</t>
  </si>
  <si>
    <t>5</t>
  </si>
  <si>
    <t>7</t>
  </si>
  <si>
    <t>11</t>
  </si>
  <si>
    <t>16</t>
  </si>
  <si>
    <t>21</t>
  </si>
  <si>
    <t>22</t>
  </si>
  <si>
    <t>24</t>
  </si>
  <si>
    <t>40</t>
  </si>
  <si>
    <t>74</t>
  </si>
  <si>
    <t>84</t>
  </si>
  <si>
    <t>94</t>
  </si>
  <si>
    <t>110</t>
  </si>
  <si>
    <t>120</t>
  </si>
  <si>
    <t>170</t>
  </si>
  <si>
    <t>174</t>
  </si>
  <si>
    <t>237</t>
  </si>
  <si>
    <t>273</t>
  </si>
  <si>
    <t>281</t>
  </si>
  <si>
    <t>299</t>
  </si>
  <si>
    <t>349</t>
  </si>
  <si>
    <t>367</t>
  </si>
  <si>
    <t>423</t>
  </si>
  <si>
    <t>444</t>
  </si>
  <si>
    <t>484</t>
  </si>
  <si>
    <t>521</t>
  </si>
  <si>
    <t>555</t>
  </si>
  <si>
    <t>607</t>
  </si>
  <si>
    <t>665</t>
  </si>
  <si>
    <t>714</t>
  </si>
  <si>
    <t>784</t>
  </si>
  <si>
    <t>840</t>
  </si>
  <si>
    <t>906</t>
  </si>
  <si>
    <t>933</t>
  </si>
  <si>
    <t>996</t>
  </si>
  <si>
    <t>1026</t>
  </si>
  <si>
    <t>1092</t>
  </si>
  <si>
    <t>1176</t>
  </si>
  <si>
    <t>1279</t>
  </si>
  <si>
    <t>1351</t>
  </si>
  <si>
    <t>Albania</t>
  </si>
  <si>
    <t>41.1533</t>
  </si>
  <si>
    <t>20.1683</t>
  </si>
  <si>
    <t>2</t>
  </si>
  <si>
    <t>10</t>
  </si>
  <si>
    <t>12</t>
  </si>
  <si>
    <t>23</t>
  </si>
  <si>
    <t>33</t>
  </si>
  <si>
    <t>38</t>
  </si>
  <si>
    <t>42</t>
  </si>
  <si>
    <t>51</t>
  </si>
  <si>
    <t>55</t>
  </si>
  <si>
    <t>59</t>
  </si>
  <si>
    <t>64</t>
  </si>
  <si>
    <t>70</t>
  </si>
  <si>
    <t>76</t>
  </si>
  <si>
    <t>89</t>
  </si>
  <si>
    <t>104</t>
  </si>
  <si>
    <t>123</t>
  </si>
  <si>
    <t>146</t>
  </si>
  <si>
    <t>186</t>
  </si>
  <si>
    <t>197</t>
  </si>
  <si>
    <t>212</t>
  </si>
  <si>
    <t>223</t>
  </si>
  <si>
    <t>243</t>
  </si>
  <si>
    <t>259</t>
  </si>
  <si>
    <t>277</t>
  </si>
  <si>
    <t>304</t>
  </si>
  <si>
    <t>333</t>
  </si>
  <si>
    <t>361</t>
  </si>
  <si>
    <t>377</t>
  </si>
  <si>
    <t>383</t>
  </si>
  <si>
    <t>400</t>
  </si>
  <si>
    <t>409</t>
  </si>
  <si>
    <t>416</t>
  </si>
  <si>
    <t>433</t>
  </si>
  <si>
    <t>446</t>
  </si>
  <si>
    <t>467</t>
  </si>
  <si>
    <t>475</t>
  </si>
  <si>
    <t>494</t>
  </si>
  <si>
    <t>518</t>
  </si>
  <si>
    <t>539</t>
  </si>
  <si>
    <t>548</t>
  </si>
  <si>
    <t>562</t>
  </si>
  <si>
    <t>584</t>
  </si>
  <si>
    <t>609</t>
  </si>
  <si>
    <t>634</t>
  </si>
  <si>
    <t>663</t>
  </si>
  <si>
    <t>678</t>
  </si>
  <si>
    <t>Algeria</t>
  </si>
  <si>
    <t>28.0339</t>
  </si>
  <si>
    <t>1.6596</t>
  </si>
  <si>
    <t>3</t>
  </si>
  <si>
    <t>17</t>
  </si>
  <si>
    <t>19</t>
  </si>
  <si>
    <t>20</t>
  </si>
  <si>
    <t>26</t>
  </si>
  <si>
    <t>37</t>
  </si>
  <si>
    <t>48</t>
  </si>
  <si>
    <t>54</t>
  </si>
  <si>
    <t>60</t>
  </si>
  <si>
    <t>87</t>
  </si>
  <si>
    <t>90</t>
  </si>
  <si>
    <t>139</t>
  </si>
  <si>
    <t>201</t>
  </si>
  <si>
    <t>230</t>
  </si>
  <si>
    <t>264</t>
  </si>
  <si>
    <t>302</t>
  </si>
  <si>
    <t>454</t>
  </si>
  <si>
    <t>511</t>
  </si>
  <si>
    <t>716</t>
  </si>
  <si>
    <t>847</t>
  </si>
  <si>
    <t>986</t>
  </si>
  <si>
    <t>1171</t>
  </si>
  <si>
    <t>1251</t>
  </si>
  <si>
    <t>1320</t>
  </si>
  <si>
    <t>1423</t>
  </si>
  <si>
    <t>1468</t>
  </si>
  <si>
    <t>1572</t>
  </si>
  <si>
    <t>1666</t>
  </si>
  <si>
    <t>1761</t>
  </si>
  <si>
    <t>1825</t>
  </si>
  <si>
    <t>1914</t>
  </si>
  <si>
    <t>1983</t>
  </si>
  <si>
    <t>2070</t>
  </si>
  <si>
    <t>2160</t>
  </si>
  <si>
    <t>2268</t>
  </si>
  <si>
    <t>2418</t>
  </si>
  <si>
    <t>2534</t>
  </si>
  <si>
    <t>2629</t>
  </si>
  <si>
    <t>2718</t>
  </si>
  <si>
    <t>2811</t>
  </si>
  <si>
    <t>2910</t>
  </si>
  <si>
    <t>3007</t>
  </si>
  <si>
    <t>3127</t>
  </si>
  <si>
    <t>Andorra</t>
  </si>
  <si>
    <t>42.5063</t>
  </si>
  <si>
    <t>1.5218</t>
  </si>
  <si>
    <t>39</t>
  </si>
  <si>
    <t>53</t>
  </si>
  <si>
    <t>75</t>
  </si>
  <si>
    <t>88</t>
  </si>
  <si>
    <t>113</t>
  </si>
  <si>
    <t>133</t>
  </si>
  <si>
    <t>164</t>
  </si>
  <si>
    <t>188</t>
  </si>
  <si>
    <t>224</t>
  </si>
  <si>
    <t>267</t>
  </si>
  <si>
    <t>308</t>
  </si>
  <si>
    <t>334</t>
  </si>
  <si>
    <t>370</t>
  </si>
  <si>
    <t>376</t>
  </si>
  <si>
    <t>390</t>
  </si>
  <si>
    <t>428</t>
  </si>
  <si>
    <t>439</t>
  </si>
  <si>
    <t>466</t>
  </si>
  <si>
    <t>501</t>
  </si>
  <si>
    <t>525</t>
  </si>
  <si>
    <t>545</t>
  </si>
  <si>
    <t>564</t>
  </si>
  <si>
    <t>583</t>
  </si>
  <si>
    <t>601</t>
  </si>
  <si>
    <t>638</t>
  </si>
  <si>
    <t>646</t>
  </si>
  <si>
    <t>659</t>
  </si>
  <si>
    <t>673</t>
  </si>
  <si>
    <t>696</t>
  </si>
  <si>
    <t>704</t>
  </si>
  <si>
    <t>713</t>
  </si>
  <si>
    <t>717</t>
  </si>
  <si>
    <t>723</t>
  </si>
  <si>
    <t>731</t>
  </si>
  <si>
    <t>Angola</t>
  </si>
  <si>
    <t>-11.2027</t>
  </si>
  <si>
    <t>17.8739</t>
  </si>
  <si>
    <t>8</t>
  </si>
  <si>
    <t>14</t>
  </si>
  <si>
    <t>25</t>
  </si>
  <si>
    <t>Antigua and Barbuda</t>
  </si>
  <si>
    <t>17.0608</t>
  </si>
  <si>
    <t>-61.7964</t>
  </si>
  <si>
    <t>9</t>
  </si>
  <si>
    <t>15</t>
  </si>
  <si>
    <t>Argentina</t>
  </si>
  <si>
    <t>-38.4161</t>
  </si>
  <si>
    <t>-63.6167</t>
  </si>
  <si>
    <t>31</t>
  </si>
  <si>
    <t>34</t>
  </si>
  <si>
    <t>45</t>
  </si>
  <si>
    <t>56</t>
  </si>
  <si>
    <t>68</t>
  </si>
  <si>
    <t>79</t>
  </si>
  <si>
    <t>97</t>
  </si>
  <si>
    <t>128</t>
  </si>
  <si>
    <t>158</t>
  </si>
  <si>
    <t>266</t>
  </si>
  <si>
    <t>301</t>
  </si>
  <si>
    <t>387</t>
  </si>
  <si>
    <t>502</t>
  </si>
  <si>
    <t>589</t>
  </si>
  <si>
    <t>690</t>
  </si>
  <si>
    <t>745</t>
  </si>
  <si>
    <t>820</t>
  </si>
  <si>
    <t>1054</t>
  </si>
  <si>
    <t>1133</t>
  </si>
  <si>
    <t>1265</t>
  </si>
  <si>
    <t>1451</t>
  </si>
  <si>
    <t>1554</t>
  </si>
  <si>
    <t>1628</t>
  </si>
  <si>
    <t>1715</t>
  </si>
  <si>
    <t>1795</t>
  </si>
  <si>
    <t>1975</t>
  </si>
  <si>
    <t>2142</t>
  </si>
  <si>
    <t>2208</t>
  </si>
  <si>
    <t>2277</t>
  </si>
  <si>
    <t>2443</t>
  </si>
  <si>
    <t>2571</t>
  </si>
  <si>
    <t>2669</t>
  </si>
  <si>
    <t>2758</t>
  </si>
  <si>
    <t>2839</t>
  </si>
  <si>
    <t>2941</t>
  </si>
  <si>
    <t>3031</t>
  </si>
  <si>
    <t>3144</t>
  </si>
  <si>
    <t>3435</t>
  </si>
  <si>
    <t>3607</t>
  </si>
  <si>
    <t>Armenia</t>
  </si>
  <si>
    <t>40.0691</t>
  </si>
  <si>
    <t>45.0382</t>
  </si>
  <si>
    <t>18</t>
  </si>
  <si>
    <t>52</t>
  </si>
  <si>
    <t>78</t>
  </si>
  <si>
    <t>115</t>
  </si>
  <si>
    <t>136</t>
  </si>
  <si>
    <t>160</t>
  </si>
  <si>
    <t>194</t>
  </si>
  <si>
    <t>235</t>
  </si>
  <si>
    <t>249</t>
  </si>
  <si>
    <t>265</t>
  </si>
  <si>
    <t>290</t>
  </si>
  <si>
    <t>329</t>
  </si>
  <si>
    <t>407</t>
  </si>
  <si>
    <t>424</t>
  </si>
  <si>
    <t>482</t>
  </si>
  <si>
    <t>532</t>
  </si>
  <si>
    <t>571</t>
  </si>
  <si>
    <t>736</t>
  </si>
  <si>
    <t>770</t>
  </si>
  <si>
    <t>822</t>
  </si>
  <si>
    <t>833</t>
  </si>
  <si>
    <t>853</t>
  </si>
  <si>
    <t>881</t>
  </si>
  <si>
    <t>921</t>
  </si>
  <si>
    <t>937</t>
  </si>
  <si>
    <t>967</t>
  </si>
  <si>
    <t>1013</t>
  </si>
  <si>
    <t>1039</t>
  </si>
  <si>
    <t>1067</t>
  </si>
  <si>
    <t>1111</t>
  </si>
  <si>
    <t>1159</t>
  </si>
  <si>
    <t>1201</t>
  </si>
  <si>
    <t>1248</t>
  </si>
  <si>
    <t>1291</t>
  </si>
  <si>
    <t>1339</t>
  </si>
  <si>
    <t>1401</t>
  </si>
  <si>
    <t>1473</t>
  </si>
  <si>
    <t>1523</t>
  </si>
  <si>
    <t>1596</t>
  </si>
  <si>
    <t>Australian Capital Territory</t>
  </si>
  <si>
    <t>Australia</t>
  </si>
  <si>
    <t>-35.4735</t>
  </si>
  <si>
    <t>149.0124</t>
  </si>
  <si>
    <t>6</t>
  </si>
  <si>
    <t>32</t>
  </si>
  <si>
    <t>62</t>
  </si>
  <si>
    <t>71</t>
  </si>
  <si>
    <t>77</t>
  </si>
  <si>
    <t>80</t>
  </si>
  <si>
    <t>91</t>
  </si>
  <si>
    <t>93</t>
  </si>
  <si>
    <t>96</t>
  </si>
  <si>
    <t>99</t>
  </si>
  <si>
    <t>100</t>
  </si>
  <si>
    <t>103</t>
  </si>
  <si>
    <t>102</t>
  </si>
  <si>
    <t>105</t>
  </si>
  <si>
    <t>New South Wales</t>
  </si>
  <si>
    <t>-33.8688</t>
  </si>
  <si>
    <t>151.2093</t>
  </si>
  <si>
    <t>13</t>
  </si>
  <si>
    <t>28</t>
  </si>
  <si>
    <t>65</t>
  </si>
  <si>
    <t>92</t>
  </si>
  <si>
    <t>112</t>
  </si>
  <si>
    <t>134</t>
  </si>
  <si>
    <t>171</t>
  </si>
  <si>
    <t>210</t>
  </si>
  <si>
    <t>307</t>
  </si>
  <si>
    <t>353</t>
  </si>
  <si>
    <t>436</t>
  </si>
  <si>
    <t>669</t>
  </si>
  <si>
    <t>818</t>
  </si>
  <si>
    <t>1029</t>
  </si>
  <si>
    <t>1219</t>
  </si>
  <si>
    <t>1405</t>
  </si>
  <si>
    <t>1617</t>
  </si>
  <si>
    <t>1791</t>
  </si>
  <si>
    <t>2032</t>
  </si>
  <si>
    <t>2182</t>
  </si>
  <si>
    <t>2298</t>
  </si>
  <si>
    <t>2389</t>
  </si>
  <si>
    <t>2493</t>
  </si>
  <si>
    <t>2580</t>
  </si>
  <si>
    <t>2637</t>
  </si>
  <si>
    <t>2686</t>
  </si>
  <si>
    <t>2734</t>
  </si>
  <si>
    <t>2773</t>
  </si>
  <si>
    <t>2822</t>
  </si>
  <si>
    <t>2857</t>
  </si>
  <si>
    <t>2863</t>
  </si>
  <si>
    <t>2870</t>
  </si>
  <si>
    <t>2886</t>
  </si>
  <si>
    <t>2897</t>
  </si>
  <si>
    <t>2926</t>
  </si>
  <si>
    <t>2936</t>
  </si>
  <si>
    <t>2957</t>
  </si>
  <si>
    <t>2963</t>
  </si>
  <si>
    <t>2969</t>
  </si>
  <si>
    <t>2971</t>
  </si>
  <si>
    <t>2976</t>
  </si>
  <si>
    <t>2982</t>
  </si>
  <si>
    <t>Northern Territory</t>
  </si>
  <si>
    <t>-12.4634</t>
  </si>
  <si>
    <t>130.8456</t>
  </si>
  <si>
    <t>27</t>
  </si>
  <si>
    <t>Queensland</t>
  </si>
  <si>
    <t>-28.0167</t>
  </si>
  <si>
    <t>153.4</t>
  </si>
  <si>
    <t>35</t>
  </si>
  <si>
    <t>46</t>
  </si>
  <si>
    <t>61</t>
  </si>
  <si>
    <t>144</t>
  </si>
  <si>
    <t>184</t>
  </si>
  <si>
    <t>221</t>
  </si>
  <si>
    <t>319</t>
  </si>
  <si>
    <t>397</t>
  </si>
  <si>
    <t>443</t>
  </si>
  <si>
    <t>493</t>
  </si>
  <si>
    <t>625</t>
  </si>
  <si>
    <t>656</t>
  </si>
  <si>
    <t>689</t>
  </si>
  <si>
    <t>743</t>
  </si>
  <si>
    <t>781</t>
  </si>
  <si>
    <t>835</t>
  </si>
  <si>
    <t>873</t>
  </si>
  <si>
    <t>900</t>
  </si>
  <si>
    <t>907</t>
  </si>
  <si>
    <t>934</t>
  </si>
  <si>
    <t>943</t>
  </si>
  <si>
    <t>953</t>
  </si>
  <si>
    <t>965</t>
  </si>
  <si>
    <t>974</t>
  </si>
  <si>
    <t>983</t>
  </si>
  <si>
    <t>987</t>
  </si>
  <si>
    <t>998</t>
  </si>
  <si>
    <t>999</t>
  </si>
  <si>
    <t>1001</t>
  </si>
  <si>
    <t>1007</t>
  </si>
  <si>
    <t>1015</t>
  </si>
  <si>
    <t>1019</t>
  </si>
  <si>
    <t>1024</t>
  </si>
  <si>
    <t>South Australia</t>
  </si>
  <si>
    <t>-34.9285</t>
  </si>
  <si>
    <t>138.6007</t>
  </si>
  <si>
    <t>29</t>
  </si>
  <si>
    <t>50</t>
  </si>
  <si>
    <t>67</t>
  </si>
  <si>
    <t>257</t>
  </si>
  <si>
    <t>287</t>
  </si>
  <si>
    <t>305</t>
  </si>
  <si>
    <t>337</t>
  </si>
  <si>
    <t>396</t>
  </si>
  <si>
    <t>411</t>
  </si>
  <si>
    <t>415</t>
  </si>
  <si>
    <t>420</t>
  </si>
  <si>
    <t>429</t>
  </si>
  <si>
    <t>435</t>
  </si>
  <si>
    <t>437</t>
  </si>
  <si>
    <t>438</t>
  </si>
  <si>
    <t>Tasmania</t>
  </si>
  <si>
    <t>-41.4545</t>
  </si>
  <si>
    <t>145.9707</t>
  </si>
  <si>
    <t>36</t>
  </si>
  <si>
    <t>47</t>
  </si>
  <si>
    <t>66</t>
  </si>
  <si>
    <t>69</t>
  </si>
  <si>
    <t>72</t>
  </si>
  <si>
    <t>82</t>
  </si>
  <si>
    <t>86</t>
  </si>
  <si>
    <t>98</t>
  </si>
  <si>
    <t>111</t>
  </si>
  <si>
    <t>122</t>
  </si>
  <si>
    <t>165</t>
  </si>
  <si>
    <t>169</t>
  </si>
  <si>
    <t>180</t>
  </si>
  <si>
    <t>195</t>
  </si>
  <si>
    <t>200</t>
  </si>
  <si>
    <t>205</t>
  </si>
  <si>
    <t>207</t>
  </si>
  <si>
    <t>Victoria</t>
  </si>
  <si>
    <t>-37.8136</t>
  </si>
  <si>
    <t>144.9631</t>
  </si>
  <si>
    <t>49</t>
  </si>
  <si>
    <t>57</t>
  </si>
  <si>
    <t>121</t>
  </si>
  <si>
    <t>229</t>
  </si>
  <si>
    <t>355</t>
  </si>
  <si>
    <t>520</t>
  </si>
  <si>
    <t>574</t>
  </si>
  <si>
    <t>685</t>
  </si>
  <si>
    <t>769</t>
  </si>
  <si>
    <t>821</t>
  </si>
  <si>
    <t>917</t>
  </si>
  <si>
    <t>968</t>
  </si>
  <si>
    <t>1036</t>
  </si>
  <si>
    <t>1085</t>
  </si>
  <si>
    <t>1115</t>
  </si>
  <si>
    <t>1135</t>
  </si>
  <si>
    <t>1158</t>
  </si>
  <si>
    <t>1191</t>
  </si>
  <si>
    <t>1212</t>
  </si>
  <si>
    <t>1228</t>
  </si>
  <si>
    <t>1241</t>
  </si>
  <si>
    <t>1268</t>
  </si>
  <si>
    <t>1281</t>
  </si>
  <si>
    <t>1299</t>
  </si>
  <si>
    <t>1302</t>
  </si>
  <si>
    <t>1319</t>
  </si>
  <si>
    <t>1328</t>
  </si>
  <si>
    <t>1329</t>
  </si>
  <si>
    <t>1336</t>
  </si>
  <si>
    <t>1337</t>
  </si>
  <si>
    <t>1343</t>
  </si>
  <si>
    <t>Western Australia</t>
  </si>
  <si>
    <t>-31.9505</t>
  </si>
  <si>
    <t>115.8605</t>
  </si>
  <si>
    <t>140</t>
  </si>
  <si>
    <t>175</t>
  </si>
  <si>
    <t>231</t>
  </si>
  <si>
    <t>278</t>
  </si>
  <si>
    <t>311</t>
  </si>
  <si>
    <t>364</t>
  </si>
  <si>
    <t>392</t>
  </si>
  <si>
    <t>453</t>
  </si>
  <si>
    <t>460</t>
  </si>
  <si>
    <t>481</t>
  </si>
  <si>
    <t>495</t>
  </si>
  <si>
    <t>506</t>
  </si>
  <si>
    <t>514</t>
  </si>
  <si>
    <t>517</t>
  </si>
  <si>
    <t>527</t>
  </si>
  <si>
    <t>541</t>
  </si>
  <si>
    <t>544</t>
  </si>
  <si>
    <t>546</t>
  </si>
  <si>
    <t>Austria</t>
  </si>
  <si>
    <t>47.5162</t>
  </si>
  <si>
    <t>14.5501</t>
  </si>
  <si>
    <t>41</t>
  </si>
  <si>
    <t>131</t>
  </si>
  <si>
    <t>182</t>
  </si>
  <si>
    <t>246</t>
  </si>
  <si>
    <t>504</t>
  </si>
  <si>
    <t>655</t>
  </si>
  <si>
    <t>860</t>
  </si>
  <si>
    <t>1018</t>
  </si>
  <si>
    <t>1332</t>
  </si>
  <si>
    <t>1646</t>
  </si>
  <si>
    <t>2013</t>
  </si>
  <si>
    <t>2388</t>
  </si>
  <si>
    <t>2814</t>
  </si>
  <si>
    <t>3582</t>
  </si>
  <si>
    <t>4474</t>
  </si>
  <si>
    <t>5283</t>
  </si>
  <si>
    <t>5588</t>
  </si>
  <si>
    <t>6909</t>
  </si>
  <si>
    <t>7657</t>
  </si>
  <si>
    <t>8271</t>
  </si>
  <si>
    <t>8788</t>
  </si>
  <si>
    <t>9618</t>
  </si>
  <si>
    <t>10180</t>
  </si>
  <si>
    <t>10711</t>
  </si>
  <si>
    <t>11129</t>
  </si>
  <si>
    <t>11524</t>
  </si>
  <si>
    <t>11781</t>
  </si>
  <si>
    <t>12051</t>
  </si>
  <si>
    <t>12297</t>
  </si>
  <si>
    <t>12639</t>
  </si>
  <si>
    <t>12942</t>
  </si>
  <si>
    <t>13244</t>
  </si>
  <si>
    <t>13555</t>
  </si>
  <si>
    <t>13806</t>
  </si>
  <si>
    <t>13945</t>
  </si>
  <si>
    <t>14041</t>
  </si>
  <si>
    <t>14226</t>
  </si>
  <si>
    <t>14336</t>
  </si>
  <si>
    <t>14476</t>
  </si>
  <si>
    <t>14595</t>
  </si>
  <si>
    <t>14671</t>
  </si>
  <si>
    <t>14749</t>
  </si>
  <si>
    <t>14795</t>
  </si>
  <si>
    <t>14873</t>
  </si>
  <si>
    <t>14925</t>
  </si>
  <si>
    <t>15002</t>
  </si>
  <si>
    <t>15071</t>
  </si>
  <si>
    <t>Azerbaijan</t>
  </si>
  <si>
    <t>40.1431</t>
  </si>
  <si>
    <t>47.5769</t>
  </si>
  <si>
    <t>44</t>
  </si>
  <si>
    <t>209</t>
  </si>
  <si>
    <t>298</t>
  </si>
  <si>
    <t>359</t>
  </si>
  <si>
    <t>641</t>
  </si>
  <si>
    <t>926</t>
  </si>
  <si>
    <t>991</t>
  </si>
  <si>
    <t>1058</t>
  </si>
  <si>
    <t>1098</t>
  </si>
  <si>
    <t>1148</t>
  </si>
  <si>
    <t>1197</t>
  </si>
  <si>
    <t>1253</t>
  </si>
  <si>
    <t>1283</t>
  </si>
  <si>
    <t>1340</t>
  </si>
  <si>
    <t>1373</t>
  </si>
  <si>
    <t>1398</t>
  </si>
  <si>
    <t>1436</t>
  </si>
  <si>
    <t>1480</t>
  </si>
  <si>
    <t>1518</t>
  </si>
  <si>
    <t>1548</t>
  </si>
  <si>
    <t>1592</t>
  </si>
  <si>
    <t>Bahamas</t>
  </si>
  <si>
    <t>25.0343</t>
  </si>
  <si>
    <t>-77.3963</t>
  </si>
  <si>
    <t>73</t>
  </si>
  <si>
    <t>Bahrain</t>
  </si>
  <si>
    <t>26.0275</t>
  </si>
  <si>
    <t>50.55</t>
  </si>
  <si>
    <t>85</t>
  </si>
  <si>
    <t>95</t>
  </si>
  <si>
    <t>214</t>
  </si>
  <si>
    <t>228</t>
  </si>
  <si>
    <t>256</t>
  </si>
  <si>
    <t>285</t>
  </si>
  <si>
    <t>419</t>
  </si>
  <si>
    <t>458</t>
  </si>
  <si>
    <t>476</t>
  </si>
  <si>
    <t>499</t>
  </si>
  <si>
    <t>515</t>
  </si>
  <si>
    <t>567</t>
  </si>
  <si>
    <t>569</t>
  </si>
  <si>
    <t>643</t>
  </si>
  <si>
    <t>672</t>
  </si>
  <si>
    <t>688</t>
  </si>
  <si>
    <t>700</t>
  </si>
  <si>
    <t>756</t>
  </si>
  <si>
    <t>811</t>
  </si>
  <si>
    <t>823</t>
  </si>
  <si>
    <t>887</t>
  </si>
  <si>
    <t>925</t>
  </si>
  <si>
    <t>1040</t>
  </si>
  <si>
    <t>1136</t>
  </si>
  <si>
    <t>1361</t>
  </si>
  <si>
    <t>1528</t>
  </si>
  <si>
    <t>1671</t>
  </si>
  <si>
    <t>1700</t>
  </si>
  <si>
    <t>1740</t>
  </si>
  <si>
    <t>1773</t>
  </si>
  <si>
    <t>1881</t>
  </si>
  <si>
    <t>1907</t>
  </si>
  <si>
    <t>1973</t>
  </si>
  <si>
    <t>2027</t>
  </si>
  <si>
    <t>2217</t>
  </si>
  <si>
    <t>2518</t>
  </si>
  <si>
    <t>Bangladesh</t>
  </si>
  <si>
    <t>23.685</t>
  </si>
  <si>
    <t>90.3563</t>
  </si>
  <si>
    <t>218</t>
  </si>
  <si>
    <t>330</t>
  </si>
  <si>
    <t>621</t>
  </si>
  <si>
    <t>803</t>
  </si>
  <si>
    <t>1012</t>
  </si>
  <si>
    <t>1231</t>
  </si>
  <si>
    <t>1838</t>
  </si>
  <si>
    <t>2144</t>
  </si>
  <si>
    <t>2456</t>
  </si>
  <si>
    <t>2948</t>
  </si>
  <si>
    <t>3382</t>
  </si>
  <si>
    <t>3772</t>
  </si>
  <si>
    <t>4186</t>
  </si>
  <si>
    <t>4689</t>
  </si>
  <si>
    <t>Barbados</t>
  </si>
  <si>
    <t>13.1939</t>
  </si>
  <si>
    <t>-59.5432</t>
  </si>
  <si>
    <t>63</t>
  </si>
  <si>
    <t>Belarus</t>
  </si>
  <si>
    <t>53.7098</t>
  </si>
  <si>
    <t>27.9534</t>
  </si>
  <si>
    <t>81</t>
  </si>
  <si>
    <t>152</t>
  </si>
  <si>
    <t>163</t>
  </si>
  <si>
    <t>351</t>
  </si>
  <si>
    <t>440</t>
  </si>
  <si>
    <t>861</t>
  </si>
  <si>
    <t>1066</t>
  </si>
  <si>
    <t>1486</t>
  </si>
  <si>
    <t>1981</t>
  </si>
  <si>
    <t>2226</t>
  </si>
  <si>
    <t>2578</t>
  </si>
  <si>
    <t>2919</t>
  </si>
  <si>
    <t>3281</t>
  </si>
  <si>
    <t>3728</t>
  </si>
  <si>
    <t>4204</t>
  </si>
  <si>
    <t>4779</t>
  </si>
  <si>
    <t>6264</t>
  </si>
  <si>
    <t>6723</t>
  </si>
  <si>
    <t>7281</t>
  </si>
  <si>
    <t>8022</t>
  </si>
  <si>
    <t>8773</t>
  </si>
  <si>
    <t>Belgium</t>
  </si>
  <si>
    <t>50.8333</t>
  </si>
  <si>
    <t>4.0</t>
  </si>
  <si>
    <t>109</t>
  </si>
  <si>
    <t>239</t>
  </si>
  <si>
    <t>314</t>
  </si>
  <si>
    <t>559</t>
  </si>
  <si>
    <t>886</t>
  </si>
  <si>
    <t>1243</t>
  </si>
  <si>
    <t>2257</t>
  </si>
  <si>
    <t>2815</t>
  </si>
  <si>
    <t>3401</t>
  </si>
  <si>
    <t>3743</t>
  </si>
  <si>
    <t>4269</t>
  </si>
  <si>
    <t>4937</t>
  </si>
  <si>
    <t>6235</t>
  </si>
  <si>
    <t>7284</t>
  </si>
  <si>
    <t>9134</t>
  </si>
  <si>
    <t>10836</t>
  </si>
  <si>
    <t>11899</t>
  </si>
  <si>
    <t>12775</t>
  </si>
  <si>
    <t>13964</t>
  </si>
  <si>
    <t>15348</t>
  </si>
  <si>
    <t>16770</t>
  </si>
  <si>
    <t>18431</t>
  </si>
  <si>
    <t>19691</t>
  </si>
  <si>
    <t>20814</t>
  </si>
  <si>
    <t>22194</t>
  </si>
  <si>
    <t>23403</t>
  </si>
  <si>
    <t>24983</t>
  </si>
  <si>
    <t>26667</t>
  </si>
  <si>
    <t>28018</t>
  </si>
  <si>
    <t>29647</t>
  </si>
  <si>
    <t>30589</t>
  </si>
  <si>
    <t>31119</t>
  </si>
  <si>
    <t>33573</t>
  </si>
  <si>
    <t>34809</t>
  </si>
  <si>
    <t>36138</t>
  </si>
  <si>
    <t>37183</t>
  </si>
  <si>
    <t>38496</t>
  </si>
  <si>
    <t>39983</t>
  </si>
  <si>
    <t>40956</t>
  </si>
  <si>
    <t>41889</t>
  </si>
  <si>
    <t>42797</t>
  </si>
  <si>
    <t>44293</t>
  </si>
  <si>
    <t>Benin</t>
  </si>
  <si>
    <t>9.3077</t>
  </si>
  <si>
    <t>2.3158</t>
  </si>
  <si>
    <t>Bhutan</t>
  </si>
  <si>
    <t>27.5142</t>
  </si>
  <si>
    <t>90.4336</t>
  </si>
  <si>
    <t>Bolivia</t>
  </si>
  <si>
    <t>-16.2902</t>
  </si>
  <si>
    <t>-63.5887</t>
  </si>
  <si>
    <t>43</t>
  </si>
  <si>
    <t>107</t>
  </si>
  <si>
    <t>132</t>
  </si>
  <si>
    <t>157</t>
  </si>
  <si>
    <t>183</t>
  </si>
  <si>
    <t>268</t>
  </si>
  <si>
    <t>275</t>
  </si>
  <si>
    <t>300</t>
  </si>
  <si>
    <t>354</t>
  </si>
  <si>
    <t>441</t>
  </si>
  <si>
    <t>465</t>
  </si>
  <si>
    <t>598</t>
  </si>
  <si>
    <t>703</t>
  </si>
  <si>
    <t>807</t>
  </si>
  <si>
    <t>Bosnia and Herzegovina</t>
  </si>
  <si>
    <t>43.9159</t>
  </si>
  <si>
    <t>17.6791</t>
  </si>
  <si>
    <t>126</t>
  </si>
  <si>
    <t>166</t>
  </si>
  <si>
    <t>176</t>
  </si>
  <si>
    <t>191</t>
  </si>
  <si>
    <t>258</t>
  </si>
  <si>
    <t>323</t>
  </si>
  <si>
    <t>368</t>
  </si>
  <si>
    <t>459</t>
  </si>
  <si>
    <t>533</t>
  </si>
  <si>
    <t>579</t>
  </si>
  <si>
    <t>624</t>
  </si>
  <si>
    <t>654</t>
  </si>
  <si>
    <t>674</t>
  </si>
  <si>
    <t>764</t>
  </si>
  <si>
    <t>804</t>
  </si>
  <si>
    <t>858</t>
  </si>
  <si>
    <t>901</t>
  </si>
  <si>
    <t>946</t>
  </si>
  <si>
    <t>1009</t>
  </si>
  <si>
    <t>1037</t>
  </si>
  <si>
    <t>1083</t>
  </si>
  <si>
    <t>1110</t>
  </si>
  <si>
    <t>1167</t>
  </si>
  <si>
    <t>1214</t>
  </si>
  <si>
    <t>1285</t>
  </si>
  <si>
    <t>1309</t>
  </si>
  <si>
    <t>1342</t>
  </si>
  <si>
    <t>1368</t>
  </si>
  <si>
    <t>1413</t>
  </si>
  <si>
    <t>1421</t>
  </si>
  <si>
    <t>Brazil</t>
  </si>
  <si>
    <t>-14.235</t>
  </si>
  <si>
    <t>-51.9253</t>
  </si>
  <si>
    <t>151</t>
  </si>
  <si>
    <t>162</t>
  </si>
  <si>
    <t>321</t>
  </si>
  <si>
    <t>372</t>
  </si>
  <si>
    <t>793</t>
  </si>
  <si>
    <t>1021</t>
  </si>
  <si>
    <t>1546</t>
  </si>
  <si>
    <t>1924</t>
  </si>
  <si>
    <t>2247</t>
  </si>
  <si>
    <t>2554</t>
  </si>
  <si>
    <t>2985</t>
  </si>
  <si>
    <t>3417</t>
  </si>
  <si>
    <t>3904</t>
  </si>
  <si>
    <t>4256</t>
  </si>
  <si>
    <t>4579</t>
  </si>
  <si>
    <t>5717</t>
  </si>
  <si>
    <t>6836</t>
  </si>
  <si>
    <t>8044</t>
  </si>
  <si>
    <t>9056</t>
  </si>
  <si>
    <t>10360</t>
  </si>
  <si>
    <t>11130</t>
  </si>
  <si>
    <t>12161</t>
  </si>
  <si>
    <t>14034</t>
  </si>
  <si>
    <t>16170</t>
  </si>
  <si>
    <t>18092</t>
  </si>
  <si>
    <t>19638</t>
  </si>
  <si>
    <t>20727</t>
  </si>
  <si>
    <t>22192</t>
  </si>
  <si>
    <t>23430</t>
  </si>
  <si>
    <t>25262</t>
  </si>
  <si>
    <t>28320</t>
  </si>
  <si>
    <t>30425</t>
  </si>
  <si>
    <t>33682</t>
  </si>
  <si>
    <t>36658</t>
  </si>
  <si>
    <t>38654</t>
  </si>
  <si>
    <t>40743</t>
  </si>
  <si>
    <t>43079</t>
  </si>
  <si>
    <t>45757</t>
  </si>
  <si>
    <t>50036</t>
  </si>
  <si>
    <t>54043</t>
  </si>
  <si>
    <t>Brunei</t>
  </si>
  <si>
    <t>4.5353</t>
  </si>
  <si>
    <t>114.7277</t>
  </si>
  <si>
    <t>83</t>
  </si>
  <si>
    <t>114</t>
  </si>
  <si>
    <t>127</t>
  </si>
  <si>
    <t>129</t>
  </si>
  <si>
    <t>135</t>
  </si>
  <si>
    <t>137</t>
  </si>
  <si>
    <t>138</t>
  </si>
  <si>
    <t>Bulgaria</t>
  </si>
  <si>
    <t>42.7339</t>
  </si>
  <si>
    <t>25.4858</t>
  </si>
  <si>
    <t>187</t>
  </si>
  <si>
    <t>242</t>
  </si>
  <si>
    <t>293</t>
  </si>
  <si>
    <t>331</t>
  </si>
  <si>
    <t>346</t>
  </si>
  <si>
    <t>399</t>
  </si>
  <si>
    <t>422</t>
  </si>
  <si>
    <t>457</t>
  </si>
  <si>
    <t>485</t>
  </si>
  <si>
    <t>503</t>
  </si>
  <si>
    <t>531</t>
  </si>
  <si>
    <t>549</t>
  </si>
  <si>
    <t>577</t>
  </si>
  <si>
    <t>593</t>
  </si>
  <si>
    <t>618</t>
  </si>
  <si>
    <t>635</t>
  </si>
  <si>
    <t>661</t>
  </si>
  <si>
    <t>675</t>
  </si>
  <si>
    <t>747</t>
  </si>
  <si>
    <t>800</t>
  </si>
  <si>
    <t>846</t>
  </si>
  <si>
    <t>878</t>
  </si>
  <si>
    <t>894</t>
  </si>
  <si>
    <t>929</t>
  </si>
  <si>
    <t>975</t>
  </si>
  <si>
    <t>1097</t>
  </si>
  <si>
    <t>1234</t>
  </si>
  <si>
    <t>Burkina Faso</t>
  </si>
  <si>
    <t>12.2383</t>
  </si>
  <si>
    <t>-1.5616</t>
  </si>
  <si>
    <t>222</t>
  </si>
  <si>
    <t>261</t>
  </si>
  <si>
    <t>282</t>
  </si>
  <si>
    <t>288</t>
  </si>
  <si>
    <t>318</t>
  </si>
  <si>
    <t>345</t>
  </si>
  <si>
    <t>384</t>
  </si>
  <si>
    <t>414</t>
  </si>
  <si>
    <t>497</t>
  </si>
  <si>
    <t>528</t>
  </si>
  <si>
    <t>542</t>
  </si>
  <si>
    <t>557</t>
  </si>
  <si>
    <t>565</t>
  </si>
  <si>
    <t>576</t>
  </si>
  <si>
    <t>581</t>
  </si>
  <si>
    <t>600</t>
  </si>
  <si>
    <t>616</t>
  </si>
  <si>
    <t>629</t>
  </si>
  <si>
    <t>Cabo Verde</t>
  </si>
  <si>
    <t>16.5388</t>
  </si>
  <si>
    <t>-23.0418</t>
  </si>
  <si>
    <t>58</t>
  </si>
  <si>
    <t>Cambodia</t>
  </si>
  <si>
    <t>11.55</t>
  </si>
  <si>
    <t>104.9167</t>
  </si>
  <si>
    <t>117</t>
  </si>
  <si>
    <t>119</t>
  </si>
  <si>
    <t>Cameroon</t>
  </si>
  <si>
    <t>3.8480000000000003</t>
  </si>
  <si>
    <t>11.5021</t>
  </si>
  <si>
    <t>193</t>
  </si>
  <si>
    <t>233</t>
  </si>
  <si>
    <t>306</t>
  </si>
  <si>
    <t>509</t>
  </si>
  <si>
    <t>650</t>
  </si>
  <si>
    <t>658</t>
  </si>
  <si>
    <t>730</t>
  </si>
  <si>
    <t>848</t>
  </si>
  <si>
    <t>1017</t>
  </si>
  <si>
    <t>1163</t>
  </si>
  <si>
    <t>1334</t>
  </si>
  <si>
    <t>1430</t>
  </si>
  <si>
    <t>Alberta</t>
  </si>
  <si>
    <t>Canada</t>
  </si>
  <si>
    <t>53.9333</t>
  </si>
  <si>
    <t>-116.5765</t>
  </si>
  <si>
    <t>358</t>
  </si>
  <si>
    <t>486</t>
  </si>
  <si>
    <t>754</t>
  </si>
  <si>
    <t>969</t>
  </si>
  <si>
    <t>1075</t>
  </si>
  <si>
    <t>1181</t>
  </si>
  <si>
    <t>1250</t>
  </si>
  <si>
    <t>1567</t>
  </si>
  <si>
    <t>1732</t>
  </si>
  <si>
    <t>1870</t>
  </si>
  <si>
    <t>1996</t>
  </si>
  <si>
    <t>2397</t>
  </si>
  <si>
    <t>2562</t>
  </si>
  <si>
    <t>2803</t>
  </si>
  <si>
    <t>2908</t>
  </si>
  <si>
    <t>3095</t>
  </si>
  <si>
    <t>3720</t>
  </si>
  <si>
    <t>4017</t>
  </si>
  <si>
    <t>British Columbia</t>
  </si>
  <si>
    <t>49.2827</t>
  </si>
  <si>
    <t>-123.1207</t>
  </si>
  <si>
    <t>271</t>
  </si>
  <si>
    <t>472</t>
  </si>
  <si>
    <t>617</t>
  </si>
  <si>
    <t>725</t>
  </si>
  <si>
    <t>884</t>
  </si>
  <si>
    <t>970</t>
  </si>
  <si>
    <t>1121</t>
  </si>
  <si>
    <t>1174</t>
  </si>
  <si>
    <t>1203</t>
  </si>
  <si>
    <t>1266</t>
  </si>
  <si>
    <t>1370</t>
  </si>
  <si>
    <t>1445</t>
  </si>
  <si>
    <t>1490</t>
  </si>
  <si>
    <t>1517</t>
  </si>
  <si>
    <t>1561</t>
  </si>
  <si>
    <t>1575</t>
  </si>
  <si>
    <t>1618</t>
  </si>
  <si>
    <t>1647</t>
  </si>
  <si>
    <t>1724</t>
  </si>
  <si>
    <t>1824</t>
  </si>
  <si>
    <t>1853</t>
  </si>
  <si>
    <t>Grand Princess</t>
  </si>
  <si>
    <t>37.6489</t>
  </si>
  <si>
    <t>-122.6655</t>
  </si>
  <si>
    <t>Manitoba</t>
  </si>
  <si>
    <t>53.7609</t>
  </si>
  <si>
    <t>-98.8139</t>
  </si>
  <si>
    <t>167</t>
  </si>
  <si>
    <t>203</t>
  </si>
  <si>
    <t>217</t>
  </si>
  <si>
    <t>250</t>
  </si>
  <si>
    <t>253</t>
  </si>
  <si>
    <t>254</t>
  </si>
  <si>
    <t>255</t>
  </si>
  <si>
    <t>262</t>
  </si>
  <si>
    <t>263</t>
  </si>
  <si>
    <t>New Brunswick</t>
  </si>
  <si>
    <t>46.5653</t>
  </si>
  <si>
    <t>-66.4619</t>
  </si>
  <si>
    <t>108</t>
  </si>
  <si>
    <t>116</t>
  </si>
  <si>
    <t>118</t>
  </si>
  <si>
    <t>Newfoundland and Labrador</t>
  </si>
  <si>
    <t>53.1355</t>
  </si>
  <si>
    <t>-57.6604</t>
  </si>
  <si>
    <t>148</t>
  </si>
  <si>
    <t>226</t>
  </si>
  <si>
    <t>232</t>
  </si>
  <si>
    <t>241</t>
  </si>
  <si>
    <t>244</t>
  </si>
  <si>
    <t>247</t>
  </si>
  <si>
    <t>252</t>
  </si>
  <si>
    <t>Nova Scotia</t>
  </si>
  <si>
    <t>44.681999999999995</t>
  </si>
  <si>
    <t>-63.7443</t>
  </si>
  <si>
    <t>147</t>
  </si>
  <si>
    <t>173</t>
  </si>
  <si>
    <t>236</t>
  </si>
  <si>
    <t>310</t>
  </si>
  <si>
    <t>342</t>
  </si>
  <si>
    <t>445</t>
  </si>
  <si>
    <t>474</t>
  </si>
  <si>
    <t>606</t>
  </si>
  <si>
    <t>649</t>
  </si>
  <si>
    <t>721</t>
  </si>
  <si>
    <t>737</t>
  </si>
  <si>
    <t>772</t>
  </si>
  <si>
    <t>827</t>
  </si>
  <si>
    <t>Ontario</t>
  </si>
  <si>
    <t>51.2538</t>
  </si>
  <si>
    <t>-85.3232</t>
  </si>
  <si>
    <t>177</t>
  </si>
  <si>
    <t>185</t>
  </si>
  <si>
    <t>425</t>
  </si>
  <si>
    <t>588</t>
  </si>
  <si>
    <t>994</t>
  </si>
  <si>
    <t>1144</t>
  </si>
  <si>
    <t>1355</t>
  </si>
  <si>
    <t>1706</t>
  </si>
  <si>
    <t>1966</t>
  </si>
  <si>
    <t>2392</t>
  </si>
  <si>
    <t>2793</t>
  </si>
  <si>
    <t>3255</t>
  </si>
  <si>
    <t>3630</t>
  </si>
  <si>
    <t>4354</t>
  </si>
  <si>
    <t>4347</t>
  </si>
  <si>
    <t>4726</t>
  </si>
  <si>
    <t>5276</t>
  </si>
  <si>
    <t>5759</t>
  </si>
  <si>
    <t>6237</t>
  </si>
  <si>
    <t>6648</t>
  </si>
  <si>
    <t>7049</t>
  </si>
  <si>
    <t>7953</t>
  </si>
  <si>
    <t>8447</t>
  </si>
  <si>
    <t>9840</t>
  </si>
  <si>
    <t>10456</t>
  </si>
  <si>
    <t>11013</t>
  </si>
  <si>
    <t>11561</t>
  </si>
  <si>
    <t>12063</t>
  </si>
  <si>
    <t>12715</t>
  </si>
  <si>
    <t>13718</t>
  </si>
  <si>
    <t>14068</t>
  </si>
  <si>
    <t>14550</t>
  </si>
  <si>
    <t>Prince Edward Island</t>
  </si>
  <si>
    <t>46.5107</t>
  </si>
  <si>
    <t>-63.4168</t>
  </si>
  <si>
    <t>Quebec</t>
  </si>
  <si>
    <t>52.9399</t>
  </si>
  <si>
    <t>-73.5491</t>
  </si>
  <si>
    <t>181</t>
  </si>
  <si>
    <t>219</t>
  </si>
  <si>
    <t>628</t>
  </si>
  <si>
    <t>1632</t>
  </si>
  <si>
    <t>2024</t>
  </si>
  <si>
    <t>2498</t>
  </si>
  <si>
    <t>2840</t>
  </si>
  <si>
    <t>3430</t>
  </si>
  <si>
    <t>4162</t>
  </si>
  <si>
    <t>4611</t>
  </si>
  <si>
    <t>5518</t>
  </si>
  <si>
    <t>6101</t>
  </si>
  <si>
    <t>7944</t>
  </si>
  <si>
    <t>8580</t>
  </si>
  <si>
    <t>9340</t>
  </si>
  <si>
    <t>10031</t>
  </si>
  <si>
    <t>10912</t>
  </si>
  <si>
    <t>11677</t>
  </si>
  <si>
    <t>12292</t>
  </si>
  <si>
    <t>12846</t>
  </si>
  <si>
    <t>13557</t>
  </si>
  <si>
    <t>14248</t>
  </si>
  <si>
    <t>14860</t>
  </si>
  <si>
    <t>15857</t>
  </si>
  <si>
    <t>16798</t>
  </si>
  <si>
    <t>17521</t>
  </si>
  <si>
    <t>17950</t>
  </si>
  <si>
    <t>19319</t>
  </si>
  <si>
    <t>20126</t>
  </si>
  <si>
    <t>20965</t>
  </si>
  <si>
    <t>21838</t>
  </si>
  <si>
    <t>22616</t>
  </si>
  <si>
    <t>Saskatchewan</t>
  </si>
  <si>
    <t>-106.4509</t>
  </si>
  <si>
    <t>156</t>
  </si>
  <si>
    <t>206</t>
  </si>
  <si>
    <t>220</t>
  </si>
  <si>
    <t>260</t>
  </si>
  <si>
    <t>289</t>
  </si>
  <si>
    <t>313</t>
  </si>
  <si>
    <t>315</t>
  </si>
  <si>
    <t>316</t>
  </si>
  <si>
    <t>320</t>
  </si>
  <si>
    <t>326</t>
  </si>
  <si>
    <t>341</t>
  </si>
  <si>
    <t>Central African Republic</t>
  </si>
  <si>
    <t>6.6111</t>
  </si>
  <si>
    <t>20.9394</t>
  </si>
  <si>
    <t>Chad</t>
  </si>
  <si>
    <t>15.4542</t>
  </si>
  <si>
    <t>18.7322</t>
  </si>
  <si>
    <t>Chile</t>
  </si>
  <si>
    <t>-35.6751</t>
  </si>
  <si>
    <t>-71.543</t>
  </si>
  <si>
    <t>155</t>
  </si>
  <si>
    <t>238</t>
  </si>
  <si>
    <t>434</t>
  </si>
  <si>
    <t>537</t>
  </si>
  <si>
    <t>632</t>
  </si>
  <si>
    <t>746</t>
  </si>
  <si>
    <t>922</t>
  </si>
  <si>
    <t>1142</t>
  </si>
  <si>
    <t>1306</t>
  </si>
  <si>
    <t>1610</t>
  </si>
  <si>
    <t>1909</t>
  </si>
  <si>
    <t>2139</t>
  </si>
  <si>
    <t>2449</t>
  </si>
  <si>
    <t>2738</t>
  </si>
  <si>
    <t>3404</t>
  </si>
  <si>
    <t>3737</t>
  </si>
  <si>
    <t>4161</t>
  </si>
  <si>
    <t>4471</t>
  </si>
  <si>
    <t>4815</t>
  </si>
  <si>
    <t>5116</t>
  </si>
  <si>
    <t>5546</t>
  </si>
  <si>
    <t>5972</t>
  </si>
  <si>
    <t>6501</t>
  </si>
  <si>
    <t>6927</t>
  </si>
  <si>
    <t>7213</t>
  </si>
  <si>
    <t>7525</t>
  </si>
  <si>
    <t>7917</t>
  </si>
  <si>
    <t>8273</t>
  </si>
  <si>
    <t>8807</t>
  </si>
  <si>
    <t>9252</t>
  </si>
  <si>
    <t>9730</t>
  </si>
  <si>
    <t>10088</t>
  </si>
  <si>
    <t>10507</t>
  </si>
  <si>
    <t>10832</t>
  </si>
  <si>
    <t>11296</t>
  </si>
  <si>
    <t>11812</t>
  </si>
  <si>
    <t>12306</t>
  </si>
  <si>
    <t>Anhui</t>
  </si>
  <si>
    <t>China</t>
  </si>
  <si>
    <t>31.8257</t>
  </si>
  <si>
    <t>117.2264</t>
  </si>
  <si>
    <t>106</t>
  </si>
  <si>
    <t>297</t>
  </si>
  <si>
    <t>340</t>
  </si>
  <si>
    <t>408</t>
  </si>
  <si>
    <t>480</t>
  </si>
  <si>
    <t>530</t>
  </si>
  <si>
    <t>591</t>
  </si>
  <si>
    <t>733</t>
  </si>
  <si>
    <t>779</t>
  </si>
  <si>
    <t>830</t>
  </si>
  <si>
    <t>889</t>
  </si>
  <si>
    <t>910</t>
  </si>
  <si>
    <t>950</t>
  </si>
  <si>
    <t>962</t>
  </si>
  <si>
    <t>973</t>
  </si>
  <si>
    <t>982</t>
  </si>
  <si>
    <t>988</t>
  </si>
  <si>
    <t>989</t>
  </si>
  <si>
    <t>990</t>
  </si>
  <si>
    <t>Beijing</t>
  </si>
  <si>
    <t>40.1824</t>
  </si>
  <si>
    <t>116.4142</t>
  </si>
  <si>
    <t>168</t>
  </si>
  <si>
    <t>274</t>
  </si>
  <si>
    <t>352</t>
  </si>
  <si>
    <t>366</t>
  </si>
  <si>
    <t>375</t>
  </si>
  <si>
    <t>380</t>
  </si>
  <si>
    <t>381</t>
  </si>
  <si>
    <t>393</t>
  </si>
  <si>
    <t>395</t>
  </si>
  <si>
    <t>410</t>
  </si>
  <si>
    <t>413</t>
  </si>
  <si>
    <t>418</t>
  </si>
  <si>
    <t>426</t>
  </si>
  <si>
    <t>442</t>
  </si>
  <si>
    <t>452</t>
  </si>
  <si>
    <t>456</t>
  </si>
  <si>
    <t>469</t>
  </si>
  <si>
    <t>491</t>
  </si>
  <si>
    <t>522</t>
  </si>
  <si>
    <t>558</t>
  </si>
  <si>
    <t>561</t>
  </si>
  <si>
    <t>566</t>
  </si>
  <si>
    <t>573</t>
  </si>
  <si>
    <t>580</t>
  </si>
  <si>
    <t>582</t>
  </si>
  <si>
    <t>585</t>
  </si>
  <si>
    <t>586</t>
  </si>
  <si>
    <t>587</t>
  </si>
  <si>
    <t>590</t>
  </si>
  <si>
    <t>Chongqing</t>
  </si>
  <si>
    <t>30.0572</t>
  </si>
  <si>
    <t>107.874</t>
  </si>
  <si>
    <t>211</t>
  </si>
  <si>
    <t>389</t>
  </si>
  <si>
    <t>468</t>
  </si>
  <si>
    <t>505</t>
  </si>
  <si>
    <t>529</t>
  </si>
  <si>
    <t>551</t>
  </si>
  <si>
    <t>553</t>
  </si>
  <si>
    <t>560</t>
  </si>
  <si>
    <t>572</t>
  </si>
  <si>
    <t>575</t>
  </si>
  <si>
    <t>578</t>
  </si>
  <si>
    <t>Fujian</t>
  </si>
  <si>
    <t>26.0789</t>
  </si>
  <si>
    <t>117.9874</t>
  </si>
  <si>
    <t>101</t>
  </si>
  <si>
    <t>159</t>
  </si>
  <si>
    <t>179</t>
  </si>
  <si>
    <t>215</t>
  </si>
  <si>
    <t>272</t>
  </si>
  <si>
    <t>279</t>
  </si>
  <si>
    <t>292</t>
  </si>
  <si>
    <t>294</t>
  </si>
  <si>
    <t>296</t>
  </si>
  <si>
    <t>303</t>
  </si>
  <si>
    <t>322</t>
  </si>
  <si>
    <t>328</t>
  </si>
  <si>
    <t>338</t>
  </si>
  <si>
    <t>343</t>
  </si>
  <si>
    <t>350</t>
  </si>
  <si>
    <t>Gansu</t>
  </si>
  <si>
    <t>37.8099</t>
  </si>
  <si>
    <t>101.0583</t>
  </si>
  <si>
    <t>124</t>
  </si>
  <si>
    <t>125</t>
  </si>
  <si>
    <t>Guangdong</t>
  </si>
  <si>
    <t>23.3417</t>
  </si>
  <si>
    <t>113.4244</t>
  </si>
  <si>
    <t>535</t>
  </si>
  <si>
    <t>813</t>
  </si>
  <si>
    <t>895</t>
  </si>
  <si>
    <t>1034</t>
  </si>
  <si>
    <t>1095</t>
  </si>
  <si>
    <t>1131</t>
  </si>
  <si>
    <t>1177</t>
  </si>
  <si>
    <t>1261</t>
  </si>
  <si>
    <t>1294</t>
  </si>
  <si>
    <t>1316</t>
  </si>
  <si>
    <t>1322</t>
  </si>
  <si>
    <t>1331</t>
  </si>
  <si>
    <t>1333</t>
  </si>
  <si>
    <t>1345</t>
  </si>
  <si>
    <t>1347</t>
  </si>
  <si>
    <t>1348</t>
  </si>
  <si>
    <t>1349</t>
  </si>
  <si>
    <t>1350</t>
  </si>
  <si>
    <t>1352</t>
  </si>
  <si>
    <t>1353</t>
  </si>
  <si>
    <t>1356</t>
  </si>
  <si>
    <t>1360</t>
  </si>
  <si>
    <t>1364</t>
  </si>
  <si>
    <t>1378</t>
  </si>
  <si>
    <t>1395</t>
  </si>
  <si>
    <t>1400</t>
  </si>
  <si>
    <t>1415</t>
  </si>
  <si>
    <t>1428</t>
  </si>
  <si>
    <t>1433</t>
  </si>
  <si>
    <t>1448</t>
  </si>
  <si>
    <t>1456</t>
  </si>
  <si>
    <t>1467</t>
  </si>
  <si>
    <t>1475</t>
  </si>
  <si>
    <t>1484</t>
  </si>
  <si>
    <t>1494</t>
  </si>
  <si>
    <t>1501</t>
  </si>
  <si>
    <t>1507</t>
  </si>
  <si>
    <t>1514</t>
  </si>
  <si>
    <t>1516</t>
  </si>
  <si>
    <t>1524</t>
  </si>
  <si>
    <t>1532</t>
  </si>
  <si>
    <t>1533</t>
  </si>
  <si>
    <t>1536</t>
  </si>
  <si>
    <t>1539</t>
  </si>
  <si>
    <t>1544</t>
  </si>
  <si>
    <t>1552</t>
  </si>
  <si>
    <t>1555</t>
  </si>
  <si>
    <t>1564</t>
  </si>
  <si>
    <t>1566</t>
  </si>
  <si>
    <t>1571</t>
  </si>
  <si>
    <t>1577</t>
  </si>
  <si>
    <t>1579</t>
  </si>
  <si>
    <t>1580</t>
  </si>
  <si>
    <t>1581</t>
  </si>
  <si>
    <t>1582</t>
  </si>
  <si>
    <t>1585</t>
  </si>
  <si>
    <t>Guangxi</t>
  </si>
  <si>
    <t>23.8298</t>
  </si>
  <si>
    <t>108.7881</t>
  </si>
  <si>
    <t>150</t>
  </si>
  <si>
    <t>172</t>
  </si>
  <si>
    <t>245</t>
  </si>
  <si>
    <t>251</t>
  </si>
  <si>
    <t>Guizhou</t>
  </si>
  <si>
    <t>26.8154</t>
  </si>
  <si>
    <t>106.8748</t>
  </si>
  <si>
    <t>143</t>
  </si>
  <si>
    <t>Hainan</t>
  </si>
  <si>
    <t>19.1959</t>
  </si>
  <si>
    <t>109.7453</t>
  </si>
  <si>
    <t>Hebei</t>
  </si>
  <si>
    <t>39.549</t>
  </si>
  <si>
    <t>116.1306</t>
  </si>
  <si>
    <t>283</t>
  </si>
  <si>
    <t>291</t>
  </si>
  <si>
    <t>309</t>
  </si>
  <si>
    <t>312</t>
  </si>
  <si>
    <t>317</t>
  </si>
  <si>
    <t>325</t>
  </si>
  <si>
    <t>327</t>
  </si>
  <si>
    <t>Heilongjiang</t>
  </si>
  <si>
    <t>47.861999999999995</t>
  </si>
  <si>
    <t>127.7615</t>
  </si>
  <si>
    <t>190</t>
  </si>
  <si>
    <t>227</t>
  </si>
  <si>
    <t>295</t>
  </si>
  <si>
    <t>360</t>
  </si>
  <si>
    <t>378</t>
  </si>
  <si>
    <t>464</t>
  </si>
  <si>
    <t>470</t>
  </si>
  <si>
    <t>479</t>
  </si>
  <si>
    <t>483</t>
  </si>
  <si>
    <t>488</t>
  </si>
  <si>
    <t>489</t>
  </si>
  <si>
    <t>524</t>
  </si>
  <si>
    <t>684</t>
  </si>
  <si>
    <t>740</t>
  </si>
  <si>
    <t>819</t>
  </si>
  <si>
    <t>841</t>
  </si>
  <si>
    <t>872</t>
  </si>
  <si>
    <t>892</t>
  </si>
  <si>
    <t>898</t>
  </si>
  <si>
    <t>905</t>
  </si>
  <si>
    <t>913</t>
  </si>
  <si>
    <t>928</t>
  </si>
  <si>
    <t>930</t>
  </si>
  <si>
    <t>Henan</t>
  </si>
  <si>
    <t>33.882</t>
  </si>
  <si>
    <t>113.61399999999999</t>
  </si>
  <si>
    <t>851</t>
  </si>
  <si>
    <t>914</t>
  </si>
  <si>
    <t>981</t>
  </si>
  <si>
    <t>1033</t>
  </si>
  <si>
    <t>1073</t>
  </si>
  <si>
    <t>1105</t>
  </si>
  <si>
    <t>1169</t>
  </si>
  <si>
    <t>1184</t>
  </si>
  <si>
    <t>1246</t>
  </si>
  <si>
    <t>1257</t>
  </si>
  <si>
    <t>1262</t>
  </si>
  <si>
    <t>1267</t>
  </si>
  <si>
    <t>1270</t>
  </si>
  <si>
    <t>1271</t>
  </si>
  <si>
    <t>1272</t>
  </si>
  <si>
    <t>1273</t>
  </si>
  <si>
    <t>1274</t>
  </si>
  <si>
    <t>1275</t>
  </si>
  <si>
    <t>1276</t>
  </si>
  <si>
    <t>Hong Kong</t>
  </si>
  <si>
    <t>22.3</t>
  </si>
  <si>
    <t>114.2</t>
  </si>
  <si>
    <t>145</t>
  </si>
  <si>
    <t>208</t>
  </si>
  <si>
    <t>356</t>
  </si>
  <si>
    <t>386</t>
  </si>
  <si>
    <t>519</t>
  </si>
  <si>
    <t>682</t>
  </si>
  <si>
    <t>765</t>
  </si>
  <si>
    <t>802</t>
  </si>
  <si>
    <t>845</t>
  </si>
  <si>
    <t>862</t>
  </si>
  <si>
    <t>890</t>
  </si>
  <si>
    <t>935</t>
  </si>
  <si>
    <t>960</t>
  </si>
  <si>
    <t>1000</t>
  </si>
  <si>
    <t>1004</t>
  </si>
  <si>
    <t>1025</t>
  </si>
  <si>
    <t>1035</t>
  </si>
  <si>
    <t>Hubei</t>
  </si>
  <si>
    <t>30.9756</t>
  </si>
  <si>
    <t>112.2707</t>
  </si>
  <si>
    <t>761</t>
  </si>
  <si>
    <t>3554</t>
  </si>
  <si>
    <t>4903</t>
  </si>
  <si>
    <t>5806</t>
  </si>
  <si>
    <t>7153</t>
  </si>
  <si>
    <t>11177</t>
  </si>
  <si>
    <t>13522</t>
  </si>
  <si>
    <t>16678</t>
  </si>
  <si>
    <t>19665</t>
  </si>
  <si>
    <t>22112</t>
  </si>
  <si>
    <t>24953</t>
  </si>
  <si>
    <t>27100</t>
  </si>
  <si>
    <t>29631</t>
  </si>
  <si>
    <t>31728</t>
  </si>
  <si>
    <t>33366</t>
  </si>
  <si>
    <t>48206</t>
  </si>
  <si>
    <t>54406</t>
  </si>
  <si>
    <t>56249</t>
  </si>
  <si>
    <t>58182</t>
  </si>
  <si>
    <t>59989</t>
  </si>
  <si>
    <t>61682</t>
  </si>
  <si>
    <t>62031</t>
  </si>
  <si>
    <t>62442</t>
  </si>
  <si>
    <t>62662</t>
  </si>
  <si>
    <t>64084</t>
  </si>
  <si>
    <t>64287</t>
  </si>
  <si>
    <t>64786</t>
  </si>
  <si>
    <t>65187</t>
  </si>
  <si>
    <t>65596</t>
  </si>
  <si>
    <t>65914</t>
  </si>
  <si>
    <t>66337</t>
  </si>
  <si>
    <t>66907</t>
  </si>
  <si>
    <t>67103</t>
  </si>
  <si>
    <t>67217</t>
  </si>
  <si>
    <t>67332</t>
  </si>
  <si>
    <t>67466</t>
  </si>
  <si>
    <t>67592</t>
  </si>
  <si>
    <t>67666</t>
  </si>
  <si>
    <t>67707</t>
  </si>
  <si>
    <t>67743</t>
  </si>
  <si>
    <t>67760</t>
  </si>
  <si>
    <t>67773</t>
  </si>
  <si>
    <t>67781</t>
  </si>
  <si>
    <t>67786</t>
  </si>
  <si>
    <t>67790</t>
  </si>
  <si>
    <t>67794</t>
  </si>
  <si>
    <t>67798</t>
  </si>
  <si>
    <t>67799</t>
  </si>
  <si>
    <t>67800</t>
  </si>
  <si>
    <t>67801</t>
  </si>
  <si>
    <t>67802</t>
  </si>
  <si>
    <t>67803</t>
  </si>
  <si>
    <t>68128</t>
  </si>
  <si>
    <t>Hunan</t>
  </si>
  <si>
    <t>27.6104</t>
  </si>
  <si>
    <t>111.7088</t>
  </si>
  <si>
    <t>332</t>
  </si>
  <si>
    <t>463</t>
  </si>
  <si>
    <t>711</t>
  </si>
  <si>
    <t>838</t>
  </si>
  <si>
    <t>879</t>
  </si>
  <si>
    <t>912</t>
  </si>
  <si>
    <t>1006</t>
  </si>
  <si>
    <t>1008</t>
  </si>
  <si>
    <t>1010</t>
  </si>
  <si>
    <t>1011</t>
  </si>
  <si>
    <t>1016</t>
  </si>
  <si>
    <t>Inner Mongolia</t>
  </si>
  <si>
    <t>44.0935</t>
  </si>
  <si>
    <t>113.9448</t>
  </si>
  <si>
    <t>189</t>
  </si>
  <si>
    <t>Jiangsu</t>
  </si>
  <si>
    <t>32.9711</t>
  </si>
  <si>
    <t>119.455</t>
  </si>
  <si>
    <t>202</t>
  </si>
  <si>
    <t>373</t>
  </si>
  <si>
    <t>492</t>
  </si>
  <si>
    <t>543</t>
  </si>
  <si>
    <t>570</t>
  </si>
  <si>
    <t>604</t>
  </si>
  <si>
    <t>626</t>
  </si>
  <si>
    <t>631</t>
  </si>
  <si>
    <t>633</t>
  </si>
  <si>
    <t>636</t>
  </si>
  <si>
    <t>640</t>
  </si>
  <si>
    <t>644</t>
  </si>
  <si>
    <t>645</t>
  </si>
  <si>
    <t>647</t>
  </si>
  <si>
    <t>651</t>
  </si>
  <si>
    <t>652</t>
  </si>
  <si>
    <t>653</t>
  </si>
  <si>
    <t>Jiangxi</t>
  </si>
  <si>
    <t>27.614</t>
  </si>
  <si>
    <t>115.7221</t>
  </si>
  <si>
    <t>240</t>
  </si>
  <si>
    <t>286</t>
  </si>
  <si>
    <t>391</t>
  </si>
  <si>
    <t>698</t>
  </si>
  <si>
    <t>771</t>
  </si>
  <si>
    <t>844</t>
  </si>
  <si>
    <t>936</t>
  </si>
  <si>
    <t>Jilin</t>
  </si>
  <si>
    <t>43.6661</t>
  </si>
  <si>
    <t>126.1923</t>
  </si>
  <si>
    <t>Liaoning</t>
  </si>
  <si>
    <t>41.2956</t>
  </si>
  <si>
    <t>122.6085</t>
  </si>
  <si>
    <t>141</t>
  </si>
  <si>
    <t>142</t>
  </si>
  <si>
    <t>Macau</t>
  </si>
  <si>
    <t>22.1667</t>
  </si>
  <si>
    <t>113.55</t>
  </si>
  <si>
    <t>30</t>
  </si>
  <si>
    <t>Ningxia</t>
  </si>
  <si>
    <t>37.2692</t>
  </si>
  <si>
    <t>106.1655</t>
  </si>
  <si>
    <t>Qinghai</t>
  </si>
  <si>
    <t>35.7452</t>
  </si>
  <si>
    <t>95.9956</t>
  </si>
  <si>
    <t>Shaanxi</t>
  </si>
  <si>
    <t>35.1917</t>
  </si>
  <si>
    <t>108.8701</t>
  </si>
  <si>
    <t>213</t>
  </si>
  <si>
    <t>225</t>
  </si>
  <si>
    <t>248</t>
  </si>
  <si>
    <t>Shandong</t>
  </si>
  <si>
    <t>36.3427</t>
  </si>
  <si>
    <t>118.1498</t>
  </si>
  <si>
    <t>130</t>
  </si>
  <si>
    <t>347</t>
  </si>
  <si>
    <t>487</t>
  </si>
  <si>
    <t>523</t>
  </si>
  <si>
    <t>749</t>
  </si>
  <si>
    <t>750</t>
  </si>
  <si>
    <t>755</t>
  </si>
  <si>
    <t>758</t>
  </si>
  <si>
    <t>760</t>
  </si>
  <si>
    <t>762</t>
  </si>
  <si>
    <t>767</t>
  </si>
  <si>
    <t>768</t>
  </si>
  <si>
    <t>773</t>
  </si>
  <si>
    <t>774</t>
  </si>
  <si>
    <t>775</t>
  </si>
  <si>
    <t>778</t>
  </si>
  <si>
    <t>780</t>
  </si>
  <si>
    <t>783</t>
  </si>
  <si>
    <t>787</t>
  </si>
  <si>
    <t>Shanghai</t>
  </si>
  <si>
    <t>31.201999999999998</t>
  </si>
  <si>
    <t>121.4491</t>
  </si>
  <si>
    <t>335</t>
  </si>
  <si>
    <t>336</t>
  </si>
  <si>
    <t>339</t>
  </si>
  <si>
    <t>344</t>
  </si>
  <si>
    <t>363</t>
  </si>
  <si>
    <t>371</t>
  </si>
  <si>
    <t>404</t>
  </si>
  <si>
    <t>451</t>
  </si>
  <si>
    <t>498</t>
  </si>
  <si>
    <t>516</t>
  </si>
  <si>
    <t>526</t>
  </si>
  <si>
    <t>536</t>
  </si>
  <si>
    <t>538</t>
  </si>
  <si>
    <t>552</t>
  </si>
  <si>
    <t>622</t>
  </si>
  <si>
    <t>639</t>
  </si>
  <si>
    <t>Shanxi</t>
  </si>
  <si>
    <t>37.5777</t>
  </si>
  <si>
    <t>112.2922</t>
  </si>
  <si>
    <t>Sichuan</t>
  </si>
  <si>
    <t>30.6171</t>
  </si>
  <si>
    <t>102.7103</t>
  </si>
  <si>
    <t>405</t>
  </si>
  <si>
    <t>417</t>
  </si>
  <si>
    <t>508</t>
  </si>
  <si>
    <t>534</t>
  </si>
  <si>
    <t>540</t>
  </si>
  <si>
    <t>547</t>
  </si>
  <si>
    <t>550</t>
  </si>
  <si>
    <t>554</t>
  </si>
  <si>
    <t>Tianjin</t>
  </si>
  <si>
    <t>39.3054</t>
  </si>
  <si>
    <t>117.323</t>
  </si>
  <si>
    <t>161</t>
  </si>
  <si>
    <t>Tibet</t>
  </si>
  <si>
    <t>31.6927</t>
  </si>
  <si>
    <t>88.0924</t>
  </si>
  <si>
    <t>Xinjiang</t>
  </si>
  <si>
    <t>41.1129</t>
  </si>
  <si>
    <t>85.2401</t>
  </si>
  <si>
    <t>Yunnan</t>
  </si>
  <si>
    <t>24.974</t>
  </si>
  <si>
    <t>101.48700000000001</t>
  </si>
  <si>
    <t>149</t>
  </si>
  <si>
    <t>153</t>
  </si>
  <si>
    <t>154</t>
  </si>
  <si>
    <t>178</t>
  </si>
  <si>
    <t>Zhejiang</t>
  </si>
  <si>
    <t>29.1832</t>
  </si>
  <si>
    <t>120.0934</t>
  </si>
  <si>
    <t>599</t>
  </si>
  <si>
    <t>724</t>
  </si>
  <si>
    <t>829</t>
  </si>
  <si>
    <t>954</t>
  </si>
  <si>
    <t>1048</t>
  </si>
  <si>
    <t>1117</t>
  </si>
  <si>
    <t>1145</t>
  </si>
  <si>
    <t>1155</t>
  </si>
  <si>
    <t>1162</t>
  </si>
  <si>
    <t>1172</t>
  </si>
  <si>
    <t>1175</t>
  </si>
  <si>
    <t>1205</t>
  </si>
  <si>
    <t>1206</t>
  </si>
  <si>
    <t>1213</t>
  </si>
  <si>
    <t>1215</t>
  </si>
  <si>
    <t>1227</t>
  </si>
  <si>
    <t>1232</t>
  </si>
  <si>
    <t>1233</t>
  </si>
  <si>
    <t>1236</t>
  </si>
  <si>
    <t>1238</t>
  </si>
  <si>
    <t>1240</t>
  </si>
  <si>
    <t>1247</t>
  </si>
  <si>
    <t>1254</t>
  </si>
  <si>
    <t>1255</t>
  </si>
  <si>
    <t>1258</t>
  </si>
  <si>
    <t>1260</t>
  </si>
  <si>
    <t>1263</t>
  </si>
  <si>
    <t>1264</t>
  </si>
  <si>
    <t>Colombia</t>
  </si>
  <si>
    <t>4.5709</t>
  </si>
  <si>
    <t>-74.2973</t>
  </si>
  <si>
    <t>196</t>
  </si>
  <si>
    <t>608</t>
  </si>
  <si>
    <t>702</t>
  </si>
  <si>
    <t>798</t>
  </si>
  <si>
    <t>1065</t>
  </si>
  <si>
    <t>1161</t>
  </si>
  <si>
    <t>1406</t>
  </si>
  <si>
    <t>1485</t>
  </si>
  <si>
    <t>1780</t>
  </si>
  <si>
    <t>2054</t>
  </si>
  <si>
    <t>2223</t>
  </si>
  <si>
    <t>2473</t>
  </si>
  <si>
    <t>2709</t>
  </si>
  <si>
    <t>2776</t>
  </si>
  <si>
    <t>2852</t>
  </si>
  <si>
    <t>2979</t>
  </si>
  <si>
    <t>3105</t>
  </si>
  <si>
    <t>3233</t>
  </si>
  <si>
    <t>3439</t>
  </si>
  <si>
    <t>3792</t>
  </si>
  <si>
    <t>3977</t>
  </si>
  <si>
    <t>4149</t>
  </si>
  <si>
    <t>4356</t>
  </si>
  <si>
    <t>4561</t>
  </si>
  <si>
    <t>4881</t>
  </si>
  <si>
    <t>Congo (Brazzaville)</t>
  </si>
  <si>
    <t>-4.0383</t>
  </si>
  <si>
    <t>21.7587</t>
  </si>
  <si>
    <t>Congo (Kinshasa)</t>
  </si>
  <si>
    <t>234</t>
  </si>
  <si>
    <t>394</t>
  </si>
  <si>
    <t>Costa Rica</t>
  </si>
  <si>
    <t>9.7489</t>
  </si>
  <si>
    <t>-83.7534</t>
  </si>
  <si>
    <t>595</t>
  </si>
  <si>
    <t>612</t>
  </si>
  <si>
    <t>642</t>
  </si>
  <si>
    <t>660</t>
  </si>
  <si>
    <t>662</t>
  </si>
  <si>
    <t>681</t>
  </si>
  <si>
    <t>686</t>
  </si>
  <si>
    <t>687</t>
  </si>
  <si>
    <t>Cote d'Ivoire</t>
  </si>
  <si>
    <t>7.54</t>
  </si>
  <si>
    <t>-5.5471</t>
  </si>
  <si>
    <t>801</t>
  </si>
  <si>
    <t>916</t>
  </si>
  <si>
    <t>952</t>
  </si>
  <si>
    <t>1077</t>
  </si>
  <si>
    <t>Croatia</t>
  </si>
  <si>
    <t>45.1</t>
  </si>
  <si>
    <t>15.2</t>
  </si>
  <si>
    <t>382</t>
  </si>
  <si>
    <t>657</t>
  </si>
  <si>
    <t>790</t>
  </si>
  <si>
    <t>867</t>
  </si>
  <si>
    <t>963</t>
  </si>
  <si>
    <t>1079</t>
  </si>
  <si>
    <t>1126</t>
  </si>
  <si>
    <t>1182</t>
  </si>
  <si>
    <t>1222</t>
  </si>
  <si>
    <t>1282</t>
  </si>
  <si>
    <t>1407</t>
  </si>
  <si>
    <t>1495</t>
  </si>
  <si>
    <t>1534</t>
  </si>
  <si>
    <t>1600</t>
  </si>
  <si>
    <t>1650</t>
  </si>
  <si>
    <t>1704</t>
  </si>
  <si>
    <t>1741</t>
  </si>
  <si>
    <t>1814</t>
  </si>
  <si>
    <t>1832</t>
  </si>
  <si>
    <t>1871</t>
  </si>
  <si>
    <t>1908</t>
  </si>
  <si>
    <t>1950</t>
  </si>
  <si>
    <t>2009</t>
  </si>
  <si>
    <t>Diamond Princess</t>
  </si>
  <si>
    <t>0.0</t>
  </si>
  <si>
    <t>691</t>
  </si>
  <si>
    <t>705</t>
  </si>
  <si>
    <t>706</t>
  </si>
  <si>
    <t>712</t>
  </si>
  <si>
    <t>Cuba</t>
  </si>
  <si>
    <t>22.0</t>
  </si>
  <si>
    <t>-80.0</t>
  </si>
  <si>
    <t>269</t>
  </si>
  <si>
    <t>620</t>
  </si>
  <si>
    <t>726</t>
  </si>
  <si>
    <t>766</t>
  </si>
  <si>
    <t>814</t>
  </si>
  <si>
    <t>923</t>
  </si>
  <si>
    <t>1087</t>
  </si>
  <si>
    <t>1137</t>
  </si>
  <si>
    <t>1189</t>
  </si>
  <si>
    <t>1235</t>
  </si>
  <si>
    <t>Cyprus</t>
  </si>
  <si>
    <t>35.1264</t>
  </si>
  <si>
    <t>33.4299</t>
  </si>
  <si>
    <t>695</t>
  </si>
  <si>
    <t>715</t>
  </si>
  <si>
    <t>735</t>
  </si>
  <si>
    <t>795</t>
  </si>
  <si>
    <t>Czechia</t>
  </si>
  <si>
    <t>49.8175</t>
  </si>
  <si>
    <t>15.472999999999999</t>
  </si>
  <si>
    <t>694</t>
  </si>
  <si>
    <t>995</t>
  </si>
  <si>
    <t>1120</t>
  </si>
  <si>
    <t>1394</t>
  </si>
  <si>
    <t>1654</t>
  </si>
  <si>
    <t>1925</t>
  </si>
  <si>
    <t>2279</t>
  </si>
  <si>
    <t>2631</t>
  </si>
  <si>
    <t>2817</t>
  </si>
  <si>
    <t>3001</t>
  </si>
  <si>
    <t>3308</t>
  </si>
  <si>
    <t>3508</t>
  </si>
  <si>
    <t>3858</t>
  </si>
  <si>
    <t>4091</t>
  </si>
  <si>
    <t>4472</t>
  </si>
  <si>
    <t>4587</t>
  </si>
  <si>
    <t>4822</t>
  </si>
  <si>
    <t>5017</t>
  </si>
  <si>
    <t>5312</t>
  </si>
  <si>
    <t>5569</t>
  </si>
  <si>
    <t>5732</t>
  </si>
  <si>
    <t>5831</t>
  </si>
  <si>
    <t>5991</t>
  </si>
  <si>
    <t>6059</t>
  </si>
  <si>
    <t>6111</t>
  </si>
  <si>
    <t>6216</t>
  </si>
  <si>
    <t>6433</t>
  </si>
  <si>
    <t>6549</t>
  </si>
  <si>
    <t>6606</t>
  </si>
  <si>
    <t>6746</t>
  </si>
  <si>
    <t>6900</t>
  </si>
  <si>
    <t>7033</t>
  </si>
  <si>
    <t>7132</t>
  </si>
  <si>
    <t>7187</t>
  </si>
  <si>
    <t>7273</t>
  </si>
  <si>
    <t>Faroe Islands</t>
  </si>
  <si>
    <t>Denmark</t>
  </si>
  <si>
    <t>61.8926</t>
  </si>
  <si>
    <t>-6.9118</t>
  </si>
  <si>
    <t>Greenland</t>
  </si>
  <si>
    <t>71.7069</t>
  </si>
  <si>
    <t>-42.6043</t>
  </si>
  <si>
    <t>56.2639</t>
  </si>
  <si>
    <t>9.5018</t>
  </si>
  <si>
    <t>615</t>
  </si>
  <si>
    <t>864</t>
  </si>
  <si>
    <t>977</t>
  </si>
  <si>
    <t>1057</t>
  </si>
  <si>
    <t>1151</t>
  </si>
  <si>
    <t>1326</t>
  </si>
  <si>
    <t>1450</t>
  </si>
  <si>
    <t>1591</t>
  </si>
  <si>
    <t>1877</t>
  </si>
  <si>
    <t>2046</t>
  </si>
  <si>
    <t>2201</t>
  </si>
  <si>
    <t>2395</t>
  </si>
  <si>
    <t>2577</t>
  </si>
  <si>
    <t>2860</t>
  </si>
  <si>
    <t>3107</t>
  </si>
  <si>
    <t>3386</t>
  </si>
  <si>
    <t>3757</t>
  </si>
  <si>
    <t>4077</t>
  </si>
  <si>
    <t>4369</t>
  </si>
  <si>
    <t>4681</t>
  </si>
  <si>
    <t>5071</t>
  </si>
  <si>
    <t>5402</t>
  </si>
  <si>
    <t>5635</t>
  </si>
  <si>
    <t>5819</t>
  </si>
  <si>
    <t>5996</t>
  </si>
  <si>
    <t>6174</t>
  </si>
  <si>
    <t>6318</t>
  </si>
  <si>
    <t>6511</t>
  </si>
  <si>
    <t>6681</t>
  </si>
  <si>
    <t>6879</t>
  </si>
  <si>
    <t>7073</t>
  </si>
  <si>
    <t>7242</t>
  </si>
  <si>
    <t>7384</t>
  </si>
  <si>
    <t>7515</t>
  </si>
  <si>
    <t>7695</t>
  </si>
  <si>
    <t>7912</t>
  </si>
  <si>
    <t>8073</t>
  </si>
  <si>
    <t>8210</t>
  </si>
  <si>
    <t>Djibouti</t>
  </si>
  <si>
    <t>11.8251</t>
  </si>
  <si>
    <t>42.5903</t>
  </si>
  <si>
    <t>732</t>
  </si>
  <si>
    <t>945</t>
  </si>
  <si>
    <t>Dominican Republic</t>
  </si>
  <si>
    <t>18.7357</t>
  </si>
  <si>
    <t>-70.1627</t>
  </si>
  <si>
    <t>719</t>
  </si>
  <si>
    <t>859</t>
  </si>
  <si>
    <t>1109</t>
  </si>
  <si>
    <t>1284</t>
  </si>
  <si>
    <t>1380</t>
  </si>
  <si>
    <t>1488</t>
  </si>
  <si>
    <t>1745</t>
  </si>
  <si>
    <t>1828</t>
  </si>
  <si>
    <t>1956</t>
  </si>
  <si>
    <t>2111</t>
  </si>
  <si>
    <t>2349</t>
  </si>
  <si>
    <t>2620</t>
  </si>
  <si>
    <t>2759</t>
  </si>
  <si>
    <t>2967</t>
  </si>
  <si>
    <t>3167</t>
  </si>
  <si>
    <t>3286</t>
  </si>
  <si>
    <t>3614</t>
  </si>
  <si>
    <t>3755</t>
  </si>
  <si>
    <t>4126</t>
  </si>
  <si>
    <t>4335</t>
  </si>
  <si>
    <t>4680</t>
  </si>
  <si>
    <t>4964</t>
  </si>
  <si>
    <t>5044</t>
  </si>
  <si>
    <t>5300</t>
  </si>
  <si>
    <t>5543</t>
  </si>
  <si>
    <t>5749</t>
  </si>
  <si>
    <t>Ecuador</t>
  </si>
  <si>
    <t>-1.8312</t>
  </si>
  <si>
    <t>-78.1834</t>
  </si>
  <si>
    <t>199</t>
  </si>
  <si>
    <t>789</t>
  </si>
  <si>
    <t>1082</t>
  </si>
  <si>
    <t>1173</t>
  </si>
  <si>
    <t>1403</t>
  </si>
  <si>
    <t>1595</t>
  </si>
  <si>
    <t>1823</t>
  </si>
  <si>
    <t>1962</t>
  </si>
  <si>
    <t>2240</t>
  </si>
  <si>
    <t>2748</t>
  </si>
  <si>
    <t>3163</t>
  </si>
  <si>
    <t>3368</t>
  </si>
  <si>
    <t>3465</t>
  </si>
  <si>
    <t>3646</t>
  </si>
  <si>
    <t>3747</t>
  </si>
  <si>
    <t>4450</t>
  </si>
  <si>
    <t>4965</t>
  </si>
  <si>
    <t>7161</t>
  </si>
  <si>
    <t>7257</t>
  </si>
  <si>
    <t>7466</t>
  </si>
  <si>
    <t>7529</t>
  </si>
  <si>
    <t>7603</t>
  </si>
  <si>
    <t>7858</t>
  </si>
  <si>
    <t>8225</t>
  </si>
  <si>
    <t>8450</t>
  </si>
  <si>
    <t>9022</t>
  </si>
  <si>
    <t>9468</t>
  </si>
  <si>
    <t>10128</t>
  </si>
  <si>
    <t>10398</t>
  </si>
  <si>
    <t>10850</t>
  </si>
  <si>
    <t>11183</t>
  </si>
  <si>
    <t>22719</t>
  </si>
  <si>
    <t>Egypt</t>
  </si>
  <si>
    <t>26.0</t>
  </si>
  <si>
    <t>30.0</t>
  </si>
  <si>
    <t>402</t>
  </si>
  <si>
    <t>710</t>
  </si>
  <si>
    <t>865</t>
  </si>
  <si>
    <t>985</t>
  </si>
  <si>
    <t>1070</t>
  </si>
  <si>
    <t>1560</t>
  </si>
  <si>
    <t>1699</t>
  </si>
  <si>
    <t>1794</t>
  </si>
  <si>
    <t>1939</t>
  </si>
  <si>
    <t>2065</t>
  </si>
  <si>
    <t>2190</t>
  </si>
  <si>
    <t>2350</t>
  </si>
  <si>
    <t>2505</t>
  </si>
  <si>
    <t>2673</t>
  </si>
  <si>
    <t>2844</t>
  </si>
  <si>
    <t>3032</t>
  </si>
  <si>
    <t>3333</t>
  </si>
  <si>
    <t>3490</t>
  </si>
  <si>
    <t>3659</t>
  </si>
  <si>
    <t>3891</t>
  </si>
  <si>
    <t>4092</t>
  </si>
  <si>
    <t>El Salvador</t>
  </si>
  <si>
    <t>13.7942</t>
  </si>
  <si>
    <t>-88.8965</t>
  </si>
  <si>
    <t>Equatorial Guinea</t>
  </si>
  <si>
    <t>1.5</t>
  </si>
  <si>
    <t>10.0</t>
  </si>
  <si>
    <t>Eritrea</t>
  </si>
  <si>
    <t>15.1794</t>
  </si>
  <si>
    <t>39.7823</t>
  </si>
  <si>
    <t>Estonia</t>
  </si>
  <si>
    <t>58.5953</t>
  </si>
  <si>
    <t>25.0136</t>
  </si>
  <si>
    <t>369</t>
  </si>
  <si>
    <t>679</t>
  </si>
  <si>
    <t>961</t>
  </si>
  <si>
    <t>1108</t>
  </si>
  <si>
    <t>1149</t>
  </si>
  <si>
    <t>1185</t>
  </si>
  <si>
    <t>1207</t>
  </si>
  <si>
    <t>1304</t>
  </si>
  <si>
    <t>1434</t>
  </si>
  <si>
    <t>1459</t>
  </si>
  <si>
    <t>1512</t>
  </si>
  <si>
    <t>1535</t>
  </si>
  <si>
    <t>1559</t>
  </si>
  <si>
    <t>1605</t>
  </si>
  <si>
    <t>Eswatini</t>
  </si>
  <si>
    <t>-26.5225</t>
  </si>
  <si>
    <t>31.4659</t>
  </si>
  <si>
    <t>Ethiopia</t>
  </si>
  <si>
    <t>9.145</t>
  </si>
  <si>
    <t>40.4897</t>
  </si>
  <si>
    <t>Fiji</t>
  </si>
  <si>
    <t>-17.7134</t>
  </si>
  <si>
    <t>178.065</t>
  </si>
  <si>
    <t>Finland</t>
  </si>
  <si>
    <t>64.0</t>
  </si>
  <si>
    <t>450</t>
  </si>
  <si>
    <t>792</t>
  </si>
  <si>
    <t>880</t>
  </si>
  <si>
    <t>958</t>
  </si>
  <si>
    <t>1041</t>
  </si>
  <si>
    <t>1418</t>
  </si>
  <si>
    <t>1446</t>
  </si>
  <si>
    <t>1615</t>
  </si>
  <si>
    <t>1882</t>
  </si>
  <si>
    <t>1927</t>
  </si>
  <si>
    <t>2176</t>
  </si>
  <si>
    <t>2308</t>
  </si>
  <si>
    <t>2487</t>
  </si>
  <si>
    <t>2605</t>
  </si>
  <si>
    <t>2769</t>
  </si>
  <si>
    <t>2905</t>
  </si>
  <si>
    <t>2974</t>
  </si>
  <si>
    <t>3064</t>
  </si>
  <si>
    <t>3161</t>
  </si>
  <si>
    <t>3237</t>
  </si>
  <si>
    <t>3369</t>
  </si>
  <si>
    <t>3489</t>
  </si>
  <si>
    <t>3681</t>
  </si>
  <si>
    <t>3783</t>
  </si>
  <si>
    <t>3868</t>
  </si>
  <si>
    <t>4014</t>
  </si>
  <si>
    <t>4129</t>
  </si>
  <si>
    <t>4284</t>
  </si>
  <si>
    <t>4395</t>
  </si>
  <si>
    <t>French Guiana</t>
  </si>
  <si>
    <t>France</t>
  </si>
  <si>
    <t>3.9339</t>
  </si>
  <si>
    <t>-53.1258</t>
  </si>
  <si>
    <t>French Polynesia</t>
  </si>
  <si>
    <t>-17.6797</t>
  </si>
  <si>
    <t>149.4068</t>
  </si>
  <si>
    <t>Guadeloupe</t>
  </si>
  <si>
    <t>16.25</t>
  </si>
  <si>
    <t>-61.5833</t>
  </si>
  <si>
    <t>Mayotte</t>
  </si>
  <si>
    <t>-12.8275</t>
  </si>
  <si>
    <t>45.1662</t>
  </si>
  <si>
    <t>New Caledonia</t>
  </si>
  <si>
    <t>-20.9043</t>
  </si>
  <si>
    <t>165.618</t>
  </si>
  <si>
    <t>Reunion</t>
  </si>
  <si>
    <t>-21.1351</t>
  </si>
  <si>
    <t>55.2471</t>
  </si>
  <si>
    <t>362</t>
  </si>
  <si>
    <t>388</t>
  </si>
  <si>
    <t>412</t>
  </si>
  <si>
    <t>Saint Barthelemy</t>
  </si>
  <si>
    <t>17.9</t>
  </si>
  <si>
    <t>-62.8333</t>
  </si>
  <si>
    <t>St Martin</t>
  </si>
  <si>
    <t>18.0708</t>
  </si>
  <si>
    <t>-63.0501</t>
  </si>
  <si>
    <t>Martinique</t>
  </si>
  <si>
    <t>14.6415</t>
  </si>
  <si>
    <t>-61.0242</t>
  </si>
  <si>
    <t>46.2276</t>
  </si>
  <si>
    <t>2.2137</t>
  </si>
  <si>
    <t>204</t>
  </si>
  <si>
    <t>949</t>
  </si>
  <si>
    <t>1209</t>
  </si>
  <si>
    <t>1784</t>
  </si>
  <si>
    <t>2281</t>
  </si>
  <si>
    <t>3661</t>
  </si>
  <si>
    <t>4469</t>
  </si>
  <si>
    <t>4499</t>
  </si>
  <si>
    <t>6633</t>
  </si>
  <si>
    <t>7652</t>
  </si>
  <si>
    <t>9043</t>
  </si>
  <si>
    <t>10871</t>
  </si>
  <si>
    <t>12612</t>
  </si>
  <si>
    <t>14282</t>
  </si>
  <si>
    <t>16018</t>
  </si>
  <si>
    <t>19856</t>
  </si>
  <si>
    <t>22304</t>
  </si>
  <si>
    <t>25233</t>
  </si>
  <si>
    <t>29155</t>
  </si>
  <si>
    <t>32964</t>
  </si>
  <si>
    <t>37575</t>
  </si>
  <si>
    <t>40174</t>
  </si>
  <si>
    <t>44550</t>
  </si>
  <si>
    <t>52128</t>
  </si>
  <si>
    <t>56989</t>
  </si>
  <si>
    <t>59105</t>
  </si>
  <si>
    <t>64338</t>
  </si>
  <si>
    <t>68605</t>
  </si>
  <si>
    <t>70478</t>
  </si>
  <si>
    <t>74390</t>
  </si>
  <si>
    <t>78167</t>
  </si>
  <si>
    <t>82048</t>
  </si>
  <si>
    <t>86334</t>
  </si>
  <si>
    <t>90676</t>
  </si>
  <si>
    <t>93790</t>
  </si>
  <si>
    <t>120633</t>
  </si>
  <si>
    <t>124298</t>
  </si>
  <si>
    <t>129257</t>
  </si>
  <si>
    <t>132473</t>
  </si>
  <si>
    <t>144944</t>
  </si>
  <si>
    <t>146923</t>
  </si>
  <si>
    <t>146906</t>
  </si>
  <si>
    <t>151808</t>
  </si>
  <si>
    <t>154188</t>
  </si>
  <si>
    <t>156921</t>
  </si>
  <si>
    <t>154715</t>
  </si>
  <si>
    <t>157026</t>
  </si>
  <si>
    <t>158636</t>
  </si>
  <si>
    <t>Gabon</t>
  </si>
  <si>
    <t>-0.8037</t>
  </si>
  <si>
    <t>11.6094</t>
  </si>
  <si>
    <t>Gambia</t>
  </si>
  <si>
    <t>13.4432</t>
  </si>
  <si>
    <t>-15.3101</t>
  </si>
  <si>
    <t>Georgia</t>
  </si>
  <si>
    <t>42.3154</t>
  </si>
  <si>
    <t>43.3569</t>
  </si>
  <si>
    <t>348</t>
  </si>
  <si>
    <t>Germany</t>
  </si>
  <si>
    <t>51.0</t>
  </si>
  <si>
    <t>9.0</t>
  </si>
  <si>
    <t>670</t>
  </si>
  <si>
    <t>799</t>
  </si>
  <si>
    <t>1457</t>
  </si>
  <si>
    <t>2078</t>
  </si>
  <si>
    <t>3675</t>
  </si>
  <si>
    <t>4585</t>
  </si>
  <si>
    <t>5795</t>
  </si>
  <si>
    <t>7272</t>
  </si>
  <si>
    <t>9257</t>
  </si>
  <si>
    <t>12327</t>
  </si>
  <si>
    <t>15320</t>
  </si>
  <si>
    <t>19848</t>
  </si>
  <si>
    <t>22213</t>
  </si>
  <si>
    <t>24873</t>
  </si>
  <si>
    <t>29056</t>
  </si>
  <si>
    <t>32986</t>
  </si>
  <si>
    <t>37323</t>
  </si>
  <si>
    <t>43938</t>
  </si>
  <si>
    <t>50871</t>
  </si>
  <si>
    <t>57695</t>
  </si>
  <si>
    <t>62095</t>
  </si>
  <si>
    <t>66885</t>
  </si>
  <si>
    <t>71808</t>
  </si>
  <si>
    <t>77872</t>
  </si>
  <si>
    <t>84794</t>
  </si>
  <si>
    <t>91159</t>
  </si>
  <si>
    <t>96092</t>
  </si>
  <si>
    <t>100123</t>
  </si>
  <si>
    <t>103374</t>
  </si>
  <si>
    <t>107663</t>
  </si>
  <si>
    <t>113296</t>
  </si>
  <si>
    <t>118181</t>
  </si>
  <si>
    <t>122171</t>
  </si>
  <si>
    <t>124908</t>
  </si>
  <si>
    <t>127854</t>
  </si>
  <si>
    <t>130072</t>
  </si>
  <si>
    <t>131359</t>
  </si>
  <si>
    <t>134753</t>
  </si>
  <si>
    <t>137698</t>
  </si>
  <si>
    <t>141397</t>
  </si>
  <si>
    <t>143342</t>
  </si>
  <si>
    <t>145184</t>
  </si>
  <si>
    <t>147065</t>
  </si>
  <si>
    <t>148291</t>
  </si>
  <si>
    <t>150648</t>
  </si>
  <si>
    <t>153129</t>
  </si>
  <si>
    <t>154999</t>
  </si>
  <si>
    <t>Ghana</t>
  </si>
  <si>
    <t>7.9465</t>
  </si>
  <si>
    <t>-1.0232</t>
  </si>
  <si>
    <t>834</t>
  </si>
  <si>
    <t>1042</t>
  </si>
  <si>
    <t>1154</t>
  </si>
  <si>
    <t>Greece</t>
  </si>
  <si>
    <t>39.0742</t>
  </si>
  <si>
    <t>21.8243</t>
  </si>
  <si>
    <t>966</t>
  </si>
  <si>
    <t>1061</t>
  </si>
  <si>
    <t>1156</t>
  </si>
  <si>
    <t>1314</t>
  </si>
  <si>
    <t>1613</t>
  </si>
  <si>
    <t>1673</t>
  </si>
  <si>
    <t>1735</t>
  </si>
  <si>
    <t>1755</t>
  </si>
  <si>
    <t>1884</t>
  </si>
  <si>
    <t>1955</t>
  </si>
  <si>
    <t>2011</t>
  </si>
  <si>
    <t>2081</t>
  </si>
  <si>
    <t>2114</t>
  </si>
  <si>
    <t>2145</t>
  </si>
  <si>
    <t>2170</t>
  </si>
  <si>
    <t>2192</t>
  </si>
  <si>
    <t>2207</t>
  </si>
  <si>
    <t>2224</t>
  </si>
  <si>
    <t>2235</t>
  </si>
  <si>
    <t>2245</t>
  </si>
  <si>
    <t>2401</t>
  </si>
  <si>
    <t>2408</t>
  </si>
  <si>
    <t>2463</t>
  </si>
  <si>
    <t>2490</t>
  </si>
  <si>
    <t>Guatemala</t>
  </si>
  <si>
    <t>15.7835</t>
  </si>
  <si>
    <t>-90.2308</t>
  </si>
  <si>
    <t>430</t>
  </si>
  <si>
    <t>Guinea</t>
  </si>
  <si>
    <t>9.9456</t>
  </si>
  <si>
    <t>-9.6966</t>
  </si>
  <si>
    <t>477</t>
  </si>
  <si>
    <t>Guyana</t>
  </si>
  <si>
    <t>5.0</t>
  </si>
  <si>
    <t>-58.75</t>
  </si>
  <si>
    <t>Haiti</t>
  </si>
  <si>
    <t>18.9712</t>
  </si>
  <si>
    <t>-72.2852</t>
  </si>
  <si>
    <t>Holy See</t>
  </si>
  <si>
    <t>41.9029</t>
  </si>
  <si>
    <t>12.4534</t>
  </si>
  <si>
    <t>Honduras</t>
  </si>
  <si>
    <t>-86.2419</t>
  </si>
  <si>
    <t>510</t>
  </si>
  <si>
    <t>Hungary</t>
  </si>
  <si>
    <t>47.1625</t>
  </si>
  <si>
    <t>19.5033</t>
  </si>
  <si>
    <t>447</t>
  </si>
  <si>
    <t>623</t>
  </si>
  <si>
    <t>744</t>
  </si>
  <si>
    <t>817</t>
  </si>
  <si>
    <t>980</t>
  </si>
  <si>
    <t>1190</t>
  </si>
  <si>
    <t>1310</t>
  </si>
  <si>
    <t>1410</t>
  </si>
  <si>
    <t>1458</t>
  </si>
  <si>
    <t>1652</t>
  </si>
  <si>
    <t>1763</t>
  </si>
  <si>
    <t>1834</t>
  </si>
  <si>
    <t>1916</t>
  </si>
  <si>
    <t>1984</t>
  </si>
  <si>
    <t>2098</t>
  </si>
  <si>
    <t>2168</t>
  </si>
  <si>
    <t>2284</t>
  </si>
  <si>
    <t>Iceland</t>
  </si>
  <si>
    <t>64.9631</t>
  </si>
  <si>
    <t>-19.0208</t>
  </si>
  <si>
    <t>473</t>
  </si>
  <si>
    <t>568</t>
  </si>
  <si>
    <t>648</t>
  </si>
  <si>
    <t>1020</t>
  </si>
  <si>
    <t>1086</t>
  </si>
  <si>
    <t>1220</t>
  </si>
  <si>
    <t>1417</t>
  </si>
  <si>
    <t>1562</t>
  </si>
  <si>
    <t>1586</t>
  </si>
  <si>
    <t>1616</t>
  </si>
  <si>
    <t>1648</t>
  </si>
  <si>
    <t>1675</t>
  </si>
  <si>
    <t>1689</t>
  </si>
  <si>
    <t>1701</t>
  </si>
  <si>
    <t>1711</t>
  </si>
  <si>
    <t>1720</t>
  </si>
  <si>
    <t>1727</t>
  </si>
  <si>
    <t>1739</t>
  </si>
  <si>
    <t>1754</t>
  </si>
  <si>
    <t>1760</t>
  </si>
  <si>
    <t>1771</t>
  </si>
  <si>
    <t>1778</t>
  </si>
  <si>
    <t>1785</t>
  </si>
  <si>
    <t>1789</t>
  </si>
  <si>
    <t>India</t>
  </si>
  <si>
    <t>21.0</t>
  </si>
  <si>
    <t>78.0</t>
  </si>
  <si>
    <t>727</t>
  </si>
  <si>
    <t>1397</t>
  </si>
  <si>
    <t>1998</t>
  </si>
  <si>
    <t>2543</t>
  </si>
  <si>
    <t>2567</t>
  </si>
  <si>
    <t>3082</t>
  </si>
  <si>
    <t>3588</t>
  </si>
  <si>
    <t>4778</t>
  </si>
  <si>
    <t>5311</t>
  </si>
  <si>
    <t>5916</t>
  </si>
  <si>
    <t>6725</t>
  </si>
  <si>
    <t>7598</t>
  </si>
  <si>
    <t>8446</t>
  </si>
  <si>
    <t>9205</t>
  </si>
  <si>
    <t>10453</t>
  </si>
  <si>
    <t>11487</t>
  </si>
  <si>
    <t>12322</t>
  </si>
  <si>
    <t>13430</t>
  </si>
  <si>
    <t>14352</t>
  </si>
  <si>
    <t>15722</t>
  </si>
  <si>
    <t>17615</t>
  </si>
  <si>
    <t>18539</t>
  </si>
  <si>
    <t>20080</t>
  </si>
  <si>
    <t>21370</t>
  </si>
  <si>
    <t>23077</t>
  </si>
  <si>
    <t>24530</t>
  </si>
  <si>
    <t>Indonesia</t>
  </si>
  <si>
    <t>-0.7893</t>
  </si>
  <si>
    <t>113.9213</t>
  </si>
  <si>
    <t>893</t>
  </si>
  <si>
    <t>1046</t>
  </si>
  <si>
    <t>1414</t>
  </si>
  <si>
    <t>1677</t>
  </si>
  <si>
    <t>1790</t>
  </si>
  <si>
    <t>1986</t>
  </si>
  <si>
    <t>2092</t>
  </si>
  <si>
    <t>2273</t>
  </si>
  <si>
    <t>2491</t>
  </si>
  <si>
    <t>2956</t>
  </si>
  <si>
    <t>3293</t>
  </si>
  <si>
    <t>3512</t>
  </si>
  <si>
    <t>3842</t>
  </si>
  <si>
    <t>4241</t>
  </si>
  <si>
    <t>4557</t>
  </si>
  <si>
    <t>4839</t>
  </si>
  <si>
    <t>5136</t>
  </si>
  <si>
    <t>5516</t>
  </si>
  <si>
    <t>5923</t>
  </si>
  <si>
    <t>6248</t>
  </si>
  <si>
    <t>6575</t>
  </si>
  <si>
    <t>6760</t>
  </si>
  <si>
    <t>7135</t>
  </si>
  <si>
    <t>7418</t>
  </si>
  <si>
    <t>7775</t>
  </si>
  <si>
    <t>8211</t>
  </si>
  <si>
    <t>Iran</t>
  </si>
  <si>
    <t>32.0</t>
  </si>
  <si>
    <t>53.0</t>
  </si>
  <si>
    <t>978</t>
  </si>
  <si>
    <t>2336</t>
  </si>
  <si>
    <t>2922</t>
  </si>
  <si>
    <t>3513</t>
  </si>
  <si>
    <t>4747</t>
  </si>
  <si>
    <t>5823</t>
  </si>
  <si>
    <t>6566</t>
  </si>
  <si>
    <t>8042</t>
  </si>
  <si>
    <t>9000</t>
  </si>
  <si>
    <t>10075</t>
  </si>
  <si>
    <t>11364</t>
  </si>
  <si>
    <t>12729</t>
  </si>
  <si>
    <t>13938</t>
  </si>
  <si>
    <t>14991</t>
  </si>
  <si>
    <t>16169</t>
  </si>
  <si>
    <t>17361</t>
  </si>
  <si>
    <t>18407</t>
  </si>
  <si>
    <t>19644</t>
  </si>
  <si>
    <t>20610</t>
  </si>
  <si>
    <t>21638</t>
  </si>
  <si>
    <t>23049</t>
  </si>
  <si>
    <t>24811</t>
  </si>
  <si>
    <t>27017</t>
  </si>
  <si>
    <t>29406</t>
  </si>
  <si>
    <t>32332</t>
  </si>
  <si>
    <t>35408</t>
  </si>
  <si>
    <t>38309</t>
  </si>
  <si>
    <t>41495</t>
  </si>
  <si>
    <t>44605</t>
  </si>
  <si>
    <t>47593</t>
  </si>
  <si>
    <t>50468</t>
  </si>
  <si>
    <t>53183</t>
  </si>
  <si>
    <t>55743</t>
  </si>
  <si>
    <t>58226</t>
  </si>
  <si>
    <t>60500</t>
  </si>
  <si>
    <t>62589</t>
  </si>
  <si>
    <t>64586</t>
  </si>
  <si>
    <t>66220</t>
  </si>
  <si>
    <t>68192</t>
  </si>
  <si>
    <t>70029</t>
  </si>
  <si>
    <t>71686</t>
  </si>
  <si>
    <t>73303</t>
  </si>
  <si>
    <t>74877</t>
  </si>
  <si>
    <t>76389</t>
  </si>
  <si>
    <t>77995</t>
  </si>
  <si>
    <t>79494</t>
  </si>
  <si>
    <t>80868</t>
  </si>
  <si>
    <t>82211</t>
  </si>
  <si>
    <t>83505</t>
  </si>
  <si>
    <t>84802</t>
  </si>
  <si>
    <t>85996</t>
  </si>
  <si>
    <t>87026</t>
  </si>
  <si>
    <t>88194</t>
  </si>
  <si>
    <t>Iraq</t>
  </si>
  <si>
    <t>44.0</t>
  </si>
  <si>
    <t>192</t>
  </si>
  <si>
    <t>630</t>
  </si>
  <si>
    <t>728</t>
  </si>
  <si>
    <t>1031</t>
  </si>
  <si>
    <t>1122</t>
  </si>
  <si>
    <t>1202</t>
  </si>
  <si>
    <t>1318</t>
  </si>
  <si>
    <t>1482</t>
  </si>
  <si>
    <t>1513</t>
  </si>
  <si>
    <t>1574</t>
  </si>
  <si>
    <t>1602</t>
  </si>
  <si>
    <t>1631</t>
  </si>
  <si>
    <t>1708</t>
  </si>
  <si>
    <t>Ireland</t>
  </si>
  <si>
    <t>53.1424</t>
  </si>
  <si>
    <t>-7.6921</t>
  </si>
  <si>
    <t>683</t>
  </si>
  <si>
    <t>785</t>
  </si>
  <si>
    <t>1125</t>
  </si>
  <si>
    <t>1819</t>
  </si>
  <si>
    <t>2121</t>
  </si>
  <si>
    <t>2415</t>
  </si>
  <si>
    <t>2615</t>
  </si>
  <si>
    <t>3235</t>
  </si>
  <si>
    <t>3447</t>
  </si>
  <si>
    <t>3849</t>
  </si>
  <si>
    <t>4273</t>
  </si>
  <si>
    <t>4604</t>
  </si>
  <si>
    <t>4994</t>
  </si>
  <si>
    <t>5364</t>
  </si>
  <si>
    <t>5709</t>
  </si>
  <si>
    <t>6074</t>
  </si>
  <si>
    <t>6574</t>
  </si>
  <si>
    <t>8089</t>
  </si>
  <si>
    <t>8928</t>
  </si>
  <si>
    <t>9655</t>
  </si>
  <si>
    <t>10647</t>
  </si>
  <si>
    <t>11479</t>
  </si>
  <si>
    <t>12547</t>
  </si>
  <si>
    <t>13271</t>
  </si>
  <si>
    <t>13980</t>
  </si>
  <si>
    <t>14758</t>
  </si>
  <si>
    <t>15251</t>
  </si>
  <si>
    <t>15652</t>
  </si>
  <si>
    <t>16040</t>
  </si>
  <si>
    <t>16671</t>
  </si>
  <si>
    <t>17607</t>
  </si>
  <si>
    <t>18184</t>
  </si>
  <si>
    <t>Israel</t>
  </si>
  <si>
    <t>31.0</t>
  </si>
  <si>
    <t>35.0</t>
  </si>
  <si>
    <t>427</t>
  </si>
  <si>
    <t>883</t>
  </si>
  <si>
    <t>1071</t>
  </si>
  <si>
    <t>2369</t>
  </si>
  <si>
    <t>2693</t>
  </si>
  <si>
    <t>3035</t>
  </si>
  <si>
    <t>3619</t>
  </si>
  <si>
    <t>4247</t>
  </si>
  <si>
    <t>4695</t>
  </si>
  <si>
    <t>5358</t>
  </si>
  <si>
    <t>6092</t>
  </si>
  <si>
    <t>6857</t>
  </si>
  <si>
    <t>7428</t>
  </si>
  <si>
    <t>7851</t>
  </si>
  <si>
    <t>8430</t>
  </si>
  <si>
    <t>8904</t>
  </si>
  <si>
    <t>9248</t>
  </si>
  <si>
    <t>9404</t>
  </si>
  <si>
    <t>9968</t>
  </si>
  <si>
    <t>10408</t>
  </si>
  <si>
    <t>10743</t>
  </si>
  <si>
    <t>11145</t>
  </si>
  <si>
    <t>11586</t>
  </si>
  <si>
    <t>12046</t>
  </si>
  <si>
    <t>12501</t>
  </si>
  <si>
    <t>12758</t>
  </si>
  <si>
    <t>12982</t>
  </si>
  <si>
    <t>13265</t>
  </si>
  <si>
    <t>13491</t>
  </si>
  <si>
    <t>13713</t>
  </si>
  <si>
    <t>13942</t>
  </si>
  <si>
    <t>14498</t>
  </si>
  <si>
    <t>14803</t>
  </si>
  <si>
    <t>15058</t>
  </si>
  <si>
    <t>43.0</t>
  </si>
  <si>
    <t>12.0</t>
  </si>
  <si>
    <t>888</t>
  </si>
  <si>
    <t>1128</t>
  </si>
  <si>
    <t>1694</t>
  </si>
  <si>
    <t>2036</t>
  </si>
  <si>
    <t>2502</t>
  </si>
  <si>
    <t>3089</t>
  </si>
  <si>
    <t>4636</t>
  </si>
  <si>
    <t>5883</t>
  </si>
  <si>
    <t>7375</t>
  </si>
  <si>
    <t>9172</t>
  </si>
  <si>
    <t>10149</t>
  </si>
  <si>
    <t>12462</t>
  </si>
  <si>
    <t>17660</t>
  </si>
  <si>
    <t>21157</t>
  </si>
  <si>
    <t>24747</t>
  </si>
  <si>
    <t>27980</t>
  </si>
  <si>
    <t>31506</t>
  </si>
  <si>
    <t>35713</t>
  </si>
  <si>
    <t>41035</t>
  </si>
  <si>
    <t>47021</t>
  </si>
  <si>
    <t>53578</t>
  </si>
  <si>
    <t>59138</t>
  </si>
  <si>
    <t>63927</t>
  </si>
  <si>
    <t>69176</t>
  </si>
  <si>
    <t>74386</t>
  </si>
  <si>
    <t>80589</t>
  </si>
  <si>
    <t>86498</t>
  </si>
  <si>
    <t>92472</t>
  </si>
  <si>
    <t>97689</t>
  </si>
  <si>
    <t>101739</t>
  </si>
  <si>
    <t>105792</t>
  </si>
  <si>
    <t>110574</t>
  </si>
  <si>
    <t>115242</t>
  </si>
  <si>
    <t>119827</t>
  </si>
  <si>
    <t>124632</t>
  </si>
  <si>
    <t>128948</t>
  </si>
  <si>
    <t>132547</t>
  </si>
  <si>
    <t>135586</t>
  </si>
  <si>
    <t>139422</t>
  </si>
  <si>
    <t>143626</t>
  </si>
  <si>
    <t>147577</t>
  </si>
  <si>
    <t>152271</t>
  </si>
  <si>
    <t>156363</t>
  </si>
  <si>
    <t>159516</t>
  </si>
  <si>
    <t>162488</t>
  </si>
  <si>
    <t>165155</t>
  </si>
  <si>
    <t>168941</t>
  </si>
  <si>
    <t>172434</t>
  </si>
  <si>
    <t>175925</t>
  </si>
  <si>
    <t>178972</t>
  </si>
  <si>
    <t>181228</t>
  </si>
  <si>
    <t>183957</t>
  </si>
  <si>
    <t>187327</t>
  </si>
  <si>
    <t>189973</t>
  </si>
  <si>
    <t>192994</t>
  </si>
  <si>
    <t>Jamaica</t>
  </si>
  <si>
    <t>18.1096</t>
  </si>
  <si>
    <t>-77.2975</t>
  </si>
  <si>
    <t>Japan</t>
  </si>
  <si>
    <t>36.0</t>
  </si>
  <si>
    <t>138.0</t>
  </si>
  <si>
    <t>461</t>
  </si>
  <si>
    <t>701</t>
  </si>
  <si>
    <t>839</t>
  </si>
  <si>
    <t>924</t>
  </si>
  <si>
    <t>1101</t>
  </si>
  <si>
    <t>1193</t>
  </si>
  <si>
    <t>1307</t>
  </si>
  <si>
    <t>1387</t>
  </si>
  <si>
    <t>1693</t>
  </si>
  <si>
    <t>1866</t>
  </si>
  <si>
    <t>1953</t>
  </si>
  <si>
    <t>2178</t>
  </si>
  <si>
    <t>2495</t>
  </si>
  <si>
    <t>2617</t>
  </si>
  <si>
    <t>3139</t>
  </si>
  <si>
    <t>3654</t>
  </si>
  <si>
    <t>3906</t>
  </si>
  <si>
    <t>4257</t>
  </si>
  <si>
    <t>4667</t>
  </si>
  <si>
    <t>5530</t>
  </si>
  <si>
    <t>6005</t>
  </si>
  <si>
    <t>6748</t>
  </si>
  <si>
    <t>7370</t>
  </si>
  <si>
    <t>7645</t>
  </si>
  <si>
    <t>8100</t>
  </si>
  <si>
    <t>8626</t>
  </si>
  <si>
    <t>9787</t>
  </si>
  <si>
    <t>10296</t>
  </si>
  <si>
    <t>10797</t>
  </si>
  <si>
    <t>11135</t>
  </si>
  <si>
    <t>11512</t>
  </si>
  <si>
    <t>12368</t>
  </si>
  <si>
    <t>12829</t>
  </si>
  <si>
    <t>Jordan</t>
  </si>
  <si>
    <t>31.24</t>
  </si>
  <si>
    <t>36.51</t>
  </si>
  <si>
    <t>401</t>
  </si>
  <si>
    <t>Kazakhstan</t>
  </si>
  <si>
    <t>48.0196</t>
  </si>
  <si>
    <t>66.9237</t>
  </si>
  <si>
    <t>284</t>
  </si>
  <si>
    <t>697</t>
  </si>
  <si>
    <t>812</t>
  </si>
  <si>
    <t>951</t>
  </si>
  <si>
    <t>1091</t>
  </si>
  <si>
    <t>1295</t>
  </si>
  <si>
    <t>1402</t>
  </si>
  <si>
    <t>1676</t>
  </si>
  <si>
    <t>1852</t>
  </si>
  <si>
    <t>1995</t>
  </si>
  <si>
    <t>2135</t>
  </si>
  <si>
    <t>2289</t>
  </si>
  <si>
    <t>2482</t>
  </si>
  <si>
    <t>Kenya</t>
  </si>
  <si>
    <t>-0.0236</t>
  </si>
  <si>
    <t>37.9062</t>
  </si>
  <si>
    <t>216</t>
  </si>
  <si>
    <t>270</t>
  </si>
  <si>
    <t>Korea, South</t>
  </si>
  <si>
    <t>128.0</t>
  </si>
  <si>
    <t>602</t>
  </si>
  <si>
    <t>1766</t>
  </si>
  <si>
    <t>2337</t>
  </si>
  <si>
    <t>3150</t>
  </si>
  <si>
    <t>3736</t>
  </si>
  <si>
    <t>5186</t>
  </si>
  <si>
    <t>5621</t>
  </si>
  <si>
    <t>6088</t>
  </si>
  <si>
    <t>6593</t>
  </si>
  <si>
    <t>7041</t>
  </si>
  <si>
    <t>7314</t>
  </si>
  <si>
    <t>7478</t>
  </si>
  <si>
    <t>7513</t>
  </si>
  <si>
    <t>7755</t>
  </si>
  <si>
    <t>7869</t>
  </si>
  <si>
    <t>7979</t>
  </si>
  <si>
    <t>8086</t>
  </si>
  <si>
    <t>8162</t>
  </si>
  <si>
    <t>8236</t>
  </si>
  <si>
    <t>8320</t>
  </si>
  <si>
    <t>8413</t>
  </si>
  <si>
    <t>8565</t>
  </si>
  <si>
    <t>8652</t>
  </si>
  <si>
    <t>8799</t>
  </si>
  <si>
    <t>8961</t>
  </si>
  <si>
    <t>9037</t>
  </si>
  <si>
    <t>9137</t>
  </si>
  <si>
    <t>9241</t>
  </si>
  <si>
    <t>9332</t>
  </si>
  <si>
    <t>9478</t>
  </si>
  <si>
    <t>9583</t>
  </si>
  <si>
    <t>9661</t>
  </si>
  <si>
    <t>9786</t>
  </si>
  <si>
    <t>9887</t>
  </si>
  <si>
    <t>9976</t>
  </si>
  <si>
    <t>10062</t>
  </si>
  <si>
    <t>10156</t>
  </si>
  <si>
    <t>10237</t>
  </si>
  <si>
    <t>10284</t>
  </si>
  <si>
    <t>10331</t>
  </si>
  <si>
    <t>10384</t>
  </si>
  <si>
    <t>10423</t>
  </si>
  <si>
    <t>10450</t>
  </si>
  <si>
    <t>10480</t>
  </si>
  <si>
    <t>10512</t>
  </si>
  <si>
    <t>10537</t>
  </si>
  <si>
    <t>10564</t>
  </si>
  <si>
    <t>10591</t>
  </si>
  <si>
    <t>10613</t>
  </si>
  <si>
    <t>10635</t>
  </si>
  <si>
    <t>10653</t>
  </si>
  <si>
    <t>10661</t>
  </si>
  <si>
    <t>10674</t>
  </si>
  <si>
    <t>10683</t>
  </si>
  <si>
    <t>10694</t>
  </si>
  <si>
    <t>10708</t>
  </si>
  <si>
    <t>10718</t>
  </si>
  <si>
    <t>Kuwait</t>
  </si>
  <si>
    <t>29.5</t>
  </si>
  <si>
    <t>47.75</t>
  </si>
  <si>
    <t>556</t>
  </si>
  <si>
    <t>855</t>
  </si>
  <si>
    <t>993</t>
  </si>
  <si>
    <t>1300</t>
  </si>
  <si>
    <t>1658</t>
  </si>
  <si>
    <t>1751</t>
  </si>
  <si>
    <t>1915</t>
  </si>
  <si>
    <t>2080</t>
  </si>
  <si>
    <t>2248</t>
  </si>
  <si>
    <t>2399</t>
  </si>
  <si>
    <t>2614</t>
  </si>
  <si>
    <t>Kyrgyzstan</t>
  </si>
  <si>
    <t>41.2044</t>
  </si>
  <si>
    <t>74.7661</t>
  </si>
  <si>
    <t>280</t>
  </si>
  <si>
    <t>449</t>
  </si>
  <si>
    <t>Latvia</t>
  </si>
  <si>
    <t>56.8796</t>
  </si>
  <si>
    <t>24.6032</t>
  </si>
  <si>
    <t>398</t>
  </si>
  <si>
    <t>666</t>
  </si>
  <si>
    <t>739</t>
  </si>
  <si>
    <t>748</t>
  </si>
  <si>
    <t>Lebanon</t>
  </si>
  <si>
    <t>33.8547</t>
  </si>
  <si>
    <t>35.8623</t>
  </si>
  <si>
    <t>619</t>
  </si>
  <si>
    <t>668</t>
  </si>
  <si>
    <t>677</t>
  </si>
  <si>
    <t>Liberia</t>
  </si>
  <si>
    <t>6.4281</t>
  </si>
  <si>
    <t>-9.4295</t>
  </si>
  <si>
    <t>Liechtenstein</t>
  </si>
  <si>
    <t>47.14</t>
  </si>
  <si>
    <t>9.55</t>
  </si>
  <si>
    <t>Lithuania</t>
  </si>
  <si>
    <t>55.1694</t>
  </si>
  <si>
    <t>23.8813</t>
  </si>
  <si>
    <t>843</t>
  </si>
  <si>
    <t>955</t>
  </si>
  <si>
    <t>1053</t>
  </si>
  <si>
    <t>1062</t>
  </si>
  <si>
    <t>1239</t>
  </si>
  <si>
    <t>1298</t>
  </si>
  <si>
    <t>Luxembourg</t>
  </si>
  <si>
    <t>49.8153</t>
  </si>
  <si>
    <t>6.1296</t>
  </si>
  <si>
    <t>875</t>
  </si>
  <si>
    <t>1099</t>
  </si>
  <si>
    <t>1453</t>
  </si>
  <si>
    <t>1831</t>
  </si>
  <si>
    <t>1988</t>
  </si>
  <si>
    <t>2319</t>
  </si>
  <si>
    <t>2612</t>
  </si>
  <si>
    <t>2729</t>
  </si>
  <si>
    <t>2804</t>
  </si>
  <si>
    <t>2843</t>
  </si>
  <si>
    <t>2970</t>
  </si>
  <si>
    <t>3034</t>
  </si>
  <si>
    <t>3115</t>
  </si>
  <si>
    <t>3223</t>
  </si>
  <si>
    <t>3270</t>
  </si>
  <si>
    <t>3292</t>
  </si>
  <si>
    <t>3307</t>
  </si>
  <si>
    <t>3373</t>
  </si>
  <si>
    <t>3444</t>
  </si>
  <si>
    <t>3480</t>
  </si>
  <si>
    <t>3537</t>
  </si>
  <si>
    <t>3550</t>
  </si>
  <si>
    <t>3558</t>
  </si>
  <si>
    <t>3618</t>
  </si>
  <si>
    <t>3665</t>
  </si>
  <si>
    <t>3695</t>
  </si>
  <si>
    <t>Madagascar</t>
  </si>
  <si>
    <t>-18.7669</t>
  </si>
  <si>
    <t>46.8691</t>
  </si>
  <si>
    <t>Malaysia</t>
  </si>
  <si>
    <t>2.5</t>
  </si>
  <si>
    <t>112.5</t>
  </si>
  <si>
    <t>1030</t>
  </si>
  <si>
    <t>1183</t>
  </si>
  <si>
    <t>1624</t>
  </si>
  <si>
    <t>1796</t>
  </si>
  <si>
    <t>2031</t>
  </si>
  <si>
    <t>2161</t>
  </si>
  <si>
    <t>2320</t>
  </si>
  <si>
    <t>2470</t>
  </si>
  <si>
    <t>2626</t>
  </si>
  <si>
    <t>2766</t>
  </si>
  <si>
    <t>3116</t>
  </si>
  <si>
    <t>3483</t>
  </si>
  <si>
    <t>3662</t>
  </si>
  <si>
    <t>3793</t>
  </si>
  <si>
    <t>3963</t>
  </si>
  <si>
    <t>4119</t>
  </si>
  <si>
    <t>4228</t>
  </si>
  <si>
    <t>4346</t>
  </si>
  <si>
    <t>4530</t>
  </si>
  <si>
    <t>4683</t>
  </si>
  <si>
    <t>4817</t>
  </si>
  <si>
    <t>4987</t>
  </si>
  <si>
    <t>5072</t>
  </si>
  <si>
    <t>5182</t>
  </si>
  <si>
    <t>5251</t>
  </si>
  <si>
    <t>5305</t>
  </si>
  <si>
    <t>5389</t>
  </si>
  <si>
    <t>5425</t>
  </si>
  <si>
    <t>5482</t>
  </si>
  <si>
    <t>5532</t>
  </si>
  <si>
    <t>5603</t>
  </si>
  <si>
    <t>5691</t>
  </si>
  <si>
    <t>Maldives</t>
  </si>
  <si>
    <t>3.2028</t>
  </si>
  <si>
    <t>73.2207</t>
  </si>
  <si>
    <t>Malta</t>
  </si>
  <si>
    <t>35.9375</t>
  </si>
  <si>
    <t>14.3754</t>
  </si>
  <si>
    <t>431</t>
  </si>
  <si>
    <t>Mauritania</t>
  </si>
  <si>
    <t>21.0079</t>
  </si>
  <si>
    <t>10.9408</t>
  </si>
  <si>
    <t>Mauritius</t>
  </si>
  <si>
    <t>-20.2</t>
  </si>
  <si>
    <t>57.5</t>
  </si>
  <si>
    <t>324</t>
  </si>
  <si>
    <t>Mexico</t>
  </si>
  <si>
    <t>23.6345</t>
  </si>
  <si>
    <t>-102.5528</t>
  </si>
  <si>
    <t>1094</t>
  </si>
  <si>
    <t>1510</t>
  </si>
  <si>
    <t>1688</t>
  </si>
  <si>
    <t>1890</t>
  </si>
  <si>
    <t>2143</t>
  </si>
  <si>
    <t>2439</t>
  </si>
  <si>
    <t>2785</t>
  </si>
  <si>
    <t>3181</t>
  </si>
  <si>
    <t>3441</t>
  </si>
  <si>
    <t>3844</t>
  </si>
  <si>
    <t>4219</t>
  </si>
  <si>
    <t>4661</t>
  </si>
  <si>
    <t>5014</t>
  </si>
  <si>
    <t>5399</t>
  </si>
  <si>
    <t>5847</t>
  </si>
  <si>
    <t>6297</t>
  </si>
  <si>
    <t>6875</t>
  </si>
  <si>
    <t>7497</t>
  </si>
  <si>
    <t>8261</t>
  </si>
  <si>
    <t>8772</t>
  </si>
  <si>
    <t>9501</t>
  </si>
  <si>
    <t>11633</t>
  </si>
  <si>
    <t>Moldova</t>
  </si>
  <si>
    <t>47.4116</t>
  </si>
  <si>
    <t>28.3699</t>
  </si>
  <si>
    <t>752</t>
  </si>
  <si>
    <t>1056</t>
  </si>
  <si>
    <t>1289</t>
  </si>
  <si>
    <t>1438</t>
  </si>
  <si>
    <t>1662</t>
  </si>
  <si>
    <t>1712</t>
  </si>
  <si>
    <t>1934</t>
  </si>
  <si>
    <t>2049</t>
  </si>
  <si>
    <t>2154</t>
  </si>
  <si>
    <t>2264</t>
  </si>
  <si>
    <t>2378</t>
  </si>
  <si>
    <t>2472</t>
  </si>
  <si>
    <t>2548</t>
  </si>
  <si>
    <t>2778</t>
  </si>
  <si>
    <t>3110</t>
  </si>
  <si>
    <t>Monaco</t>
  </si>
  <si>
    <t>43.7333</t>
  </si>
  <si>
    <t>7.4167</t>
  </si>
  <si>
    <t>Mongolia</t>
  </si>
  <si>
    <t>46.8625</t>
  </si>
  <si>
    <t>103.8467</t>
  </si>
  <si>
    <t>Montenegro</t>
  </si>
  <si>
    <t>42.5</t>
  </si>
  <si>
    <t>19.3</t>
  </si>
  <si>
    <t>Morocco</t>
  </si>
  <si>
    <t>31.7917</t>
  </si>
  <si>
    <t>-7.0926</t>
  </si>
  <si>
    <t>708</t>
  </si>
  <si>
    <t>791</t>
  </si>
  <si>
    <t>919</t>
  </si>
  <si>
    <t>1374</t>
  </si>
  <si>
    <t>1545</t>
  </si>
  <si>
    <t>1661</t>
  </si>
  <si>
    <t>1888</t>
  </si>
  <si>
    <t>2283</t>
  </si>
  <si>
    <t>2564</t>
  </si>
  <si>
    <t>2685</t>
  </si>
  <si>
    <t>2855</t>
  </si>
  <si>
    <t>3046</t>
  </si>
  <si>
    <t>3209</t>
  </si>
  <si>
    <t>3446</t>
  </si>
  <si>
    <t>3568</t>
  </si>
  <si>
    <t>3758</t>
  </si>
  <si>
    <t>Namibia</t>
  </si>
  <si>
    <t>-22.9576</t>
  </si>
  <si>
    <t>18.4904</t>
  </si>
  <si>
    <t>Nepal</t>
  </si>
  <si>
    <t>28.1667</t>
  </si>
  <si>
    <t>84.25</t>
  </si>
  <si>
    <t>Aruba</t>
  </si>
  <si>
    <t>Netherlands</t>
  </si>
  <si>
    <t>12.5186</t>
  </si>
  <si>
    <t>-70.0358</t>
  </si>
  <si>
    <t>Curacao</t>
  </si>
  <si>
    <t>12.1696</t>
  </si>
  <si>
    <t>-68.99</t>
  </si>
  <si>
    <t>Sint Maarten</t>
  </si>
  <si>
    <t>18.0425</t>
  </si>
  <si>
    <t>-63.0548</t>
  </si>
  <si>
    <t>52.1326</t>
  </si>
  <si>
    <t>5.2913</t>
  </si>
  <si>
    <t>959</t>
  </si>
  <si>
    <t>1705</t>
  </si>
  <si>
    <t>2051</t>
  </si>
  <si>
    <t>2460</t>
  </si>
  <si>
    <t>2994</t>
  </si>
  <si>
    <t>3631</t>
  </si>
  <si>
    <t>4749</t>
  </si>
  <si>
    <t>5560</t>
  </si>
  <si>
    <t>6412</t>
  </si>
  <si>
    <t>7431</t>
  </si>
  <si>
    <t>8603</t>
  </si>
  <si>
    <t>9762</t>
  </si>
  <si>
    <t>10866</t>
  </si>
  <si>
    <t>11750</t>
  </si>
  <si>
    <t>12595</t>
  </si>
  <si>
    <t>13614</t>
  </si>
  <si>
    <t>14697</t>
  </si>
  <si>
    <t>15723</t>
  </si>
  <si>
    <t>16627</t>
  </si>
  <si>
    <t>17851</t>
  </si>
  <si>
    <t>18803</t>
  </si>
  <si>
    <t>19580</t>
  </si>
  <si>
    <t>20549</t>
  </si>
  <si>
    <t>21762</t>
  </si>
  <si>
    <t>23097</t>
  </si>
  <si>
    <t>24413</t>
  </si>
  <si>
    <t>25587</t>
  </si>
  <si>
    <t>26551</t>
  </si>
  <si>
    <t>27419</t>
  </si>
  <si>
    <t>28153</t>
  </si>
  <si>
    <t>29214</t>
  </si>
  <si>
    <t>30449</t>
  </si>
  <si>
    <t>31589</t>
  </si>
  <si>
    <t>32655</t>
  </si>
  <si>
    <t>33405</t>
  </si>
  <si>
    <t>34134</t>
  </si>
  <si>
    <t>34842</t>
  </si>
  <si>
    <t>35729</t>
  </si>
  <si>
    <t>36535</t>
  </si>
  <si>
    <t>New Zealand</t>
  </si>
  <si>
    <t>-40.9006</t>
  </si>
  <si>
    <t>174.886</t>
  </si>
  <si>
    <t>797</t>
  </si>
  <si>
    <t>868</t>
  </si>
  <si>
    <t>1106</t>
  </si>
  <si>
    <t>1160</t>
  </si>
  <si>
    <t>1210</t>
  </si>
  <si>
    <t>1312</t>
  </si>
  <si>
    <t>1330</t>
  </si>
  <si>
    <t>1366</t>
  </si>
  <si>
    <t>1386</t>
  </si>
  <si>
    <t>1409</t>
  </si>
  <si>
    <t>1422</t>
  </si>
  <si>
    <t>1431</t>
  </si>
  <si>
    <t>1440</t>
  </si>
  <si>
    <t>1461</t>
  </si>
  <si>
    <t>Nicaragua</t>
  </si>
  <si>
    <t>12.8654</t>
  </si>
  <si>
    <t>-85.2072</t>
  </si>
  <si>
    <t>Niger</t>
  </si>
  <si>
    <t>17.6078</t>
  </si>
  <si>
    <t>8.0817</t>
  </si>
  <si>
    <t>627</t>
  </si>
  <si>
    <t>671</t>
  </si>
  <si>
    <t>Nigeria</t>
  </si>
  <si>
    <t>9.082</t>
  </si>
  <si>
    <t>8.6753</t>
  </si>
  <si>
    <t>276</t>
  </si>
  <si>
    <t>North Macedonia</t>
  </si>
  <si>
    <t>41.6086</t>
  </si>
  <si>
    <t>21.7453</t>
  </si>
  <si>
    <t>828</t>
  </si>
  <si>
    <t>854</t>
  </si>
  <si>
    <t>908</t>
  </si>
  <si>
    <t>1081</t>
  </si>
  <si>
    <t>1170</t>
  </si>
  <si>
    <t>1225</t>
  </si>
  <si>
    <t>1259</t>
  </si>
  <si>
    <t>Norway</t>
  </si>
  <si>
    <t>60.472</t>
  </si>
  <si>
    <t>8.4689</t>
  </si>
  <si>
    <t>1090</t>
  </si>
  <si>
    <t>1221</t>
  </si>
  <si>
    <t>1463</t>
  </si>
  <si>
    <t>1550</t>
  </si>
  <si>
    <t>1746</t>
  </si>
  <si>
    <t>2118</t>
  </si>
  <si>
    <t>2385</t>
  </si>
  <si>
    <t>2621</t>
  </si>
  <si>
    <t>3084</t>
  </si>
  <si>
    <t>4445</t>
  </si>
  <si>
    <t>4641</t>
  </si>
  <si>
    <t>4863</t>
  </si>
  <si>
    <t>5147</t>
  </si>
  <si>
    <t>5370</t>
  </si>
  <si>
    <t>5550</t>
  </si>
  <si>
    <t>5687</t>
  </si>
  <si>
    <t>5865</t>
  </si>
  <si>
    <t>6086</t>
  </si>
  <si>
    <t>6211</t>
  </si>
  <si>
    <t>6314</t>
  </si>
  <si>
    <t>6409</t>
  </si>
  <si>
    <t>6525</t>
  </si>
  <si>
    <t>6603</t>
  </si>
  <si>
    <t>6623</t>
  </si>
  <si>
    <t>6740</t>
  </si>
  <si>
    <t>6896</t>
  </si>
  <si>
    <t>6937</t>
  </si>
  <si>
    <t>7036</t>
  </si>
  <si>
    <t>7078</t>
  </si>
  <si>
    <t>7156</t>
  </si>
  <si>
    <t>7191</t>
  </si>
  <si>
    <t>7338</t>
  </si>
  <si>
    <t>7401</t>
  </si>
  <si>
    <t>7463</t>
  </si>
  <si>
    <t>Oman</t>
  </si>
  <si>
    <t>57.0</t>
  </si>
  <si>
    <t>1069</t>
  </si>
  <si>
    <t>1180</t>
  </si>
  <si>
    <t>1508</t>
  </si>
  <si>
    <t>1614</t>
  </si>
  <si>
    <t>1716</t>
  </si>
  <si>
    <t>Pakistan</t>
  </si>
  <si>
    <t>30.3753</t>
  </si>
  <si>
    <t>69.3451</t>
  </si>
  <si>
    <t>776</t>
  </si>
  <si>
    <t>972</t>
  </si>
  <si>
    <t>1063</t>
  </si>
  <si>
    <t>1597</t>
  </si>
  <si>
    <t>1717</t>
  </si>
  <si>
    <t>1938</t>
  </si>
  <si>
    <t>2421</t>
  </si>
  <si>
    <t>2818</t>
  </si>
  <si>
    <t>3157</t>
  </si>
  <si>
    <t>3766</t>
  </si>
  <si>
    <t>4035</t>
  </si>
  <si>
    <t>4263</t>
  </si>
  <si>
    <t>4489</t>
  </si>
  <si>
    <t>5011</t>
  </si>
  <si>
    <t>5230</t>
  </si>
  <si>
    <t>5496</t>
  </si>
  <si>
    <t>5837</t>
  </si>
  <si>
    <t>6383</t>
  </si>
  <si>
    <t>6919</t>
  </si>
  <si>
    <t>7025</t>
  </si>
  <si>
    <t>7638</t>
  </si>
  <si>
    <t>8348</t>
  </si>
  <si>
    <t>8418</t>
  </si>
  <si>
    <t>9565</t>
  </si>
  <si>
    <t>10076</t>
  </si>
  <si>
    <t>11155</t>
  </si>
  <si>
    <t>11940</t>
  </si>
  <si>
    <t>Panama</t>
  </si>
  <si>
    <t>8.538</t>
  </si>
  <si>
    <t>-80.7821</t>
  </si>
  <si>
    <t>786</t>
  </si>
  <si>
    <t>1317</t>
  </si>
  <si>
    <t>1801</t>
  </si>
  <si>
    <t>2100</t>
  </si>
  <si>
    <t>2249</t>
  </si>
  <si>
    <t>2528</t>
  </si>
  <si>
    <t>2752</t>
  </si>
  <si>
    <t>3234</t>
  </si>
  <si>
    <t>3400</t>
  </si>
  <si>
    <t>3472</t>
  </si>
  <si>
    <t>3574</t>
  </si>
  <si>
    <t>3751</t>
  </si>
  <si>
    <t>4016</t>
  </si>
  <si>
    <t>4210</t>
  </si>
  <si>
    <t>4467</t>
  </si>
  <si>
    <t>4658</t>
  </si>
  <si>
    <t>4821</t>
  </si>
  <si>
    <t>5166</t>
  </si>
  <si>
    <t>5338</t>
  </si>
  <si>
    <t>Papua New Guinea</t>
  </si>
  <si>
    <t>-6.315</t>
  </si>
  <si>
    <t>143.9555</t>
  </si>
  <si>
    <t>Paraguay</t>
  </si>
  <si>
    <t>-23.4425</t>
  </si>
  <si>
    <t>-58.4438</t>
  </si>
  <si>
    <t>Peru</t>
  </si>
  <si>
    <t>-9.19</t>
  </si>
  <si>
    <t>-75.0152</t>
  </si>
  <si>
    <t>852</t>
  </si>
  <si>
    <t>1323</t>
  </si>
  <si>
    <t>2561</t>
  </si>
  <si>
    <t>2954</t>
  </si>
  <si>
    <t>4342</t>
  </si>
  <si>
    <t>5256</t>
  </si>
  <si>
    <t>5897</t>
  </si>
  <si>
    <t>6848</t>
  </si>
  <si>
    <t>7519</t>
  </si>
  <si>
    <t>9784</t>
  </si>
  <si>
    <t>10303</t>
  </si>
  <si>
    <t>11475</t>
  </si>
  <si>
    <t>12491</t>
  </si>
  <si>
    <t>13489</t>
  </si>
  <si>
    <t>14420</t>
  </si>
  <si>
    <t>15628</t>
  </si>
  <si>
    <t>16325</t>
  </si>
  <si>
    <t>17837</t>
  </si>
  <si>
    <t>20914</t>
  </si>
  <si>
    <t>21648</t>
  </si>
  <si>
    <t>Philippines</t>
  </si>
  <si>
    <t>13.0</t>
  </si>
  <si>
    <t>122.0</t>
  </si>
  <si>
    <t>462</t>
  </si>
  <si>
    <t>707</t>
  </si>
  <si>
    <t>2084</t>
  </si>
  <si>
    <t>2311</t>
  </si>
  <si>
    <t>2633</t>
  </si>
  <si>
    <t>3018</t>
  </si>
  <si>
    <t>3094</t>
  </si>
  <si>
    <t>3246</t>
  </si>
  <si>
    <t>3660</t>
  </si>
  <si>
    <t>3764</t>
  </si>
  <si>
    <t>3870</t>
  </si>
  <si>
    <t>4076</t>
  </si>
  <si>
    <t>4195</t>
  </si>
  <si>
    <t>4428</t>
  </si>
  <si>
    <t>4648</t>
  </si>
  <si>
    <t>4932</t>
  </si>
  <si>
    <t>5223</t>
  </si>
  <si>
    <t>5453</t>
  </si>
  <si>
    <t>5660</t>
  </si>
  <si>
    <t>5878</t>
  </si>
  <si>
    <t>6087</t>
  </si>
  <si>
    <t>6259</t>
  </si>
  <si>
    <t>6459</t>
  </si>
  <si>
    <t>6599</t>
  </si>
  <si>
    <t>6710</t>
  </si>
  <si>
    <t>6981</t>
  </si>
  <si>
    <t>7192</t>
  </si>
  <si>
    <t>Poland</t>
  </si>
  <si>
    <t>51.9194</t>
  </si>
  <si>
    <t>19.1451</t>
  </si>
  <si>
    <t>1051</t>
  </si>
  <si>
    <t>1389</t>
  </si>
  <si>
    <t>1638</t>
  </si>
  <si>
    <t>1862</t>
  </si>
  <si>
    <t>2055</t>
  </si>
  <si>
    <t>2946</t>
  </si>
  <si>
    <t>3383</t>
  </si>
  <si>
    <t>3627</t>
  </si>
  <si>
    <t>4102</t>
  </si>
  <si>
    <t>4413</t>
  </si>
  <si>
    <t>4848</t>
  </si>
  <si>
    <t>5205</t>
  </si>
  <si>
    <t>5575</t>
  </si>
  <si>
    <t>5955</t>
  </si>
  <si>
    <t>6356</t>
  </si>
  <si>
    <t>6674</t>
  </si>
  <si>
    <t>6934</t>
  </si>
  <si>
    <t>7202</t>
  </si>
  <si>
    <t>7582</t>
  </si>
  <si>
    <t>7918</t>
  </si>
  <si>
    <t>8379</t>
  </si>
  <si>
    <t>8742</t>
  </si>
  <si>
    <t>9287</t>
  </si>
  <si>
    <t>9593</t>
  </si>
  <si>
    <t>9856</t>
  </si>
  <si>
    <t>10169</t>
  </si>
  <si>
    <t>10511</t>
  </si>
  <si>
    <t>10892</t>
  </si>
  <si>
    <t>Portugal</t>
  </si>
  <si>
    <t>39.3999</t>
  </si>
  <si>
    <t>-8.2245</t>
  </si>
  <si>
    <t>448</t>
  </si>
  <si>
    <t>1280</t>
  </si>
  <si>
    <t>2060</t>
  </si>
  <si>
    <t>2362</t>
  </si>
  <si>
    <t>2995</t>
  </si>
  <si>
    <t>3544</t>
  </si>
  <si>
    <t>4268</t>
  </si>
  <si>
    <t>5170</t>
  </si>
  <si>
    <t>5962</t>
  </si>
  <si>
    <t>6408</t>
  </si>
  <si>
    <t>7443</t>
  </si>
  <si>
    <t>8251</t>
  </si>
  <si>
    <t>9034</t>
  </si>
  <si>
    <t>9886</t>
  </si>
  <si>
    <t>10524</t>
  </si>
  <si>
    <t>11278</t>
  </si>
  <si>
    <t>11730</t>
  </si>
  <si>
    <t>12442</t>
  </si>
  <si>
    <t>13141</t>
  </si>
  <si>
    <t>13956</t>
  </si>
  <si>
    <t>15472</t>
  </si>
  <si>
    <t>15987</t>
  </si>
  <si>
    <t>16585</t>
  </si>
  <si>
    <t>16934</t>
  </si>
  <si>
    <t>17448</t>
  </si>
  <si>
    <t>18091</t>
  </si>
  <si>
    <t>18841</t>
  </si>
  <si>
    <t>19022</t>
  </si>
  <si>
    <t>19685</t>
  </si>
  <si>
    <t>20206</t>
  </si>
  <si>
    <t>20863</t>
  </si>
  <si>
    <t>21379</t>
  </si>
  <si>
    <t>21982</t>
  </si>
  <si>
    <t>22353</t>
  </si>
  <si>
    <t>22797</t>
  </si>
  <si>
    <t>Qatar</t>
  </si>
  <si>
    <t>25.3548</t>
  </si>
  <si>
    <t>51.1839</t>
  </si>
  <si>
    <t>693</t>
  </si>
  <si>
    <t>1325</t>
  </si>
  <si>
    <t>1604</t>
  </si>
  <si>
    <t>2057</t>
  </si>
  <si>
    <t>2210</t>
  </si>
  <si>
    <t>2376</t>
  </si>
  <si>
    <t>2512</t>
  </si>
  <si>
    <t>2728</t>
  </si>
  <si>
    <t>3231</t>
  </si>
  <si>
    <t>3428</t>
  </si>
  <si>
    <t>3711</t>
  </si>
  <si>
    <t>4103</t>
  </si>
  <si>
    <t>4663</t>
  </si>
  <si>
    <t>5008</t>
  </si>
  <si>
    <t>5448</t>
  </si>
  <si>
    <t>6015</t>
  </si>
  <si>
    <t>6533</t>
  </si>
  <si>
    <t>7141</t>
  </si>
  <si>
    <t>7764</t>
  </si>
  <si>
    <t>8525</t>
  </si>
  <si>
    <t>Romania</t>
  </si>
  <si>
    <t>45.9432</t>
  </si>
  <si>
    <t>24.9668</t>
  </si>
  <si>
    <t>794</t>
  </si>
  <si>
    <t>1292</t>
  </si>
  <si>
    <t>1452</t>
  </si>
  <si>
    <t>1815</t>
  </si>
  <si>
    <t>2109</t>
  </si>
  <si>
    <t>3183</t>
  </si>
  <si>
    <t>3613</t>
  </si>
  <si>
    <t>3864</t>
  </si>
  <si>
    <t>4057</t>
  </si>
  <si>
    <t>4417</t>
  </si>
  <si>
    <t>4761</t>
  </si>
  <si>
    <t>5202</t>
  </si>
  <si>
    <t>5467</t>
  </si>
  <si>
    <t>5990</t>
  </si>
  <si>
    <t>6300</t>
  </si>
  <si>
    <t>7216</t>
  </si>
  <si>
    <t>7707</t>
  </si>
  <si>
    <t>8067</t>
  </si>
  <si>
    <t>8746</t>
  </si>
  <si>
    <t>8936</t>
  </si>
  <si>
    <t>9242</t>
  </si>
  <si>
    <t>9710</t>
  </si>
  <si>
    <t>10096</t>
  </si>
  <si>
    <t>10417</t>
  </si>
  <si>
    <t>Russia</t>
  </si>
  <si>
    <t>60.0</t>
  </si>
  <si>
    <t>90.0</t>
  </si>
  <si>
    <t>1836</t>
  </si>
  <si>
    <t>2777</t>
  </si>
  <si>
    <t>3548</t>
  </si>
  <si>
    <t>4731</t>
  </si>
  <si>
    <t>6343</t>
  </si>
  <si>
    <t>8672</t>
  </si>
  <si>
    <t>10131</t>
  </si>
  <si>
    <t>11917</t>
  </si>
  <si>
    <t>13584</t>
  </si>
  <si>
    <t>15770</t>
  </si>
  <si>
    <t>18328</t>
  </si>
  <si>
    <t>21102</t>
  </si>
  <si>
    <t>24490</t>
  </si>
  <si>
    <t>27938</t>
  </si>
  <si>
    <t>32008</t>
  </si>
  <si>
    <t>36793</t>
  </si>
  <si>
    <t>42853</t>
  </si>
  <si>
    <t>47121</t>
  </si>
  <si>
    <t>52763</t>
  </si>
  <si>
    <t>57999</t>
  </si>
  <si>
    <t>62773</t>
  </si>
  <si>
    <t>68622</t>
  </si>
  <si>
    <t>Rwanda</t>
  </si>
  <si>
    <t>-1.9403</t>
  </si>
  <si>
    <t>29.8739</t>
  </si>
  <si>
    <t>Saint Lucia</t>
  </si>
  <si>
    <t>13.9094</t>
  </si>
  <si>
    <t>-60.9789</t>
  </si>
  <si>
    <t>Saint Vincent and the Grenadines</t>
  </si>
  <si>
    <t>12.9843</t>
  </si>
  <si>
    <t>-61.2872</t>
  </si>
  <si>
    <t>San Marino</t>
  </si>
  <si>
    <t>43.9424</t>
  </si>
  <si>
    <t>12.4578</t>
  </si>
  <si>
    <t>455</t>
  </si>
  <si>
    <t>513</t>
  </si>
  <si>
    <t>Saudi Arabia</t>
  </si>
  <si>
    <t>24.0</t>
  </si>
  <si>
    <t>45.0</t>
  </si>
  <si>
    <t>1104</t>
  </si>
  <si>
    <t>1563</t>
  </si>
  <si>
    <t>1885</t>
  </si>
  <si>
    <t>2039</t>
  </si>
  <si>
    <t>2179</t>
  </si>
  <si>
    <t>2402</t>
  </si>
  <si>
    <t>2795</t>
  </si>
  <si>
    <t>2932</t>
  </si>
  <si>
    <t>3287</t>
  </si>
  <si>
    <t>3651</t>
  </si>
  <si>
    <t>4033</t>
  </si>
  <si>
    <t>4462</t>
  </si>
  <si>
    <t>4934</t>
  </si>
  <si>
    <t>5369</t>
  </si>
  <si>
    <t>5862</t>
  </si>
  <si>
    <t>6380</t>
  </si>
  <si>
    <t>7142</t>
  </si>
  <si>
    <t>8274</t>
  </si>
  <si>
    <t>9362</t>
  </si>
  <si>
    <t>10484</t>
  </si>
  <si>
    <t>11631</t>
  </si>
  <si>
    <t>12772</t>
  </si>
  <si>
    <t>13930</t>
  </si>
  <si>
    <t>15102</t>
  </si>
  <si>
    <t>Senegal</t>
  </si>
  <si>
    <t>14.4974</t>
  </si>
  <si>
    <t>-14.4524</t>
  </si>
  <si>
    <t>Serbia</t>
  </si>
  <si>
    <t>44.0165</t>
  </si>
  <si>
    <t>21.0059</t>
  </si>
  <si>
    <t>741</t>
  </si>
  <si>
    <t>1060</t>
  </si>
  <si>
    <t>1476</t>
  </si>
  <si>
    <t>2200</t>
  </si>
  <si>
    <t>2447</t>
  </si>
  <si>
    <t>2666</t>
  </si>
  <si>
    <t>2867</t>
  </si>
  <si>
    <t>3380</t>
  </si>
  <si>
    <t>4054</t>
  </si>
  <si>
    <t>4465</t>
  </si>
  <si>
    <t>4873</t>
  </si>
  <si>
    <t>5318</t>
  </si>
  <si>
    <t>5690</t>
  </si>
  <si>
    <t>5994</t>
  </si>
  <si>
    <t>6630</t>
  </si>
  <si>
    <t>Seychelles</t>
  </si>
  <si>
    <t>-4.6796</t>
  </si>
  <si>
    <t>55.492</t>
  </si>
  <si>
    <t>Singapore</t>
  </si>
  <si>
    <t>1.2833</t>
  </si>
  <si>
    <t>103.8333</t>
  </si>
  <si>
    <t>385</t>
  </si>
  <si>
    <t>432</t>
  </si>
  <si>
    <t>1049</t>
  </si>
  <si>
    <t>1114</t>
  </si>
  <si>
    <t>1375</t>
  </si>
  <si>
    <t>1481</t>
  </si>
  <si>
    <t>1623</t>
  </si>
  <si>
    <t>1910</t>
  </si>
  <si>
    <t>2108</t>
  </si>
  <si>
    <t>2299</t>
  </si>
  <si>
    <t>2532</t>
  </si>
  <si>
    <t>2918</t>
  </si>
  <si>
    <t>3252</t>
  </si>
  <si>
    <t>3699</t>
  </si>
  <si>
    <t>4427</t>
  </si>
  <si>
    <t>5050</t>
  </si>
  <si>
    <t>5992</t>
  </si>
  <si>
    <t>6588</t>
  </si>
  <si>
    <t>8014</t>
  </si>
  <si>
    <t>9125</t>
  </si>
  <si>
    <t>10141</t>
  </si>
  <si>
    <t>11178</t>
  </si>
  <si>
    <t>12075</t>
  </si>
  <si>
    <t>Slovakia</t>
  </si>
  <si>
    <t>48.669</t>
  </si>
  <si>
    <t>19.699</t>
  </si>
  <si>
    <t>471</t>
  </si>
  <si>
    <t>742</t>
  </si>
  <si>
    <t>863</t>
  </si>
  <si>
    <t>1089</t>
  </si>
  <si>
    <t>1199</t>
  </si>
  <si>
    <t>1244</t>
  </si>
  <si>
    <t>Slovenia</t>
  </si>
  <si>
    <t>46.1512</t>
  </si>
  <si>
    <t>14.9955</t>
  </si>
  <si>
    <t>897</t>
  </si>
  <si>
    <t>997</t>
  </si>
  <si>
    <t>1059</t>
  </si>
  <si>
    <t>1124</t>
  </si>
  <si>
    <t>1188</t>
  </si>
  <si>
    <t>1335</t>
  </si>
  <si>
    <t>1344</t>
  </si>
  <si>
    <t>Somalia</t>
  </si>
  <si>
    <t>5.1521</t>
  </si>
  <si>
    <t>46.1996</t>
  </si>
  <si>
    <t>South Africa</t>
  </si>
  <si>
    <t>-30.5595</t>
  </si>
  <si>
    <t>22.9375</t>
  </si>
  <si>
    <t>709</t>
  </si>
  <si>
    <t>927</t>
  </si>
  <si>
    <t>1187</t>
  </si>
  <si>
    <t>1462</t>
  </si>
  <si>
    <t>1505</t>
  </si>
  <si>
    <t>1655</t>
  </si>
  <si>
    <t>1686</t>
  </si>
  <si>
    <t>1749</t>
  </si>
  <si>
    <t>1845</t>
  </si>
  <si>
    <t>2003</t>
  </si>
  <si>
    <t>2028</t>
  </si>
  <si>
    <t>2173</t>
  </si>
  <si>
    <t>2272</t>
  </si>
  <si>
    <t>2506</t>
  </si>
  <si>
    <t>2783</t>
  </si>
  <si>
    <t>3158</t>
  </si>
  <si>
    <t>3300</t>
  </si>
  <si>
    <t>3635</t>
  </si>
  <si>
    <t>3953</t>
  </si>
  <si>
    <t>4220</t>
  </si>
  <si>
    <t>Spain</t>
  </si>
  <si>
    <t>40.0</t>
  </si>
  <si>
    <t>-4.0</t>
  </si>
  <si>
    <t>500</t>
  </si>
  <si>
    <t>1695</t>
  </si>
  <si>
    <t>5232</t>
  </si>
  <si>
    <t>6391</t>
  </si>
  <si>
    <t>7798</t>
  </si>
  <si>
    <t>9942</t>
  </si>
  <si>
    <t>11748</t>
  </si>
  <si>
    <t>13910</t>
  </si>
  <si>
    <t>17963</t>
  </si>
  <si>
    <t>20410</t>
  </si>
  <si>
    <t>25374</t>
  </si>
  <si>
    <t>28768</t>
  </si>
  <si>
    <t>35136</t>
  </si>
  <si>
    <t>39885</t>
  </si>
  <si>
    <t>49515</t>
  </si>
  <si>
    <t>57786</t>
  </si>
  <si>
    <t>65719</t>
  </si>
  <si>
    <t>73235</t>
  </si>
  <si>
    <t>80110</t>
  </si>
  <si>
    <t>87956</t>
  </si>
  <si>
    <t>95923</t>
  </si>
  <si>
    <t>104118</t>
  </si>
  <si>
    <t>112065</t>
  </si>
  <si>
    <t>119199</t>
  </si>
  <si>
    <t>126168</t>
  </si>
  <si>
    <t>131646</t>
  </si>
  <si>
    <t>136675</t>
  </si>
  <si>
    <t>141942</t>
  </si>
  <si>
    <t>148220</t>
  </si>
  <si>
    <t>153222</t>
  </si>
  <si>
    <t>158273</t>
  </si>
  <si>
    <t>163027</t>
  </si>
  <si>
    <t>166831</t>
  </si>
  <si>
    <t>170099</t>
  </si>
  <si>
    <t>172541</t>
  </si>
  <si>
    <t>177644</t>
  </si>
  <si>
    <t>184948</t>
  </si>
  <si>
    <t>190839</t>
  </si>
  <si>
    <t>191726</t>
  </si>
  <si>
    <t>198674</t>
  </si>
  <si>
    <t>200210</t>
  </si>
  <si>
    <t>204178</t>
  </si>
  <si>
    <t>208389</t>
  </si>
  <si>
    <t>213024</t>
  </si>
  <si>
    <t>219764</t>
  </si>
  <si>
    <t>Sri Lanka</t>
  </si>
  <si>
    <t>7.0</t>
  </si>
  <si>
    <t>81.0</t>
  </si>
  <si>
    <t>198</t>
  </si>
  <si>
    <t>Sudan</t>
  </si>
  <si>
    <t>12.8628</t>
  </si>
  <si>
    <t>30.2176</t>
  </si>
  <si>
    <t>Suriname</t>
  </si>
  <si>
    <t>3.9193</t>
  </si>
  <si>
    <t>-56.0278</t>
  </si>
  <si>
    <t>Sweden</t>
  </si>
  <si>
    <t>63.0</t>
  </si>
  <si>
    <t>16.0</t>
  </si>
  <si>
    <t>1022</t>
  </si>
  <si>
    <t>1103</t>
  </si>
  <si>
    <t>1439</t>
  </si>
  <si>
    <t>1639</t>
  </si>
  <si>
    <t>2286</t>
  </si>
  <si>
    <t>2526</t>
  </si>
  <si>
    <t>3069</t>
  </si>
  <si>
    <t>3700</t>
  </si>
  <si>
    <t>4028</t>
  </si>
  <si>
    <t>4435</t>
  </si>
  <si>
    <t>4947</t>
  </si>
  <si>
    <t>5568</t>
  </si>
  <si>
    <t>6131</t>
  </si>
  <si>
    <t>6443</t>
  </si>
  <si>
    <t>6830</t>
  </si>
  <si>
    <t>7206</t>
  </si>
  <si>
    <t>7693</t>
  </si>
  <si>
    <t>8419</t>
  </si>
  <si>
    <t>9141</t>
  </si>
  <si>
    <t>9685</t>
  </si>
  <si>
    <t>10151</t>
  </si>
  <si>
    <t>10483</t>
  </si>
  <si>
    <t>10948</t>
  </si>
  <si>
    <t>11445</t>
  </si>
  <si>
    <t>11927</t>
  </si>
  <si>
    <t>12540</t>
  </si>
  <si>
    <t>13216</t>
  </si>
  <si>
    <t>13822</t>
  </si>
  <si>
    <t>14385</t>
  </si>
  <si>
    <t>14777</t>
  </si>
  <si>
    <t>15322</t>
  </si>
  <si>
    <t>16004</t>
  </si>
  <si>
    <t>16755</t>
  </si>
  <si>
    <t>17567</t>
  </si>
  <si>
    <t>Switzerland</t>
  </si>
  <si>
    <t>46.8182</t>
  </si>
  <si>
    <t>8.2275</t>
  </si>
  <si>
    <t>374</t>
  </si>
  <si>
    <t>1139</t>
  </si>
  <si>
    <t>1359</t>
  </si>
  <si>
    <t>2700</t>
  </si>
  <si>
    <t>3028</t>
  </si>
  <si>
    <t>4075</t>
  </si>
  <si>
    <t>5294</t>
  </si>
  <si>
    <t>7474</t>
  </si>
  <si>
    <t>8795</t>
  </si>
  <si>
    <t>9877</t>
  </si>
  <si>
    <t>10897</t>
  </si>
  <si>
    <t>11811</t>
  </si>
  <si>
    <t>12928</t>
  </si>
  <si>
    <t>14076</t>
  </si>
  <si>
    <t>14829</t>
  </si>
  <si>
    <t>15922</t>
  </si>
  <si>
    <t>16605</t>
  </si>
  <si>
    <t>17768</t>
  </si>
  <si>
    <t>18827</t>
  </si>
  <si>
    <t>19606</t>
  </si>
  <si>
    <t>20505</t>
  </si>
  <si>
    <t>21100</t>
  </si>
  <si>
    <t>21657</t>
  </si>
  <si>
    <t>22253</t>
  </si>
  <si>
    <t>23280</t>
  </si>
  <si>
    <t>24051</t>
  </si>
  <si>
    <t>24551</t>
  </si>
  <si>
    <t>25107</t>
  </si>
  <si>
    <t>25415</t>
  </si>
  <si>
    <t>25688</t>
  </si>
  <si>
    <t>25936</t>
  </si>
  <si>
    <t>26336</t>
  </si>
  <si>
    <t>26732</t>
  </si>
  <si>
    <t>27078</t>
  </si>
  <si>
    <t>27404</t>
  </si>
  <si>
    <t>27740</t>
  </si>
  <si>
    <t>27944</t>
  </si>
  <si>
    <t>28063</t>
  </si>
  <si>
    <t>28268</t>
  </si>
  <si>
    <t>28496</t>
  </si>
  <si>
    <t>28677</t>
  </si>
  <si>
    <t>Taiwan*</t>
  </si>
  <si>
    <t>23.7</t>
  </si>
  <si>
    <t>121.0</t>
  </si>
  <si>
    <t>379</t>
  </si>
  <si>
    <t>Tanzania</t>
  </si>
  <si>
    <t>-6.369</t>
  </si>
  <si>
    <t>34.8888</t>
  </si>
  <si>
    <t>Thailand</t>
  </si>
  <si>
    <t>15.0</t>
  </si>
  <si>
    <t>101.0</t>
  </si>
  <si>
    <t>1045</t>
  </si>
  <si>
    <t>1245</t>
  </si>
  <si>
    <t>1388</t>
  </si>
  <si>
    <t>1651</t>
  </si>
  <si>
    <t>1875</t>
  </si>
  <si>
    <t>1978</t>
  </si>
  <si>
    <t>2067</t>
  </si>
  <si>
    <t>2169</t>
  </si>
  <si>
    <t>2220</t>
  </si>
  <si>
    <t>2258</t>
  </si>
  <si>
    <t>2423</t>
  </si>
  <si>
    <t>2551</t>
  </si>
  <si>
    <t>2579</t>
  </si>
  <si>
    <t>2613</t>
  </si>
  <si>
    <t>2643</t>
  </si>
  <si>
    <t>2672</t>
  </si>
  <si>
    <t>2733</t>
  </si>
  <si>
    <t>2765</t>
  </si>
  <si>
    <t>2792</t>
  </si>
  <si>
    <t>2826</t>
  </si>
  <si>
    <t>2907</t>
  </si>
  <si>
    <t>Togo</t>
  </si>
  <si>
    <t>8.6195</t>
  </si>
  <si>
    <t>0.8248</t>
  </si>
  <si>
    <t>Trinidad and Tobago</t>
  </si>
  <si>
    <t>10.6918</t>
  </si>
  <si>
    <t>-61.2225</t>
  </si>
  <si>
    <t>Tunisia</t>
  </si>
  <si>
    <t>34.0</t>
  </si>
  <si>
    <t>596</t>
  </si>
  <si>
    <t>909</t>
  </si>
  <si>
    <t>918</t>
  </si>
  <si>
    <t>Turkey</t>
  </si>
  <si>
    <t>38.9637</t>
  </si>
  <si>
    <t>35.2433</t>
  </si>
  <si>
    <t>1529</t>
  </si>
  <si>
    <t>1872</t>
  </si>
  <si>
    <t>2433</t>
  </si>
  <si>
    <t>3629</t>
  </si>
  <si>
    <t>5698</t>
  </si>
  <si>
    <t>7402</t>
  </si>
  <si>
    <t>9217</t>
  </si>
  <si>
    <t>10827</t>
  </si>
  <si>
    <t>13531</t>
  </si>
  <si>
    <t>15679</t>
  </si>
  <si>
    <t>18135</t>
  </si>
  <si>
    <t>20921</t>
  </si>
  <si>
    <t>23934</t>
  </si>
  <si>
    <t>27069</t>
  </si>
  <si>
    <t>30217</t>
  </si>
  <si>
    <t>34109</t>
  </si>
  <si>
    <t>38226</t>
  </si>
  <si>
    <t>42282</t>
  </si>
  <si>
    <t>47029</t>
  </si>
  <si>
    <t>52167</t>
  </si>
  <si>
    <t>56956</t>
  </si>
  <si>
    <t>61049</t>
  </si>
  <si>
    <t>65111</t>
  </si>
  <si>
    <t>69392</t>
  </si>
  <si>
    <t>74193</t>
  </si>
  <si>
    <t>78546</t>
  </si>
  <si>
    <t>82329</t>
  </si>
  <si>
    <t>86306</t>
  </si>
  <si>
    <t>90980</t>
  </si>
  <si>
    <t>95591</t>
  </si>
  <si>
    <t>98674</t>
  </si>
  <si>
    <t>101790</t>
  </si>
  <si>
    <t>104912</t>
  </si>
  <si>
    <t>Uganda</t>
  </si>
  <si>
    <t>1.0</t>
  </si>
  <si>
    <t>Ukraine</t>
  </si>
  <si>
    <t>48.3794</t>
  </si>
  <si>
    <t>31.1656</t>
  </si>
  <si>
    <t>1072</t>
  </si>
  <si>
    <t>1308</t>
  </si>
  <si>
    <t>1668</t>
  </si>
  <si>
    <t>1892</t>
  </si>
  <si>
    <t>2203</t>
  </si>
  <si>
    <t>2511</t>
  </si>
  <si>
    <t>3102</t>
  </si>
  <si>
    <t>3372</t>
  </si>
  <si>
    <t>4662</t>
  </si>
  <si>
    <t>5106</t>
  </si>
  <si>
    <t>5449</t>
  </si>
  <si>
    <t>5710</t>
  </si>
  <si>
    <t>6125</t>
  </si>
  <si>
    <t>6592</t>
  </si>
  <si>
    <t>7170</t>
  </si>
  <si>
    <t>8125</t>
  </si>
  <si>
    <t>United Arab Emirates</t>
  </si>
  <si>
    <t>54.0</t>
  </si>
  <si>
    <t>611</t>
  </si>
  <si>
    <t>664</t>
  </si>
  <si>
    <t>1799</t>
  </si>
  <si>
    <t>2076</t>
  </si>
  <si>
    <t>2359</t>
  </si>
  <si>
    <t>2659</t>
  </si>
  <si>
    <t>2990</t>
  </si>
  <si>
    <t>3360</t>
  </si>
  <si>
    <t>4123</t>
  </si>
  <si>
    <t>4521</t>
  </si>
  <si>
    <t>4933</t>
  </si>
  <si>
    <t>5365</t>
  </si>
  <si>
    <t>5825</t>
  </si>
  <si>
    <t>6302</t>
  </si>
  <si>
    <t>6781</t>
  </si>
  <si>
    <t>7265</t>
  </si>
  <si>
    <t>8238</t>
  </si>
  <si>
    <t>8756</t>
  </si>
  <si>
    <t>9281</t>
  </si>
  <si>
    <t>Bermuda</t>
  </si>
  <si>
    <t>United Kingdom</t>
  </si>
  <si>
    <t>32.3078</t>
  </si>
  <si>
    <t>-64.7505</t>
  </si>
  <si>
    <t>Cayman Islands</t>
  </si>
  <si>
    <t>19.3133</t>
  </si>
  <si>
    <t>-81.2546</t>
  </si>
  <si>
    <t>Channel Islands</t>
  </si>
  <si>
    <t>49.3723</t>
  </si>
  <si>
    <t>-2.3644</t>
  </si>
  <si>
    <t>496</t>
  </si>
  <si>
    <t>Gibraltar</t>
  </si>
  <si>
    <t>36.1408</t>
  </si>
  <si>
    <t>-5.3536</t>
  </si>
  <si>
    <t>Isle of Man</t>
  </si>
  <si>
    <t>54.2361</t>
  </si>
  <si>
    <t>-4.5481</t>
  </si>
  <si>
    <t>Montserrat</t>
  </si>
  <si>
    <t>16.7425</t>
  </si>
  <si>
    <t>-62.1874</t>
  </si>
  <si>
    <t>55.3781</t>
  </si>
  <si>
    <t>-3.4360000000000004</t>
  </si>
  <si>
    <t>1140</t>
  </si>
  <si>
    <t>1543</t>
  </si>
  <si>
    <t>2689</t>
  </si>
  <si>
    <t>3983</t>
  </si>
  <si>
    <t>5018</t>
  </si>
  <si>
    <t>5683</t>
  </si>
  <si>
    <t>6650</t>
  </si>
  <si>
    <t>8077</t>
  </si>
  <si>
    <t>9529</t>
  </si>
  <si>
    <t>11658</t>
  </si>
  <si>
    <t>14543</t>
  </si>
  <si>
    <t>17089</t>
  </si>
  <si>
    <t>19522</t>
  </si>
  <si>
    <t>22141</t>
  </si>
  <si>
    <t>25150</t>
  </si>
  <si>
    <t>29474</t>
  </si>
  <si>
    <t>33718</t>
  </si>
  <si>
    <t>38168</t>
  </si>
  <si>
    <t>41903</t>
  </si>
  <si>
    <t>47806</t>
  </si>
  <si>
    <t>51608</t>
  </si>
  <si>
    <t>55242</t>
  </si>
  <si>
    <t>60733</t>
  </si>
  <si>
    <t>65077</t>
  </si>
  <si>
    <t>73758</t>
  </si>
  <si>
    <t>78991</t>
  </si>
  <si>
    <t>84279</t>
  </si>
  <si>
    <t>88621</t>
  </si>
  <si>
    <t>93873</t>
  </si>
  <si>
    <t>98476</t>
  </si>
  <si>
    <t>103093</t>
  </si>
  <si>
    <t>108692</t>
  </si>
  <si>
    <t>114217</t>
  </si>
  <si>
    <t>120067</t>
  </si>
  <si>
    <t>124743</t>
  </si>
  <si>
    <t>129044</t>
  </si>
  <si>
    <t>133495</t>
  </si>
  <si>
    <t>138078</t>
  </si>
  <si>
    <t>143464</t>
  </si>
  <si>
    <t>Uruguay</t>
  </si>
  <si>
    <t>-32.5228</t>
  </si>
  <si>
    <t>-55.7658</t>
  </si>
  <si>
    <t>406</t>
  </si>
  <si>
    <t>563</t>
  </si>
  <si>
    <t>US</t>
  </si>
  <si>
    <t>37.0902</t>
  </si>
  <si>
    <t>-95.7129</t>
  </si>
  <si>
    <t>1663</t>
  </si>
  <si>
    <t>2727</t>
  </si>
  <si>
    <t>3499</t>
  </si>
  <si>
    <t>4632</t>
  </si>
  <si>
    <t>6421</t>
  </si>
  <si>
    <t>7783</t>
  </si>
  <si>
    <t>13747</t>
  </si>
  <si>
    <t>19273</t>
  </si>
  <si>
    <t>25600</t>
  </si>
  <si>
    <t>33276</t>
  </si>
  <si>
    <t>43843</t>
  </si>
  <si>
    <t>53736</t>
  </si>
  <si>
    <t>65778</t>
  </si>
  <si>
    <t>83836</t>
  </si>
  <si>
    <t>101657</t>
  </si>
  <si>
    <t>121465</t>
  </si>
  <si>
    <t>140909</t>
  </si>
  <si>
    <t>161831</t>
  </si>
  <si>
    <t>188172</t>
  </si>
  <si>
    <t>213242</t>
  </si>
  <si>
    <t>243622</t>
  </si>
  <si>
    <t>275367</t>
  </si>
  <si>
    <t>308650</t>
  </si>
  <si>
    <t>336802</t>
  </si>
  <si>
    <t>366317</t>
  </si>
  <si>
    <t>397121</t>
  </si>
  <si>
    <t>428654</t>
  </si>
  <si>
    <t>462780</t>
  </si>
  <si>
    <t>496535</t>
  </si>
  <si>
    <t>526396</t>
  </si>
  <si>
    <t>555313</t>
  </si>
  <si>
    <t>580619</t>
  </si>
  <si>
    <t>607670</t>
  </si>
  <si>
    <t>636350</t>
  </si>
  <si>
    <t>667592</t>
  </si>
  <si>
    <t>699706</t>
  </si>
  <si>
    <t>732197</t>
  </si>
  <si>
    <t>758809</t>
  </si>
  <si>
    <t>784326</t>
  </si>
  <si>
    <t>811865</t>
  </si>
  <si>
    <t>840351</t>
  </si>
  <si>
    <t>869170</t>
  </si>
  <si>
    <t>905358</t>
  </si>
  <si>
    <t>Uzbekistan</t>
  </si>
  <si>
    <t>41.3775</t>
  </si>
  <si>
    <t>64.5853</t>
  </si>
  <si>
    <t>1165</t>
  </si>
  <si>
    <t>1565</t>
  </si>
  <si>
    <t>1627</t>
  </si>
  <si>
    <t>1678</t>
  </si>
  <si>
    <t>1758</t>
  </si>
  <si>
    <t>1804</t>
  </si>
  <si>
    <t>Venezuela</t>
  </si>
  <si>
    <t>6.4238</t>
  </si>
  <si>
    <t>-66.5897</t>
  </si>
  <si>
    <t>Vietnam</t>
  </si>
  <si>
    <t>108.0</t>
  </si>
  <si>
    <t>Zambia</t>
  </si>
  <si>
    <t>-15.4167</t>
  </si>
  <si>
    <t>28.2833</t>
  </si>
  <si>
    <t>Zimbabwe</t>
  </si>
  <si>
    <t>-20.0</t>
  </si>
  <si>
    <t>Dominica</t>
  </si>
  <si>
    <t>15.415</t>
  </si>
  <si>
    <t>-61.371</t>
  </si>
  <si>
    <t>Grenada</t>
  </si>
  <si>
    <t>12.1165</t>
  </si>
  <si>
    <t>-61.678999999999995</t>
  </si>
  <si>
    <t>Mozambique</t>
  </si>
  <si>
    <t>-18.665695</t>
  </si>
  <si>
    <t>35.529562</t>
  </si>
  <si>
    <t>Syria</t>
  </si>
  <si>
    <t>34.802075</t>
  </si>
  <si>
    <t>38.99681500000001</t>
  </si>
  <si>
    <t>Timor-Leste</t>
  </si>
  <si>
    <t>-8.874217</t>
  </si>
  <si>
    <t>125.727539</t>
  </si>
  <si>
    <t>Belize</t>
  </si>
  <si>
    <t>Recovered</t>
  </si>
  <si>
    <t>Laos</t>
  </si>
  <si>
    <t>19.856270000000002</t>
  </si>
  <si>
    <t>102.495496</t>
  </si>
  <si>
    <t>Libya</t>
  </si>
  <si>
    <t>26.3351</t>
  </si>
  <si>
    <t>17.228331</t>
  </si>
  <si>
    <t>West Bank and Gaza</t>
  </si>
  <si>
    <t>31.9522</t>
  </si>
  <si>
    <t>35.2332</t>
  </si>
  <si>
    <t>Guinea-Bissau</t>
  </si>
  <si>
    <t>11.8037</t>
  </si>
  <si>
    <t>-15.1804</t>
  </si>
  <si>
    <t>Mali</t>
  </si>
  <si>
    <t>17.570692</t>
  </si>
  <si>
    <t>-3.996166000000001</t>
  </si>
  <si>
    <t>Saint Kitts and Nevis</t>
  </si>
  <si>
    <t>17.357822</t>
  </si>
  <si>
    <t>-62.782998</t>
  </si>
  <si>
    <t>Northwest Territories</t>
  </si>
  <si>
    <t>64.8255</t>
  </si>
  <si>
    <t>-124.8457</t>
  </si>
  <si>
    <t>Yukon</t>
  </si>
  <si>
    <t>64.2823</t>
  </si>
  <si>
    <t>-135.0</t>
  </si>
  <si>
    <t>Kosovo</t>
  </si>
  <si>
    <t>42.602636</t>
  </si>
  <si>
    <t>20.902977</t>
  </si>
  <si>
    <t>Burma</t>
  </si>
  <si>
    <t>21.9162</t>
  </si>
  <si>
    <t>95.956</t>
  </si>
  <si>
    <t>Anguilla</t>
  </si>
  <si>
    <t>18.2206</t>
  </si>
  <si>
    <t>-63.0686</t>
  </si>
  <si>
    <t>British Virgin Islands</t>
  </si>
  <si>
    <t>18.4207</t>
  </si>
  <si>
    <t>-64.64</t>
  </si>
  <si>
    <t>Turks and Caicos Islands</t>
  </si>
  <si>
    <t>21.69400000000001</t>
  </si>
  <si>
    <t>-71.7979</t>
  </si>
  <si>
    <t>MS Zaandam</t>
  </si>
  <si>
    <t>Botswana</t>
  </si>
  <si>
    <t>-22.3285</t>
  </si>
  <si>
    <t>24.6849</t>
  </si>
  <si>
    <t>Burundi</t>
  </si>
  <si>
    <t>-3.3731</t>
  </si>
  <si>
    <t>29.9189</t>
  </si>
  <si>
    <t>Sierra Leone</t>
  </si>
  <si>
    <t>8.460555000000001</t>
  </si>
  <si>
    <t>-11.779889</t>
  </si>
  <si>
    <t>Bonaire, Sint Eustatius and Saba</t>
  </si>
  <si>
    <t>12.1784</t>
  </si>
  <si>
    <t>-68.2385</t>
  </si>
  <si>
    <t>Malawi</t>
  </si>
  <si>
    <t>-13.254307999999998</t>
  </si>
  <si>
    <t>34.301525</t>
  </si>
  <si>
    <t>Falkland Islands (Malvinas)</t>
  </si>
  <si>
    <t>-51.7963</t>
  </si>
  <si>
    <t>-59.5236</t>
  </si>
  <si>
    <t>Saint Pierre and Miquelon</t>
  </si>
  <si>
    <t>46.8852</t>
  </si>
  <si>
    <t>-56.3159</t>
  </si>
  <si>
    <t>South Sudan</t>
  </si>
  <si>
    <t>6.8770000000000024</t>
  </si>
  <si>
    <t>31.307</t>
  </si>
  <si>
    <t>Western Sahara</t>
  </si>
  <si>
    <t>24.2155</t>
  </si>
  <si>
    <t>-12.8858</t>
  </si>
  <si>
    <t>Sao Tome and Principe</t>
  </si>
  <si>
    <t>0.18636</t>
  </si>
  <si>
    <t>6.613081</t>
  </si>
  <si>
    <t>Yemen</t>
  </si>
  <si>
    <t>15.552726999999999</t>
  </si>
  <si>
    <t>48.516388</t>
  </si>
  <si>
    <t>p</t>
  </si>
  <si>
    <t>alpha</t>
  </si>
  <si>
    <t>Lombardy d.t</t>
  </si>
  <si>
    <t>rest of Italy d.t.</t>
  </si>
  <si>
    <t>Lombardy acc. fit</t>
  </si>
  <si>
    <t>Lombardy velocity</t>
  </si>
  <si>
    <t>Lombardy g.r.</t>
  </si>
  <si>
    <t>rest of Italy acc. fit</t>
  </si>
  <si>
    <t>rest of Italy velocity</t>
  </si>
  <si>
    <t>rest of Italy g.r.</t>
  </si>
  <si>
    <r>
      <t>R</t>
    </r>
    <r>
      <rPr>
        <strike/>
        <vertAlign val="superscript"/>
        <sz val="11"/>
        <rFont val="Calibri"/>
        <family val="2"/>
        <scheme val="minor"/>
      </rPr>
      <t>2</t>
    </r>
  </si>
  <si>
    <r>
      <t>R</t>
    </r>
    <r>
      <rPr>
        <strike/>
        <vertAlign val="superscript"/>
        <sz val="11"/>
        <color theme="1"/>
        <rFont val="Calibri"/>
        <family val="2"/>
        <scheme val="minor"/>
      </rPr>
      <t>2</t>
    </r>
  </si>
  <si>
    <t>Lombardy x=(ln(t-p)-mu)/sigma2</t>
  </si>
  <si>
    <t>x_t</t>
  </si>
  <si>
    <t>verify</t>
  </si>
  <si>
    <t>t_alpha_t+plus</t>
  </si>
  <si>
    <t>t_alpha_t-minus</t>
  </si>
  <si>
    <t>x_t_alpha©+plus</t>
  </si>
  <si>
    <t>x_t_alpha©-minus</t>
  </si>
  <si>
    <t>c_t</t>
  </si>
  <si>
    <t>rest of Italy x=(ln(t-p)-mu)/sigma</t>
  </si>
  <si>
    <t>t_alpha_r+plus</t>
  </si>
  <si>
    <t>t_alpha_r-minus</t>
  </si>
  <si>
    <t>x_r_alpha©+plus</t>
  </si>
  <si>
    <t>x_r_alpha©-minus</t>
  </si>
  <si>
    <t>c_r</t>
  </si>
  <si>
    <t>Lombardy h.t.</t>
  </si>
  <si>
    <t>t_alpha_o+plus</t>
  </si>
  <si>
    <t>t_alpha_o-minus</t>
  </si>
  <si>
    <t>x_o_alpha©+plus</t>
  </si>
  <si>
    <t>x_o_alpha©-minus</t>
  </si>
  <si>
    <t>c_o</t>
  </si>
  <si>
    <t>rest of Italy h.t.</t>
  </si>
  <si>
    <t>Lombardy acc.</t>
  </si>
  <si>
    <t>rest of Italy acc.</t>
  </si>
  <si>
    <t>5538</t>
  </si>
  <si>
    <t>Column99</t>
  </si>
  <si>
    <t>Column100</t>
  </si>
  <si>
    <t>Column101</t>
  </si>
  <si>
    <t>Column102</t>
  </si>
  <si>
    <t>4/25/20</t>
  </si>
  <si>
    <t>4/26/20</t>
  </si>
  <si>
    <t>4/27/20</t>
  </si>
  <si>
    <t>4/28/20</t>
  </si>
  <si>
    <t>1531</t>
  </si>
  <si>
    <t>1703</t>
  </si>
  <si>
    <t>3256</t>
  </si>
  <si>
    <t>3517</t>
  </si>
  <si>
    <t>3649</t>
  </si>
  <si>
    <t>738</t>
  </si>
  <si>
    <t>3780</t>
  </si>
  <si>
    <t>3892</t>
  </si>
  <si>
    <t>4003</t>
  </si>
  <si>
    <t>4127</t>
  </si>
  <si>
    <t>1808</t>
  </si>
  <si>
    <t>1867</t>
  </si>
  <si>
    <t>3002</t>
  </si>
  <si>
    <t>3004</t>
  </si>
  <si>
    <t>3016</t>
  </si>
  <si>
    <t>1346</t>
  </si>
  <si>
    <t>1354</t>
  </si>
  <si>
    <t>15148</t>
  </si>
  <si>
    <t>15225</t>
  </si>
  <si>
    <t>15274</t>
  </si>
  <si>
    <t>15357</t>
  </si>
  <si>
    <t>1645</t>
  </si>
  <si>
    <t>2588</t>
  </si>
  <si>
    <t>2647</t>
  </si>
  <si>
    <t>2723</t>
  </si>
  <si>
    <t>4998</t>
  </si>
  <si>
    <t>5416</t>
  </si>
  <si>
    <t>5913</t>
  </si>
  <si>
    <t>6462</t>
  </si>
  <si>
    <t>9590</t>
  </si>
  <si>
    <t>10463</t>
  </si>
  <si>
    <t>11289</t>
  </si>
  <si>
    <t>12208</t>
  </si>
  <si>
    <t>45325</t>
  </si>
  <si>
    <t>46134</t>
  </si>
  <si>
    <t>46687</t>
  </si>
  <si>
    <t>47334</t>
  </si>
  <si>
    <t>866</t>
  </si>
  <si>
    <t>1014</t>
  </si>
  <si>
    <t>59324</t>
  </si>
  <si>
    <t>63100</t>
  </si>
  <si>
    <t>67446</t>
  </si>
  <si>
    <t>1363</t>
  </si>
  <si>
    <t>1399</t>
  </si>
  <si>
    <t>1621</t>
  </si>
  <si>
    <t>4233</t>
  </si>
  <si>
    <t>4480</t>
  </si>
  <si>
    <t>4696</t>
  </si>
  <si>
    <t>4850</t>
  </si>
  <si>
    <t>1948</t>
  </si>
  <si>
    <t>2053</t>
  </si>
  <si>
    <t>850</t>
  </si>
  <si>
    <t>915</t>
  </si>
  <si>
    <t>15012</t>
  </si>
  <si>
    <t>15568</t>
  </si>
  <si>
    <t>15970</t>
  </si>
  <si>
    <t>16500</t>
  </si>
  <si>
    <t>23267</t>
  </si>
  <si>
    <t>24109</t>
  </si>
  <si>
    <t>25761</t>
  </si>
  <si>
    <t>365</t>
  </si>
  <si>
    <t>12858</t>
  </si>
  <si>
    <t>13331</t>
  </si>
  <si>
    <t>13813</t>
  </si>
  <si>
    <t>14365</t>
  </si>
  <si>
    <t>1587</t>
  </si>
  <si>
    <t>1588</t>
  </si>
  <si>
    <t>939</t>
  </si>
  <si>
    <t>5142</t>
  </si>
  <si>
    <t>5379</t>
  </si>
  <si>
    <t>5597</t>
  </si>
  <si>
    <t>5949</t>
  </si>
  <si>
    <t>1150</t>
  </si>
  <si>
    <t>1164</t>
  </si>
  <si>
    <t>2016</t>
  </si>
  <si>
    <t>2030</t>
  </si>
  <si>
    <t>2047</t>
  </si>
  <si>
    <t>1369</t>
  </si>
  <si>
    <t>1437</t>
  </si>
  <si>
    <t>810</t>
  </si>
  <si>
    <t>837</t>
  </si>
  <si>
    <t>7352</t>
  </si>
  <si>
    <t>7404</t>
  </si>
  <si>
    <t>7445</t>
  </si>
  <si>
    <t>7504</t>
  </si>
  <si>
    <t>8445</t>
  </si>
  <si>
    <t>8575</t>
  </si>
  <si>
    <t>8698</t>
  </si>
  <si>
    <t>8851</t>
  </si>
  <si>
    <t>1023</t>
  </si>
  <si>
    <t>5926</t>
  </si>
  <si>
    <t>6135</t>
  </si>
  <si>
    <t>6293</t>
  </si>
  <si>
    <t>6416</t>
  </si>
  <si>
    <t>23240</t>
  </si>
  <si>
    <t>24258</t>
  </si>
  <si>
    <t>4319</t>
  </si>
  <si>
    <t>4534</t>
  </si>
  <si>
    <t>4782</t>
  </si>
  <si>
    <t>5042</t>
  </si>
  <si>
    <t>1635</t>
  </si>
  <si>
    <t>1643</t>
  </si>
  <si>
    <t>1660</t>
  </si>
  <si>
    <t>4475</t>
  </si>
  <si>
    <t>4576</t>
  </si>
  <si>
    <t>4740</t>
  </si>
  <si>
    <t>160292</t>
  </si>
  <si>
    <t>160847</t>
  </si>
  <si>
    <t>164589</t>
  </si>
  <si>
    <t>167605</t>
  </si>
  <si>
    <t>156513</t>
  </si>
  <si>
    <t>157770</t>
  </si>
  <si>
    <t>158758</t>
  </si>
  <si>
    <t>159912</t>
  </si>
  <si>
    <t>2517</t>
  </si>
  <si>
    <t>2566</t>
  </si>
  <si>
    <t>2500</t>
  </si>
  <si>
    <t>2583</t>
  </si>
  <si>
    <t>2649</t>
  </si>
  <si>
    <t>1792</t>
  </si>
  <si>
    <t>26283</t>
  </si>
  <si>
    <t>27890</t>
  </si>
  <si>
    <t>29451</t>
  </si>
  <si>
    <t>31324</t>
  </si>
  <si>
    <t>8607</t>
  </si>
  <si>
    <t>8882</t>
  </si>
  <si>
    <t>9096</t>
  </si>
  <si>
    <t>9511</t>
  </si>
  <si>
    <t>89328</t>
  </si>
  <si>
    <t>90481</t>
  </si>
  <si>
    <t>91472</t>
  </si>
  <si>
    <t>92584</t>
  </si>
  <si>
    <t>1820</t>
  </si>
  <si>
    <t>1847</t>
  </si>
  <si>
    <t>1928</t>
  </si>
  <si>
    <t>18561</t>
  </si>
  <si>
    <t>19262</t>
  </si>
  <si>
    <t>19648</t>
  </si>
  <si>
    <t>19877</t>
  </si>
  <si>
    <t>15298</t>
  </si>
  <si>
    <t>15443</t>
  </si>
  <si>
    <t>15555</t>
  </si>
  <si>
    <t>15728</t>
  </si>
  <si>
    <t>195351</t>
  </si>
  <si>
    <t>197675</t>
  </si>
  <si>
    <t>199414</t>
  </si>
  <si>
    <t>201505</t>
  </si>
  <si>
    <t>13231</t>
  </si>
  <si>
    <t>13441</t>
  </si>
  <si>
    <t>14153</t>
  </si>
  <si>
    <t>13736</t>
  </si>
  <si>
    <t>2601</t>
  </si>
  <si>
    <t>2717</t>
  </si>
  <si>
    <t>2835</t>
  </si>
  <si>
    <t>3027</t>
  </si>
  <si>
    <t>10728</t>
  </si>
  <si>
    <t>10738</t>
  </si>
  <si>
    <t>10752</t>
  </si>
  <si>
    <t>10761</t>
  </si>
  <si>
    <t>2892</t>
  </si>
  <si>
    <t>3075</t>
  </si>
  <si>
    <t>3288</t>
  </si>
  <si>
    <t>3440</t>
  </si>
  <si>
    <t>836</t>
  </si>
  <si>
    <t>1426</t>
  </si>
  <si>
    <t>1449</t>
  </si>
  <si>
    <t>3723</t>
  </si>
  <si>
    <t>3729</t>
  </si>
  <si>
    <t>3741</t>
  </si>
  <si>
    <t>5742</t>
  </si>
  <si>
    <t>5780</t>
  </si>
  <si>
    <t>5820</t>
  </si>
  <si>
    <t>5851</t>
  </si>
  <si>
    <t>10544</t>
  </si>
  <si>
    <t>12872</t>
  </si>
  <si>
    <t>13842</t>
  </si>
  <si>
    <t>14677</t>
  </si>
  <si>
    <t>15529</t>
  </si>
  <si>
    <t>16752</t>
  </si>
  <si>
    <t>3304</t>
  </si>
  <si>
    <t>3408</t>
  </si>
  <si>
    <t>3481</t>
  </si>
  <si>
    <t>3638</t>
  </si>
  <si>
    <t>3897</t>
  </si>
  <si>
    <t>4065</t>
  </si>
  <si>
    <t>4120</t>
  </si>
  <si>
    <t>37190</t>
  </si>
  <si>
    <t>37845</t>
  </si>
  <si>
    <t>38245</t>
  </si>
  <si>
    <t>38416</t>
  </si>
  <si>
    <t>1470</t>
  </si>
  <si>
    <t>1469</t>
  </si>
  <si>
    <t>1472</t>
  </si>
  <si>
    <t>1474</t>
  </si>
  <si>
    <t>1367</t>
  </si>
  <si>
    <t>7499</t>
  </si>
  <si>
    <t>7527</t>
  </si>
  <si>
    <t>7599</t>
  </si>
  <si>
    <t>7660</t>
  </si>
  <si>
    <t>1905</t>
  </si>
  <si>
    <t>2131</t>
  </si>
  <si>
    <t>12723</t>
  </si>
  <si>
    <t>13328</t>
  </si>
  <si>
    <t>13915</t>
  </si>
  <si>
    <t>14612</t>
  </si>
  <si>
    <t>5779</t>
  </si>
  <si>
    <t>6021</t>
  </si>
  <si>
    <t>25331</t>
  </si>
  <si>
    <t>27517</t>
  </si>
  <si>
    <t>28699</t>
  </si>
  <si>
    <t>31190</t>
  </si>
  <si>
    <t>7294</t>
  </si>
  <si>
    <t>7579</t>
  </si>
  <si>
    <t>7777</t>
  </si>
  <si>
    <t>7958</t>
  </si>
  <si>
    <t>11273</t>
  </si>
  <si>
    <t>11617</t>
  </si>
  <si>
    <t>11902</t>
  </si>
  <si>
    <t>12218</t>
  </si>
  <si>
    <t>23392</t>
  </si>
  <si>
    <t>23864</t>
  </si>
  <si>
    <t>24027</t>
  </si>
  <si>
    <t>24322</t>
  </si>
  <si>
    <t>9358</t>
  </si>
  <si>
    <t>10287</t>
  </si>
  <si>
    <t>11244</t>
  </si>
  <si>
    <t>11921</t>
  </si>
  <si>
    <t>11036</t>
  </si>
  <si>
    <t>11339</t>
  </si>
  <si>
    <t>11616</t>
  </si>
  <si>
    <t>74588</t>
  </si>
  <si>
    <t>80949</t>
  </si>
  <si>
    <t>87147</t>
  </si>
  <si>
    <t>93558</t>
  </si>
  <si>
    <t>16299</t>
  </si>
  <si>
    <t>17522</t>
  </si>
  <si>
    <t>18811</t>
  </si>
  <si>
    <t>20077</t>
  </si>
  <si>
    <t>614</t>
  </si>
  <si>
    <t>12693</t>
  </si>
  <si>
    <t>13624</t>
  </si>
  <si>
    <t>14423</t>
  </si>
  <si>
    <t>14951</t>
  </si>
  <si>
    <t>1379</t>
  </si>
  <si>
    <t>1381</t>
  </si>
  <si>
    <t>1384</t>
  </si>
  <si>
    <t>1396</t>
  </si>
  <si>
    <t>1408</t>
  </si>
  <si>
    <t>4361</t>
  </si>
  <si>
    <t>4546</t>
  </si>
  <si>
    <t>4793</t>
  </si>
  <si>
    <t>4996</t>
  </si>
  <si>
    <t>223759</t>
  </si>
  <si>
    <t>226629</t>
  </si>
  <si>
    <t>229422</t>
  </si>
  <si>
    <t>232128</t>
  </si>
  <si>
    <t>18177</t>
  </si>
  <si>
    <t>18640</t>
  </si>
  <si>
    <t>18926</t>
  </si>
  <si>
    <t>19621</t>
  </si>
  <si>
    <t>28894</t>
  </si>
  <si>
    <t>29061</t>
  </si>
  <si>
    <t>29164</t>
  </si>
  <si>
    <t>29264</t>
  </si>
  <si>
    <t>2931</t>
  </si>
  <si>
    <t>2938</t>
  </si>
  <si>
    <t>107773</t>
  </si>
  <si>
    <t>110130</t>
  </si>
  <si>
    <t>112261</t>
  </si>
  <si>
    <t>114653</t>
  </si>
  <si>
    <t>7647</t>
  </si>
  <si>
    <t>8617</t>
  </si>
  <si>
    <t>9009</t>
  </si>
  <si>
    <t>9410</t>
  </si>
  <si>
    <t>9813</t>
  </si>
  <si>
    <t>10349</t>
  </si>
  <si>
    <t>10839</t>
  </si>
  <si>
    <t>11380</t>
  </si>
  <si>
    <t>148377</t>
  </si>
  <si>
    <t>152840</t>
  </si>
  <si>
    <t>157149</t>
  </si>
  <si>
    <t>161145</t>
  </si>
  <si>
    <t>938154</t>
  </si>
  <si>
    <t>965785</t>
  </si>
  <si>
    <t>988197</t>
  </si>
  <si>
    <t>1012582</t>
  </si>
  <si>
    <t>1869</t>
  </si>
  <si>
    <t>1904</t>
  </si>
  <si>
    <t>Spain cum. Cases</t>
  </si>
  <si>
    <t>Spain daily cases</t>
  </si>
  <si>
    <t>Spain cumul. Cases</t>
  </si>
  <si>
    <t>Spain cumul. Fit</t>
  </si>
  <si>
    <t>Spain daily cases fit</t>
  </si>
  <si>
    <t>Spain daily cases fit (Norm.)</t>
  </si>
  <si>
    <t>Spain cases acceleration</t>
  </si>
  <si>
    <t>Spain cum. Cases fit (Norm.)</t>
  </si>
  <si>
    <t>Spain fitted velocity</t>
  </si>
  <si>
    <t>Spain fitted g.r.</t>
  </si>
  <si>
    <t>Spain fitted d.t. (Norm. To val. at lockdown)</t>
  </si>
  <si>
    <t>Spain fitted g.r. (Norm. To val. at lockdown)</t>
  </si>
  <si>
    <t>Spain fitted h.t.</t>
  </si>
  <si>
    <t>Spain fitted h.t. (Norm. To val. at lockdown)</t>
  </si>
  <si>
    <t>Spain fitted d.t.</t>
  </si>
  <si>
    <t>Spain acc. fit</t>
  </si>
  <si>
    <t>Spain acc. Fit (Norm. To val. at lockdown)</t>
  </si>
  <si>
    <t>Spain acc. fit (Norm.)</t>
  </si>
  <si>
    <t>Spain cum. fit</t>
  </si>
  <si>
    <t>Spain cum. fit (Norm:)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</si>
</sst>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[$-409]mmmm\ d\,\ yyyy;@"/>
    <numFmt numFmtId="166" formatCode="0.000000000"/>
    <numFmt numFmtId="167" formatCode="0.000000000000"/>
    <numFmt numFmtId="168" formatCode="0.000000000000000"/>
    <numFmt numFmtId="169" formatCode="#,##0.000000000000000"/>
    <numFmt numFmtId="170" formatCode="[$-409]d\-mmm;@"/>
  </numFmts>
  <fonts count="5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3"/>
      <name val="Calibri"/>
      <family val="2"/>
      <scheme val="minor"/>
    </font>
    <font>
      <vertAlign val="superscript"/>
      <sz val="11"/>
      <color theme="3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rgb="FF00B05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1"/>
      <color theme="3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name val="Calibri"/>
      <family val="2"/>
    </font>
    <font>
      <vertAlign val="superscript"/>
      <sz val="1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trike/>
      <sz val="11"/>
      <name val="Calibri"/>
      <family val="2"/>
      <scheme val="minor"/>
    </font>
    <font>
      <i/>
      <strike/>
      <sz val="11"/>
      <name val="Calibri"/>
      <family val="2"/>
    </font>
    <font>
      <strike/>
      <sz val="11"/>
      <name val="Calibri"/>
      <family val="2"/>
      <scheme val="minor"/>
    </font>
    <font>
      <strike/>
      <vertAlign val="superscript"/>
      <sz val="11"/>
      <name val="Calibri"/>
      <family val="2"/>
      <scheme val="minor"/>
    </font>
    <font>
      <b/>
      <strike/>
      <sz val="11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i/>
      <strike/>
      <sz val="11"/>
      <color theme="1"/>
      <name val="Calibri"/>
      <family val="2"/>
    </font>
    <font>
      <strike/>
      <sz val="11"/>
      <color theme="1"/>
      <name val="Calibri"/>
      <family val="2"/>
      <scheme val="minor"/>
    </font>
    <font>
      <strike/>
      <vertAlign val="superscript"/>
      <sz val="11"/>
      <color theme="1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i/>
      <strike/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00B050"/>
      <name val="Calibri"/>
      <family val="2"/>
      <scheme val="minor"/>
    </font>
    <font>
      <i/>
      <strike/>
      <sz val="11"/>
      <color rgb="FF00B050"/>
      <name val="Calibri"/>
      <family val="2"/>
      <scheme val="minor"/>
    </font>
    <font>
      <strike/>
      <sz val="11"/>
      <color rgb="FF00B050"/>
      <name val="Calibri"/>
      <family val="2"/>
      <scheme val="minor"/>
    </font>
    <font>
      <b/>
      <strike/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color indexed="81"/>
      <name val="Tahoma"/>
      <family val="2"/>
    </font>
  </fonts>
  <fills count="2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gray0625"/>
    </fill>
    <fill>
      <patternFill patternType="solid">
        <fgColor theme="5" tint="0.79998168889431442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92D050"/>
        <bgColor indexed="64"/>
      </patternFill>
    </fill>
    <fill>
      <patternFill patternType="gray0625">
        <bgColor rgb="FF92D050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65"/>
        <bgColor indexed="64"/>
      </patternFill>
    </fill>
    <fill>
      <patternFill patternType="gray125">
        <bgColor rgb="FFF2F2F2"/>
      </patternFill>
    </fill>
    <fill>
      <patternFill patternType="gray125">
        <bgColor rgb="FFFFC000"/>
      </patternFill>
    </fill>
    <fill>
      <patternFill patternType="solid">
        <fgColor theme="4" tint="0.39997558519241921"/>
        <bgColor indexed="64"/>
      </patternFill>
    </fill>
    <fill>
      <patternFill patternType="gray0625">
        <bgColor theme="4" tint="0.39997558519241921"/>
      </patternFill>
    </fill>
    <fill>
      <patternFill patternType="solid">
        <fgColor rgb="FF00B0F0"/>
        <bgColor indexed="64"/>
      </patternFill>
    </fill>
    <fill>
      <patternFill patternType="gray0625">
        <bgColor rgb="FF00B0F0"/>
      </patternFill>
    </fill>
    <fill>
      <patternFill patternType="solid">
        <fgColor theme="7"/>
        <bgColor indexed="64"/>
      </patternFill>
    </fill>
    <fill>
      <patternFill patternType="gray0625">
        <bgColor theme="7"/>
      </patternFill>
    </fill>
    <fill>
      <patternFill patternType="darkGrid"/>
    </fill>
    <fill>
      <patternFill patternType="darkGrid">
        <bgColor rgb="FFFFC000"/>
      </patternFill>
    </fill>
  </fills>
  <borders count="2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medium">
        <color theme="4" tint="0.39997558519241921"/>
      </top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ck">
        <color theme="4" tint="0.499984740745262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ck">
        <color theme="4"/>
      </top>
      <bottom style="thick">
        <color theme="4" tint="0.499984740745262"/>
      </bottom>
      <diagonal/>
    </border>
    <border>
      <left/>
      <right style="thin">
        <color rgb="FF3F3F3F"/>
      </right>
      <top/>
      <bottom/>
      <diagonal/>
    </border>
    <border>
      <left style="thin">
        <color rgb="FF3F3F3F"/>
      </left>
      <right/>
      <top/>
      <bottom/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2">
    <xf numFmtId="0" fontId="0" fillId="0" borderId="0"/>
    <xf numFmtId="0" fontId="5" fillId="3" borderId="1" applyNumberFormat="0" applyFont="0" applyAlignment="0" applyProtection="0"/>
    <xf numFmtId="0" fontId="10" fillId="0" borderId="0" applyNumberFormat="0" applyFill="0" applyBorder="0" applyAlignment="0" applyProtection="0"/>
    <xf numFmtId="0" fontId="11" fillId="0" borderId="8" applyNumberFormat="0" applyFill="0" applyAlignment="0" applyProtection="0"/>
    <xf numFmtId="0" fontId="12" fillId="0" borderId="9" applyNumberFormat="0" applyFill="0" applyAlignment="0" applyProtection="0"/>
    <xf numFmtId="0" fontId="13" fillId="0" borderId="10" applyNumberFormat="0" applyFill="0" applyAlignment="0" applyProtection="0"/>
    <xf numFmtId="0" fontId="14" fillId="4" borderId="0" applyNumberFormat="0" applyBorder="0" applyAlignment="0" applyProtection="0"/>
    <xf numFmtId="0" fontId="5" fillId="6" borderId="0" applyNumberFormat="0" applyBorder="0" applyAlignment="0" applyProtection="0"/>
    <xf numFmtId="0" fontId="5" fillId="10" borderId="0" applyNumberFormat="0" applyBorder="0" applyAlignment="0" applyProtection="0"/>
    <xf numFmtId="0" fontId="31" fillId="12" borderId="16" applyNumberFormat="0" applyAlignment="0" applyProtection="0"/>
    <xf numFmtId="0" fontId="5" fillId="15" borderId="0" applyNumberFormat="0" applyBorder="0" applyAlignment="0" applyProtection="0"/>
    <xf numFmtId="9" fontId="5" fillId="0" borderId="0" applyFont="0" applyFill="0" applyBorder="0" applyAlignment="0" applyProtection="0"/>
  </cellStyleXfs>
  <cellXfs count="326"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wrapText="1"/>
    </xf>
    <xf numFmtId="1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0" fillId="0" borderId="0" xfId="0" applyNumberFormat="1"/>
    <xf numFmtId="0" fontId="3" fillId="0" borderId="0" xfId="0" applyFont="1" applyAlignment="1">
      <alignment horizontal="left" vertical="center"/>
    </xf>
    <xf numFmtId="0" fontId="6" fillId="2" borderId="0" xfId="0" applyFont="1" applyFill="1"/>
    <xf numFmtId="16" fontId="0" fillId="3" borderId="1" xfId="1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center" wrapText="1"/>
    </xf>
    <xf numFmtId="0" fontId="9" fillId="0" borderId="0" xfId="0" applyFont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wrapText="1"/>
    </xf>
    <xf numFmtId="1" fontId="0" fillId="0" borderId="0" xfId="0" applyNumberFormat="1" applyAlignment="1">
      <alignment horizontal="center" wrapText="1"/>
    </xf>
    <xf numFmtId="0" fontId="16" fillId="2" borderId="0" xfId="0" applyFont="1" applyFill="1"/>
    <xf numFmtId="1" fontId="15" fillId="2" borderId="0" xfId="0" applyNumberFormat="1" applyFont="1" applyFill="1"/>
    <xf numFmtId="0" fontId="15" fillId="0" borderId="0" xfId="0" applyFont="1"/>
    <xf numFmtId="1" fontId="15" fillId="0" borderId="0" xfId="0" applyNumberFormat="1" applyFont="1"/>
    <xf numFmtId="2" fontId="15" fillId="0" borderId="0" xfId="0" applyNumberFormat="1" applyFont="1"/>
    <xf numFmtId="164" fontId="15" fillId="0" borderId="0" xfId="0" applyNumberFormat="1" applyFont="1"/>
    <xf numFmtId="0" fontId="1" fillId="0" borderId="0" xfId="0" applyFont="1" applyAlignment="1">
      <alignment horizontal="center"/>
    </xf>
    <xf numFmtId="2" fontId="0" fillId="2" borderId="0" xfId="0" applyNumberFormat="1" applyFill="1"/>
    <xf numFmtId="0" fontId="18" fillId="0" borderId="0" xfId="0" applyFont="1" applyAlignment="1">
      <alignment horizontal="center"/>
    </xf>
    <xf numFmtId="0" fontId="18" fillId="0" borderId="0" xfId="0" applyFont="1"/>
    <xf numFmtId="1" fontId="14" fillId="4" borderId="0" xfId="6" applyNumberFormat="1" applyAlignment="1">
      <alignment horizontal="center"/>
    </xf>
    <xf numFmtId="165" fontId="9" fillId="0" borderId="0" xfId="0" applyNumberFormat="1" applyFont="1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9" fillId="0" borderId="0" xfId="0" applyFont="1"/>
    <xf numFmtId="165" fontId="19" fillId="0" borderId="0" xfId="0" applyNumberFormat="1" applyFont="1"/>
    <xf numFmtId="0" fontId="8" fillId="0" borderId="0" xfId="0" applyFont="1" applyAlignment="1">
      <alignment horizontal="center" wrapText="1"/>
    </xf>
    <xf numFmtId="0" fontId="0" fillId="0" borderId="2" xfId="0" applyFill="1" applyBorder="1" applyAlignment="1">
      <alignment wrapText="1"/>
    </xf>
    <xf numFmtId="164" fontId="1" fillId="0" borderId="3" xfId="0" applyNumberFormat="1" applyFont="1" applyFill="1" applyBorder="1"/>
    <xf numFmtId="0" fontId="1" fillId="0" borderId="3" xfId="0" applyFont="1" applyFill="1" applyBorder="1"/>
    <xf numFmtId="0" fontId="1" fillId="0" borderId="5" xfId="0" applyFont="1" applyFill="1" applyBorder="1"/>
    <xf numFmtId="0" fontId="0" fillId="0" borderId="6" xfId="0" applyFill="1" applyBorder="1"/>
    <xf numFmtId="0" fontId="0" fillId="0" borderId="3" xfId="0" applyFill="1" applyBorder="1"/>
    <xf numFmtId="0" fontId="0" fillId="0" borderId="4" xfId="0" applyFill="1" applyBorder="1"/>
    <xf numFmtId="164" fontId="18" fillId="0" borderId="3" xfId="0" applyNumberFormat="1" applyFont="1" applyFill="1" applyBorder="1"/>
    <xf numFmtId="0" fontId="18" fillId="0" borderId="3" xfId="0" applyFont="1" applyFill="1" applyBorder="1"/>
    <xf numFmtId="0" fontId="18" fillId="0" borderId="5" xfId="0" applyFont="1" applyFill="1" applyBorder="1"/>
    <xf numFmtId="164" fontId="7" fillId="0" borderId="3" xfId="0" applyNumberFormat="1" applyFont="1" applyFill="1" applyBorder="1"/>
    <xf numFmtId="0" fontId="7" fillId="0" borderId="3" xfId="0" applyFont="1" applyFill="1" applyBorder="1"/>
    <xf numFmtId="0" fontId="7" fillId="0" borderId="7" xfId="0" applyFont="1" applyFill="1" applyBorder="1"/>
    <xf numFmtId="164" fontId="7" fillId="0" borderId="3" xfId="0" applyNumberFormat="1" applyFont="1" applyFill="1" applyBorder="1" applyAlignment="1">
      <alignment horizontal="center" vertical="center" textRotation="255" wrapText="1"/>
    </xf>
    <xf numFmtId="0" fontId="0" fillId="5" borderId="2" xfId="0" applyFill="1" applyBorder="1" applyAlignment="1">
      <alignment wrapText="1"/>
    </xf>
    <xf numFmtId="164" fontId="1" fillId="5" borderId="3" xfId="0" applyNumberFormat="1" applyFont="1" applyFill="1" applyBorder="1"/>
    <xf numFmtId="0" fontId="1" fillId="5" borderId="3" xfId="0" applyFont="1" applyFill="1" applyBorder="1"/>
    <xf numFmtId="0" fontId="1" fillId="5" borderId="5" xfId="0" applyFont="1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4" xfId="0" applyFill="1" applyBorder="1"/>
    <xf numFmtId="164" fontId="18" fillId="5" borderId="3" xfId="0" applyNumberFormat="1" applyFont="1" applyFill="1" applyBorder="1"/>
    <xf numFmtId="0" fontId="18" fillId="5" borderId="3" xfId="0" applyFont="1" applyFill="1" applyBorder="1"/>
    <xf numFmtId="164" fontId="0" fillId="5" borderId="12" xfId="0" applyNumberFormat="1" applyFill="1" applyBorder="1"/>
    <xf numFmtId="164" fontId="7" fillId="5" borderId="3" xfId="0" applyNumberFormat="1" applyFont="1" applyFill="1" applyBorder="1"/>
    <xf numFmtId="0" fontId="7" fillId="5" borderId="3" xfId="0" applyFont="1" applyFill="1" applyBorder="1"/>
    <xf numFmtId="0" fontId="7" fillId="5" borderId="7" xfId="0" applyFont="1" applyFill="1" applyBorder="1"/>
    <xf numFmtId="0" fontId="13" fillId="0" borderId="10" xfId="5" applyAlignment="1">
      <alignment horizontal="left" vertical="center"/>
    </xf>
    <xf numFmtId="0" fontId="0" fillId="0" borderId="6" xfId="0" applyBorder="1"/>
    <xf numFmtId="164" fontId="7" fillId="0" borderId="7" xfId="0" applyNumberFormat="1" applyFont="1" applyFill="1" applyBorder="1" applyAlignment="1">
      <alignment horizontal="center" vertical="center" textRotation="255" wrapText="1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3" fillId="0" borderId="10" xfId="5" applyAlignment="1">
      <alignment horizontal="left" vertical="center"/>
    </xf>
    <xf numFmtId="0" fontId="5" fillId="6" borderId="0" xfId="7" applyAlignment="1">
      <alignment horizontal="center"/>
    </xf>
    <xf numFmtId="0" fontId="5" fillId="6" borderId="0" xfId="7"/>
    <xf numFmtId="0" fontId="0" fillId="0" borderId="0" xfId="0"/>
    <xf numFmtId="0" fontId="20" fillId="2" borderId="0" xfId="0" applyFont="1" applyFill="1"/>
    <xf numFmtId="0" fontId="22" fillId="2" borderId="0" xfId="0" applyFont="1" applyFill="1"/>
    <xf numFmtId="0" fontId="8" fillId="0" borderId="0" xfId="0" applyFont="1"/>
    <xf numFmtId="1" fontId="7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1" fillId="0" borderId="0" xfId="0" applyFont="1"/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7" fillId="0" borderId="0" xfId="0" applyFont="1"/>
    <xf numFmtId="166" fontId="1" fillId="0" borderId="0" xfId="0" applyNumberFormat="1" applyFont="1"/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 applyNumberFormat="1" applyAlignment="1">
      <alignment horizontal="center"/>
    </xf>
    <xf numFmtId="0" fontId="19" fillId="0" borderId="0" xfId="0" applyNumberFormat="1" applyFont="1"/>
    <xf numFmtId="0" fontId="8" fillId="0" borderId="0" xfId="0" applyNumberFormat="1" applyFont="1"/>
    <xf numFmtId="0" fontId="9" fillId="0" borderId="0" xfId="0" applyNumberFormat="1" applyFont="1"/>
    <xf numFmtId="165" fontId="8" fillId="0" borderId="0" xfId="0" applyNumberFormat="1" applyFont="1"/>
    <xf numFmtId="0" fontId="0" fillId="5" borderId="0" xfId="0" applyNumberFormat="1" applyFill="1" applyAlignment="1">
      <alignment horizontal="center"/>
    </xf>
    <xf numFmtId="0" fontId="24" fillId="5" borderId="0" xfId="0" applyFont="1" applyFill="1" applyAlignment="1">
      <alignment horizontal="center" wrapText="1"/>
    </xf>
    <xf numFmtId="0" fontId="0" fillId="0" borderId="0" xfId="0"/>
    <xf numFmtId="169" fontId="0" fillId="0" borderId="0" xfId="0" applyNumberFormat="1"/>
    <xf numFmtId="0" fontId="7" fillId="0" borderId="0" xfId="0" applyNumberFormat="1" applyFont="1"/>
    <xf numFmtId="0" fontId="13" fillId="0" borderId="10" xfId="5" applyAlignment="1">
      <alignment horizontal="left" vertical="center"/>
    </xf>
    <xf numFmtId="0" fontId="26" fillId="2" borderId="0" xfId="0" applyFont="1" applyFill="1"/>
    <xf numFmtId="0" fontId="0" fillId="0" borderId="0" xfId="0"/>
    <xf numFmtId="1" fontId="8" fillId="0" borderId="0" xfId="0" applyNumberFormat="1" applyFont="1"/>
    <xf numFmtId="1" fontId="19" fillId="0" borderId="0" xfId="0" applyNumberFormat="1" applyFont="1"/>
    <xf numFmtId="1" fontId="9" fillId="0" borderId="0" xfId="0" applyNumberFormat="1" applyFont="1"/>
    <xf numFmtId="0" fontId="27" fillId="0" borderId="0" xfId="0" applyFont="1" applyAlignment="1">
      <alignment horizontal="center" wrapText="1"/>
    </xf>
    <xf numFmtId="0" fontId="24" fillId="0" borderId="0" xfId="0" applyFont="1" applyAlignment="1">
      <alignment wrapText="1"/>
    </xf>
    <xf numFmtId="0" fontId="28" fillId="2" borderId="0" xfId="0" applyFont="1" applyFill="1"/>
    <xf numFmtId="1" fontId="24" fillId="2" borderId="0" xfId="0" applyNumberFormat="1" applyFont="1" applyFill="1"/>
    <xf numFmtId="0" fontId="29" fillId="2" borderId="0" xfId="0" applyFont="1" applyFill="1"/>
    <xf numFmtId="2" fontId="24" fillId="2" borderId="0" xfId="0" applyNumberFormat="1" applyFont="1" applyFill="1"/>
    <xf numFmtId="0" fontId="24" fillId="0" borderId="0" xfId="0" applyFont="1"/>
    <xf numFmtId="2" fontId="24" fillId="0" borderId="0" xfId="0" applyNumberFormat="1" applyFont="1"/>
    <xf numFmtId="1" fontId="24" fillId="0" borderId="0" xfId="0" applyNumberFormat="1" applyFont="1"/>
    <xf numFmtId="164" fontId="24" fillId="0" borderId="0" xfId="0" applyNumberFormat="1" applyFont="1"/>
    <xf numFmtId="0" fontId="27" fillId="0" borderId="0" xfId="0" applyFont="1"/>
    <xf numFmtId="1" fontId="27" fillId="0" borderId="0" xfId="0" applyNumberFormat="1" applyFont="1"/>
    <xf numFmtId="165" fontId="27" fillId="0" borderId="0" xfId="0" applyNumberFormat="1" applyFont="1"/>
    <xf numFmtId="0" fontId="0" fillId="0" borderId="0" xfId="0"/>
    <xf numFmtId="0" fontId="11" fillId="0" borderId="8" xfId="3"/>
    <xf numFmtId="0" fontId="12" fillId="0" borderId="9" xfId="4"/>
    <xf numFmtId="0" fontId="13" fillId="0" borderId="10" xfId="5" applyAlignment="1">
      <alignment horizontal="left" vertical="center"/>
    </xf>
    <xf numFmtId="0" fontId="0" fillId="8" borderId="0" xfId="0" applyNumberFormat="1" applyFill="1" applyAlignment="1">
      <alignment horizontal="center" wrapText="1"/>
    </xf>
    <xf numFmtId="0" fontId="0" fillId="9" borderId="0" xfId="0" applyNumberFormat="1" applyFill="1" applyAlignment="1">
      <alignment horizontal="center" wrapText="1"/>
    </xf>
    <xf numFmtId="0" fontId="0" fillId="7" borderId="0" xfId="0" applyNumberFormat="1" applyFill="1" applyAlignment="1">
      <alignment horizontal="center" wrapText="1"/>
    </xf>
    <xf numFmtId="14" fontId="3" fillId="11" borderId="0" xfId="0" applyNumberFormat="1" applyFont="1" applyFill="1"/>
    <xf numFmtId="0" fontId="3" fillId="11" borderId="0" xfId="0" applyFont="1" applyFill="1" applyAlignment="1">
      <alignment horizontal="center"/>
    </xf>
    <xf numFmtId="0" fontId="7" fillId="5" borderId="15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8" fillId="5" borderId="14" xfId="0" applyFont="1" applyFill="1" applyBorder="1" applyAlignment="1">
      <alignment horizontal="center"/>
    </xf>
    <xf numFmtId="0" fontId="18" fillId="5" borderId="15" xfId="0" applyFont="1" applyFill="1" applyBorder="1" applyAlignment="1">
      <alignment horizontal="center"/>
    </xf>
    <xf numFmtId="14" fontId="31" fillId="12" borderId="16" xfId="9" applyNumberFormat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1" fillId="12" borderId="20" xfId="9" applyNumberFormat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0" fillId="5" borderId="0" xfId="0" applyFill="1"/>
    <xf numFmtId="0" fontId="24" fillId="5" borderId="0" xfId="0" applyFont="1" applyFill="1" applyAlignment="1">
      <alignment horizontal="center"/>
    </xf>
    <xf numFmtId="0" fontId="0" fillId="5" borderId="12" xfId="0" applyFill="1" applyBorder="1"/>
    <xf numFmtId="0" fontId="0" fillId="5" borderId="7" xfId="0" applyFill="1" applyBorder="1"/>
    <xf numFmtId="0" fontId="0" fillId="13" borderId="0" xfId="0" applyFill="1" applyAlignment="1">
      <alignment horizontal="center"/>
    </xf>
    <xf numFmtId="0" fontId="0" fillId="13" borderId="0" xfId="0" applyNumberFormat="1" applyFill="1" applyAlignment="1">
      <alignment horizontal="center"/>
    </xf>
    <xf numFmtId="0" fontId="0" fillId="14" borderId="0" xfId="0" applyNumberFormat="1" applyFill="1" applyAlignment="1">
      <alignment horizontal="center"/>
    </xf>
    <xf numFmtId="1" fontId="0" fillId="13" borderId="0" xfId="0" applyNumberFormat="1" applyFill="1" applyAlignment="1">
      <alignment horizontal="center"/>
    </xf>
    <xf numFmtId="0" fontId="0" fillId="0" borderId="0" xfId="0"/>
    <xf numFmtId="0" fontId="0" fillId="7" borderId="0" xfId="0" applyNumberFormat="1" applyFill="1" applyAlignment="1">
      <alignment horizontal="center"/>
    </xf>
    <xf numFmtId="1" fontId="0" fillId="7" borderId="0" xfId="0" applyNumberFormat="1" applyFill="1" applyAlignment="1">
      <alignment horizontal="center"/>
    </xf>
    <xf numFmtId="16" fontId="5" fillId="15" borderId="0" xfId="10" applyNumberFormat="1" applyAlignment="1">
      <alignment horizontal="center"/>
    </xf>
    <xf numFmtId="16" fontId="14" fillId="4" borderId="0" xfId="6" applyNumberFormat="1" applyAlignment="1">
      <alignment horizontal="center"/>
    </xf>
    <xf numFmtId="0" fontId="1" fillId="2" borderId="0" xfId="0" applyNumberFormat="1" applyFont="1" applyFill="1"/>
    <xf numFmtId="0" fontId="18" fillId="2" borderId="0" xfId="0" applyNumberFormat="1" applyFont="1" applyFill="1"/>
    <xf numFmtId="0" fontId="7" fillId="2" borderId="0" xfId="0" applyNumberFormat="1" applyFont="1" applyFill="1"/>
    <xf numFmtId="0" fontId="5" fillId="11" borderId="0" xfId="7" applyFill="1" applyAlignment="1">
      <alignment horizontal="center"/>
    </xf>
    <xf numFmtId="0" fontId="0" fillId="0" borderId="0" xfId="0"/>
    <xf numFmtId="1" fontId="0" fillId="11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/>
    </xf>
    <xf numFmtId="0" fontId="24" fillId="5" borderId="0" xfId="0" applyNumberFormat="1" applyFont="1" applyFill="1" applyAlignment="1">
      <alignment horizontal="center"/>
    </xf>
    <xf numFmtId="0" fontId="14" fillId="4" borderId="0" xfId="6" applyNumberFormat="1" applyAlignment="1">
      <alignment horizontal="center"/>
    </xf>
    <xf numFmtId="1" fontId="0" fillId="5" borderId="0" xfId="0" applyNumberFormat="1" applyFill="1" applyAlignment="1">
      <alignment horizontal="center" wrapText="1"/>
    </xf>
    <xf numFmtId="0" fontId="0" fillId="16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 wrapText="1"/>
    </xf>
    <xf numFmtId="0" fontId="0" fillId="1" borderId="0" xfId="0" applyFill="1"/>
    <xf numFmtId="14" fontId="31" fillId="17" borderId="20" xfId="9" applyNumberFormat="1" applyFill="1" applyBorder="1" applyAlignment="1">
      <alignment horizontal="center"/>
    </xf>
    <xf numFmtId="0" fontId="32" fillId="1" borderId="0" xfId="0" applyFont="1" applyFill="1" applyBorder="1" applyAlignment="1">
      <alignment horizontal="center"/>
    </xf>
    <xf numFmtId="0" fontId="1" fillId="1" borderId="14" xfId="0" applyFont="1" applyFill="1" applyBorder="1" applyAlignment="1">
      <alignment horizontal="center"/>
    </xf>
    <xf numFmtId="0" fontId="1" fillId="1" borderId="15" xfId="0" applyFont="1" applyFill="1" applyBorder="1" applyAlignment="1">
      <alignment horizontal="center"/>
    </xf>
    <xf numFmtId="0" fontId="3" fillId="18" borderId="0" xfId="0" applyNumberFormat="1" applyFont="1" applyFill="1" applyAlignment="1">
      <alignment horizontal="center"/>
    </xf>
    <xf numFmtId="0" fontId="32" fillId="1" borderId="0" xfId="0" applyFont="1" applyFill="1" applyAlignment="1">
      <alignment horizontal="center"/>
    </xf>
    <xf numFmtId="0" fontId="18" fillId="1" borderId="14" xfId="0" applyFont="1" applyFill="1" applyBorder="1" applyAlignment="1">
      <alignment horizontal="center"/>
    </xf>
    <xf numFmtId="0" fontId="18" fillId="1" borderId="15" xfId="0" applyFont="1" applyFill="1" applyBorder="1" applyAlignment="1">
      <alignment horizontal="center"/>
    </xf>
    <xf numFmtId="0" fontId="34" fillId="13" borderId="0" xfId="0" applyNumberFormat="1" applyFont="1" applyFill="1" applyAlignment="1">
      <alignment horizontal="center"/>
    </xf>
    <xf numFmtId="0" fontId="0" fillId="0" borderId="0" xfId="0"/>
    <xf numFmtId="16" fontId="0" fillId="21" borderId="0" xfId="0" applyNumberFormat="1" applyFill="1" applyAlignment="1">
      <alignment horizontal="center"/>
    </xf>
    <xf numFmtId="0" fontId="0" fillId="21" borderId="0" xfId="0" applyFill="1" applyAlignment="1">
      <alignment horizontal="center"/>
    </xf>
    <xf numFmtId="0" fontId="0" fillId="21" borderId="0" xfId="0" applyNumberFormat="1" applyFill="1" applyAlignment="1">
      <alignment horizontal="center"/>
    </xf>
    <xf numFmtId="0" fontId="0" fillId="22" borderId="0" xfId="0" applyNumberFormat="1" applyFill="1" applyAlignment="1">
      <alignment horizontal="center"/>
    </xf>
    <xf numFmtId="0" fontId="34" fillId="21" borderId="0" xfId="0" applyNumberFormat="1" applyFont="1" applyFill="1" applyAlignment="1">
      <alignment horizontal="center"/>
    </xf>
    <xf numFmtId="1" fontId="0" fillId="21" borderId="0" xfId="0" applyNumberFormat="1" applyFill="1" applyAlignment="1">
      <alignment horizontal="center"/>
    </xf>
    <xf numFmtId="16" fontId="0" fillId="23" borderId="0" xfId="0" applyNumberFormat="1" applyFill="1" applyAlignment="1">
      <alignment horizontal="center"/>
    </xf>
    <xf numFmtId="0" fontId="0" fillId="23" borderId="0" xfId="0" applyFill="1" applyAlignment="1">
      <alignment horizontal="center"/>
    </xf>
    <xf numFmtId="0" fontId="0" fillId="23" borderId="0" xfId="0" applyNumberFormat="1" applyFill="1" applyAlignment="1">
      <alignment horizontal="center"/>
    </xf>
    <xf numFmtId="0" fontId="0" fillId="24" borderId="0" xfId="0" applyNumberFormat="1" applyFill="1" applyAlignment="1">
      <alignment horizontal="center"/>
    </xf>
    <xf numFmtId="0" fontId="34" fillId="23" borderId="0" xfId="0" applyNumberFormat="1" applyFont="1" applyFill="1" applyAlignment="1">
      <alignment horizontal="center"/>
    </xf>
    <xf numFmtId="1" fontId="0" fillId="23" borderId="0" xfId="0" applyNumberFormat="1" applyFill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35" fillId="0" borderId="21" xfId="0" applyFont="1" applyBorder="1" applyAlignment="1">
      <alignment horizontal="center"/>
    </xf>
    <xf numFmtId="0" fontId="1" fillId="1" borderId="23" xfId="0" applyFont="1" applyFill="1" applyBorder="1" applyAlignment="1">
      <alignment horizontal="center"/>
    </xf>
    <xf numFmtId="0" fontId="18" fillId="1" borderId="23" xfId="0" applyFont="1" applyFill="1" applyBorder="1" applyAlignment="1">
      <alignment horizontal="center"/>
    </xf>
    <xf numFmtId="0" fontId="1" fillId="13" borderId="0" xfId="0" applyFont="1" applyFill="1" applyAlignment="1">
      <alignment horizontal="center"/>
    </xf>
    <xf numFmtId="0" fontId="1" fillId="0" borderId="23" xfId="0" applyFont="1" applyBorder="1" applyAlignment="1">
      <alignment horizontal="center"/>
    </xf>
    <xf numFmtId="1" fontId="0" fillId="0" borderId="23" xfId="0" applyNumberFormat="1" applyBorder="1" applyAlignment="1">
      <alignment horizontal="center"/>
    </xf>
    <xf numFmtId="0" fontId="0" fillId="0" borderId="23" xfId="0" applyNumberFormat="1" applyBorder="1" applyAlignment="1">
      <alignment horizontal="center"/>
    </xf>
    <xf numFmtId="0" fontId="0" fillId="5" borderId="23" xfId="0" applyNumberFormat="1" applyFill="1" applyBorder="1" applyAlignment="1">
      <alignment horizontal="center"/>
    </xf>
    <xf numFmtId="0" fontId="24" fillId="5" borderId="23" xfId="0" applyNumberFormat="1" applyFont="1" applyFill="1" applyBorder="1" applyAlignment="1">
      <alignment horizontal="center"/>
    </xf>
    <xf numFmtId="0" fontId="0" fillId="16" borderId="23" xfId="0" applyNumberFormat="1" applyFill="1" applyBorder="1" applyAlignment="1">
      <alignment horizontal="center"/>
    </xf>
    <xf numFmtId="0" fontId="0" fillId="0" borderId="23" xfId="0" applyBorder="1" applyAlignment="1">
      <alignment horizontal="center"/>
    </xf>
    <xf numFmtId="1" fontId="14" fillId="4" borderId="23" xfId="6" applyNumberFormat="1" applyBorder="1" applyAlignment="1">
      <alignment horizontal="center"/>
    </xf>
    <xf numFmtId="0" fontId="0" fillId="5" borderId="24" xfId="0" applyNumberFormat="1" applyFill="1" applyBorder="1" applyAlignment="1">
      <alignment horizontal="center"/>
    </xf>
    <xf numFmtId="9" fontId="24" fillId="5" borderId="0" xfId="11" applyFont="1" applyFill="1" applyAlignment="1">
      <alignment horizontal="center"/>
    </xf>
    <xf numFmtId="9" fontId="24" fillId="5" borderId="23" xfId="11" applyFont="1" applyFill="1" applyBorder="1" applyAlignment="1">
      <alignment horizontal="center"/>
    </xf>
    <xf numFmtId="9" fontId="0" fillId="5" borderId="23" xfId="11" applyFont="1" applyFill="1" applyBorder="1" applyAlignment="1">
      <alignment horizontal="center"/>
    </xf>
    <xf numFmtId="9" fontId="0" fillId="5" borderId="0" xfId="11" applyFont="1" applyFill="1" applyAlignment="1">
      <alignment horizontal="center"/>
    </xf>
    <xf numFmtId="9" fontId="0" fillId="14" borderId="0" xfId="11" applyFont="1" applyFill="1" applyAlignment="1">
      <alignment horizontal="center"/>
    </xf>
    <xf numFmtId="0" fontId="24" fillId="5" borderId="0" xfId="0" applyNumberFormat="1" applyFont="1" applyFill="1" applyAlignment="1">
      <alignment horizontal="center" wrapText="1"/>
    </xf>
    <xf numFmtId="0" fontId="0" fillId="5" borderId="0" xfId="0" applyNumberFormat="1" applyFill="1"/>
    <xf numFmtId="0" fontId="1" fillId="23" borderId="0" xfId="0" applyFont="1" applyFill="1" applyAlignment="1">
      <alignment horizontal="center"/>
    </xf>
    <xf numFmtId="0" fontId="24" fillId="24" borderId="0" xfId="0" applyNumberFormat="1" applyFont="1" applyFill="1" applyAlignment="1">
      <alignment horizontal="center"/>
    </xf>
    <xf numFmtId="9" fontId="24" fillId="24" borderId="0" xfId="11" applyFont="1" applyFill="1" applyAlignment="1">
      <alignment horizontal="center"/>
    </xf>
    <xf numFmtId="9" fontId="0" fillId="24" borderId="0" xfId="11" applyFont="1" applyFill="1" applyAlignment="1">
      <alignment horizontal="center"/>
    </xf>
    <xf numFmtId="0" fontId="24" fillId="14" borderId="0" xfId="0" applyNumberFormat="1" applyFont="1" applyFill="1" applyAlignment="1">
      <alignment horizontal="center"/>
    </xf>
    <xf numFmtId="9" fontId="24" fillId="14" borderId="0" xfId="11" applyFont="1" applyFill="1" applyAlignment="1">
      <alignment horizontal="center"/>
    </xf>
    <xf numFmtId="0" fontId="27" fillId="25" borderId="0" xfId="0" applyFont="1" applyFill="1" applyAlignment="1">
      <alignment horizontal="center" wrapText="1"/>
    </xf>
    <xf numFmtId="0" fontId="38" fillId="25" borderId="0" xfId="0" applyFont="1" applyFill="1" applyAlignment="1">
      <alignment wrapText="1"/>
    </xf>
    <xf numFmtId="0" fontId="36" fillId="26" borderId="0" xfId="0" applyFont="1" applyFill="1"/>
    <xf numFmtId="1" fontId="38" fillId="26" borderId="0" xfId="0" applyNumberFormat="1" applyFont="1" applyFill="1"/>
    <xf numFmtId="0" fontId="37" fillId="26" borderId="0" xfId="0" applyFont="1" applyFill="1"/>
    <xf numFmtId="2" fontId="38" fillId="26" borderId="0" xfId="0" applyNumberFormat="1" applyFont="1" applyFill="1"/>
    <xf numFmtId="0" fontId="38" fillId="25" borderId="0" xfId="0" applyFont="1" applyFill="1"/>
    <xf numFmtId="2" fontId="38" fillId="25" borderId="0" xfId="0" applyNumberFormat="1" applyFont="1" applyFill="1"/>
    <xf numFmtId="1" fontId="38" fillId="25" borderId="0" xfId="0" applyNumberFormat="1" applyFont="1" applyFill="1"/>
    <xf numFmtId="164" fontId="38" fillId="25" borderId="0" xfId="0" applyNumberFormat="1" applyFont="1" applyFill="1"/>
    <xf numFmtId="0" fontId="40" fillId="25" borderId="0" xfId="0" applyFont="1" applyFill="1"/>
    <xf numFmtId="1" fontId="40" fillId="25" borderId="0" xfId="0" applyNumberFormat="1" applyFont="1" applyFill="1"/>
    <xf numFmtId="165" fontId="27" fillId="25" borderId="0" xfId="0" applyNumberFormat="1" applyFont="1" applyFill="1"/>
    <xf numFmtId="0" fontId="9" fillId="25" borderId="0" xfId="0" applyFont="1" applyFill="1" applyAlignment="1">
      <alignment horizontal="center" wrapText="1"/>
    </xf>
    <xf numFmtId="0" fontId="0" fillId="25" borderId="0" xfId="0" applyFill="1" applyAlignment="1">
      <alignment wrapText="1"/>
    </xf>
    <xf numFmtId="0" fontId="41" fillId="26" borderId="0" xfId="0" applyFont="1" applyFill="1"/>
    <xf numFmtId="1" fontId="43" fillId="26" borderId="0" xfId="0" applyNumberFormat="1" applyFont="1" applyFill="1"/>
    <xf numFmtId="0" fontId="42" fillId="26" borderId="0" xfId="0" applyFont="1" applyFill="1"/>
    <xf numFmtId="2" fontId="43" fillId="26" borderId="0" xfId="0" applyNumberFormat="1" applyFont="1" applyFill="1"/>
    <xf numFmtId="0" fontId="43" fillId="25" borderId="0" xfId="0" applyFont="1" applyFill="1"/>
    <xf numFmtId="2" fontId="43" fillId="25" borderId="0" xfId="0" applyNumberFormat="1" applyFont="1" applyFill="1"/>
    <xf numFmtId="1" fontId="43" fillId="25" borderId="0" xfId="0" applyNumberFormat="1" applyFont="1" applyFill="1"/>
    <xf numFmtId="164" fontId="43" fillId="25" borderId="0" xfId="0" applyNumberFormat="1" applyFont="1" applyFill="1"/>
    <xf numFmtId="0" fontId="45" fillId="25" borderId="0" xfId="0" applyFont="1" applyFill="1"/>
    <xf numFmtId="1" fontId="45" fillId="25" borderId="0" xfId="0" applyNumberFormat="1" applyFont="1" applyFill="1"/>
    <xf numFmtId="165" fontId="45" fillId="25" borderId="0" xfId="0" applyNumberFormat="1" applyFont="1" applyFill="1"/>
    <xf numFmtId="0" fontId="46" fillId="26" borderId="0" xfId="0" applyFont="1" applyFill="1"/>
    <xf numFmtId="0" fontId="47" fillId="26" borderId="0" xfId="0" applyNumberFormat="1" applyFont="1" applyFill="1"/>
    <xf numFmtId="0" fontId="48" fillId="25" borderId="0" xfId="0" applyFont="1" applyFill="1" applyAlignment="1">
      <alignment horizontal="center" wrapText="1"/>
    </xf>
    <xf numFmtId="0" fontId="50" fillId="25" borderId="0" xfId="0" applyFont="1" applyFill="1" applyAlignment="1">
      <alignment wrapText="1"/>
    </xf>
    <xf numFmtId="0" fontId="48" fillId="25" borderId="0" xfId="0" applyFont="1" applyFill="1"/>
    <xf numFmtId="1" fontId="48" fillId="25" borderId="0" xfId="0" applyNumberFormat="1" applyFont="1" applyFill="1"/>
    <xf numFmtId="165" fontId="48" fillId="25" borderId="0" xfId="0" applyNumberFormat="1" applyFont="1" applyFill="1"/>
    <xf numFmtId="0" fontId="49" fillId="26" borderId="0" xfId="0" applyFont="1" applyFill="1"/>
    <xf numFmtId="0" fontId="50" fillId="26" borderId="0" xfId="0" applyNumberFormat="1" applyFont="1" applyFill="1"/>
    <xf numFmtId="0" fontId="8" fillId="25" borderId="0" xfId="0" applyFont="1" applyFill="1" applyAlignment="1">
      <alignment horizontal="center" wrapText="1"/>
    </xf>
    <xf numFmtId="0" fontId="7" fillId="25" borderId="0" xfId="0" applyFont="1" applyFill="1" applyAlignment="1">
      <alignment wrapText="1"/>
    </xf>
    <xf numFmtId="0" fontId="51" fillId="25" borderId="0" xfId="0" applyFont="1" applyFill="1"/>
    <xf numFmtId="1" fontId="51" fillId="25" borderId="0" xfId="0" applyNumberFormat="1" applyFont="1" applyFill="1"/>
    <xf numFmtId="165" fontId="51" fillId="25" borderId="0" xfId="0" applyNumberFormat="1" applyFont="1" applyFill="1"/>
    <xf numFmtId="0" fontId="0" fillId="25" borderId="0" xfId="0" applyFill="1"/>
    <xf numFmtId="0" fontId="0" fillId="0" borderId="0" xfId="0"/>
    <xf numFmtId="0" fontId="24" fillId="5" borderId="0" xfId="11" applyNumberFormat="1" applyFont="1" applyFill="1" applyAlignment="1">
      <alignment horizontal="center"/>
    </xf>
    <xf numFmtId="0" fontId="24" fillId="5" borderId="23" xfId="11" applyNumberFormat="1" applyFont="1" applyFill="1" applyBorder="1" applyAlignment="1">
      <alignment horizontal="center"/>
    </xf>
    <xf numFmtId="0" fontId="24" fillId="24" borderId="0" xfId="11" applyNumberFormat="1" applyFont="1" applyFill="1" applyAlignment="1">
      <alignment horizontal="center"/>
    </xf>
    <xf numFmtId="0" fontId="24" fillId="14" borderId="0" xfId="11" applyNumberFormat="1" applyFont="1" applyFill="1" applyAlignment="1">
      <alignment horizontal="center"/>
    </xf>
    <xf numFmtId="0" fontId="0" fillId="5" borderId="23" xfId="11" applyNumberFormat="1" applyFont="1" applyFill="1" applyBorder="1" applyAlignment="1">
      <alignment horizontal="center"/>
    </xf>
    <xf numFmtId="0" fontId="0" fillId="5" borderId="0" xfId="11" applyNumberFormat="1" applyFont="1" applyFill="1" applyAlignment="1">
      <alignment horizontal="center"/>
    </xf>
    <xf numFmtId="0" fontId="0" fillId="24" borderId="0" xfId="11" applyNumberFormat="1" applyFont="1" applyFill="1" applyAlignment="1">
      <alignment horizontal="center"/>
    </xf>
    <xf numFmtId="0" fontId="0" fillId="14" borderId="0" xfId="11" applyNumberFormat="1" applyFont="1" applyFill="1" applyAlignment="1">
      <alignment horizontal="center"/>
    </xf>
    <xf numFmtId="0" fontId="1" fillId="5" borderId="0" xfId="11" applyNumberFormat="1" applyFont="1" applyFill="1" applyAlignment="1">
      <alignment horizontal="center"/>
    </xf>
    <xf numFmtId="0" fontId="1" fillId="5" borderId="23" xfId="11" applyNumberFormat="1" applyFont="1" applyFill="1" applyBorder="1" applyAlignment="1">
      <alignment horizontal="center"/>
    </xf>
    <xf numFmtId="0" fontId="9" fillId="19" borderId="25" xfId="0" applyFont="1" applyFill="1" applyBorder="1" applyAlignment="1">
      <alignment horizontal="center"/>
    </xf>
    <xf numFmtId="1" fontId="32" fillId="19" borderId="25" xfId="0" applyNumberFormat="1" applyFont="1" applyFill="1" applyBorder="1" applyAlignment="1">
      <alignment horizontal="center"/>
    </xf>
    <xf numFmtId="0" fontId="32" fillId="19" borderId="25" xfId="0" applyNumberFormat="1" applyFont="1" applyFill="1" applyBorder="1" applyAlignment="1">
      <alignment horizontal="center"/>
    </xf>
    <xf numFmtId="0" fontId="32" fillId="20" borderId="25" xfId="0" applyNumberFormat="1" applyFont="1" applyFill="1" applyBorder="1" applyAlignment="1">
      <alignment horizontal="center"/>
    </xf>
    <xf numFmtId="0" fontId="27" fillId="20" borderId="25" xfId="0" applyNumberFormat="1" applyFont="1" applyFill="1" applyBorder="1" applyAlignment="1">
      <alignment horizontal="center"/>
    </xf>
    <xf numFmtId="9" fontId="27" fillId="20" borderId="25" xfId="11" applyFont="1" applyFill="1" applyBorder="1" applyAlignment="1">
      <alignment horizontal="center"/>
    </xf>
    <xf numFmtId="0" fontId="9" fillId="5" borderId="25" xfId="11" applyNumberFormat="1" applyFont="1" applyFill="1" applyBorder="1" applyAlignment="1">
      <alignment horizontal="center"/>
    </xf>
    <xf numFmtId="0" fontId="52" fillId="19" borderId="25" xfId="0" applyNumberFormat="1" applyFont="1" applyFill="1" applyBorder="1" applyAlignment="1">
      <alignment horizontal="center"/>
    </xf>
    <xf numFmtId="0" fontId="32" fillId="19" borderId="25" xfId="0" applyFont="1" applyFill="1" applyBorder="1" applyAlignment="1">
      <alignment horizontal="center"/>
    </xf>
    <xf numFmtId="9" fontId="32" fillId="20" borderId="25" xfId="11" applyFont="1" applyFill="1" applyBorder="1" applyAlignment="1">
      <alignment horizontal="center"/>
    </xf>
    <xf numFmtId="0" fontId="32" fillId="20" borderId="25" xfId="11" applyNumberFormat="1" applyFont="1" applyFill="1" applyBorder="1" applyAlignment="1">
      <alignment horizontal="center"/>
    </xf>
    <xf numFmtId="0" fontId="27" fillId="20" borderId="25" xfId="11" applyNumberFormat="1" applyFont="1" applyFill="1" applyBorder="1" applyAlignment="1">
      <alignment horizontal="center"/>
    </xf>
    <xf numFmtId="0" fontId="32" fillId="20" borderId="26" xfId="0" applyNumberFormat="1" applyFont="1" applyFill="1" applyBorder="1" applyAlignment="1">
      <alignment horizontal="center"/>
    </xf>
    <xf numFmtId="0" fontId="24" fillId="5" borderId="0" xfId="0" applyNumberFormat="1" applyFont="1" applyFill="1" applyBorder="1" applyAlignment="1">
      <alignment horizontal="center"/>
    </xf>
    <xf numFmtId="9" fontId="0" fillId="0" borderId="0" xfId="0" applyNumberFormat="1"/>
    <xf numFmtId="0" fontId="35" fillId="0" borderId="0" xfId="0" applyFont="1" applyBorder="1" applyAlignment="1">
      <alignment horizontal="center"/>
    </xf>
    <xf numFmtId="0" fontId="35" fillId="0" borderId="27" xfId="0" applyFont="1" applyBorder="1" applyAlignment="1">
      <alignment horizontal="center"/>
    </xf>
    <xf numFmtId="170" fontId="0" fillId="0" borderId="0" xfId="0" applyNumberFormat="1" applyAlignment="1">
      <alignment horizontal="center"/>
    </xf>
    <xf numFmtId="170" fontId="3" fillId="11" borderId="0" xfId="0" applyNumberFormat="1" applyFont="1" applyFill="1" applyAlignment="1">
      <alignment horizontal="center"/>
    </xf>
    <xf numFmtId="0" fontId="0" fillId="0" borderId="0" xfId="0"/>
    <xf numFmtId="0" fontId="7" fillId="0" borderId="0" xfId="0" applyFont="1" applyAlignment="1">
      <alignment horizontal="center" vertical="center"/>
    </xf>
    <xf numFmtId="0" fontId="10" fillId="0" borderId="0" xfId="2"/>
    <xf numFmtId="0" fontId="13" fillId="0" borderId="11" xfId="5" applyBorder="1" applyAlignment="1">
      <alignment horizontal="left" vertical="center"/>
    </xf>
    <xf numFmtId="0" fontId="11" fillId="0" borderId="8" xfId="3"/>
    <xf numFmtId="0" fontId="13" fillId="0" borderId="10" xfId="5" applyAlignment="1">
      <alignment horizontal="left" vertical="center"/>
    </xf>
    <xf numFmtId="0" fontId="0" fillId="0" borderId="0" xfId="0"/>
    <xf numFmtId="0" fontId="5" fillId="10" borderId="0" xfId="8"/>
    <xf numFmtId="0" fontId="3" fillId="11" borderId="13" xfId="0" applyFont="1" applyFill="1" applyBorder="1" applyAlignment="1">
      <alignment horizontal="center"/>
    </xf>
    <xf numFmtId="0" fontId="12" fillId="0" borderId="17" xfId="4" applyBorder="1"/>
    <xf numFmtId="0" fontId="32" fillId="0" borderId="0" xfId="0" applyFont="1" applyAlignment="1">
      <alignment horizontal="center"/>
    </xf>
    <xf numFmtId="0" fontId="32" fillId="0" borderId="18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18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7" fontId="18" fillId="0" borderId="0" xfId="0" applyNumberFormat="1" applyFont="1" applyAlignment="1">
      <alignment horizontal="center" vertical="center"/>
    </xf>
    <xf numFmtId="168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164" fontId="7" fillId="5" borderId="6" xfId="0" applyNumberFormat="1" applyFont="1" applyFill="1" applyBorder="1" applyAlignment="1">
      <alignment textRotation="255" wrapText="1"/>
    </xf>
    <xf numFmtId="164" fontId="7" fillId="5" borderId="3" xfId="0" applyNumberFormat="1" applyFont="1" applyFill="1" applyBorder="1" applyAlignment="1">
      <alignment textRotation="255" wrapText="1"/>
    </xf>
    <xf numFmtId="164" fontId="7" fillId="5" borderId="4" xfId="0" applyNumberFormat="1" applyFont="1" applyFill="1" applyBorder="1" applyAlignment="1">
      <alignment textRotation="255" wrapText="1"/>
    </xf>
    <xf numFmtId="0" fontId="12" fillId="0" borderId="9" xfId="4"/>
    <xf numFmtId="0" fontId="32" fillId="0" borderId="0" xfId="0" applyFont="1" applyBorder="1" applyAlignment="1">
      <alignment horizontal="center"/>
    </xf>
    <xf numFmtId="0" fontId="32" fillId="1" borderId="0" xfId="0" applyFont="1" applyFill="1" applyAlignment="1">
      <alignment horizontal="center"/>
    </xf>
    <xf numFmtId="0" fontId="32" fillId="1" borderId="0" xfId="0" applyFont="1" applyFill="1" applyBorder="1" applyAlignment="1">
      <alignment horizontal="center"/>
    </xf>
    <xf numFmtId="0" fontId="0" fillId="11" borderId="0" xfId="0" applyNumberFormat="1" applyFill="1" applyAlignment="1">
      <alignment horizontal="center"/>
    </xf>
    <xf numFmtId="16" fontId="1" fillId="0" borderId="28" xfId="0" applyNumberFormat="1" applyFont="1" applyBorder="1" applyAlignment="1">
      <alignment horizontal="center"/>
    </xf>
    <xf numFmtId="0" fontId="1" fillId="0" borderId="23" xfId="0" applyNumberFormat="1" applyFont="1" applyBorder="1" applyAlignment="1">
      <alignment horizontal="center"/>
    </xf>
    <xf numFmtId="1" fontId="1" fillId="0" borderId="23" xfId="0" applyNumberFormat="1" applyFont="1" applyBorder="1" applyAlignment="1">
      <alignment horizontal="center"/>
    </xf>
    <xf numFmtId="0" fontId="1" fillId="7" borderId="23" xfId="0" applyNumberFormat="1" applyFont="1" applyFill="1" applyBorder="1" applyAlignment="1">
      <alignment horizontal="center"/>
    </xf>
    <xf numFmtId="0" fontId="1" fillId="7" borderId="23" xfId="0" applyNumberFormat="1" applyFont="1" applyFill="1" applyBorder="1" applyAlignment="1">
      <alignment horizontal="center" wrapText="1"/>
    </xf>
    <xf numFmtId="0" fontId="1" fillId="6" borderId="23" xfId="7" applyFont="1" applyBorder="1" applyAlignment="1">
      <alignment horizontal="center"/>
    </xf>
    <xf numFmtId="0" fontId="1" fillId="8" borderId="23" xfId="0" applyNumberFormat="1" applyFont="1" applyFill="1" applyBorder="1" applyAlignment="1">
      <alignment horizontal="center" wrapText="1"/>
    </xf>
    <xf numFmtId="0" fontId="1" fillId="9" borderId="23" xfId="0" applyNumberFormat="1" applyFont="1" applyFill="1" applyBorder="1" applyAlignment="1">
      <alignment horizontal="center" wrapText="1"/>
    </xf>
    <xf numFmtId="1" fontId="1" fillId="0" borderId="23" xfId="0" applyNumberFormat="1" applyFont="1" applyBorder="1" applyAlignment="1">
      <alignment horizontal="center" wrapText="1"/>
    </xf>
    <xf numFmtId="1" fontId="1" fillId="0" borderId="24" xfId="0" applyNumberFormat="1" applyFont="1" applyBorder="1" applyAlignment="1">
      <alignment horizontal="center"/>
    </xf>
    <xf numFmtId="0" fontId="1" fillId="11" borderId="0" xfId="0" applyNumberFormat="1" applyFont="1" applyFill="1" applyAlignment="1">
      <alignment horizontal="center"/>
    </xf>
    <xf numFmtId="1" fontId="1" fillId="11" borderId="0" xfId="0" applyNumberFormat="1" applyFont="1" applyFill="1" applyAlignment="1">
      <alignment horizontal="center"/>
    </xf>
    <xf numFmtId="0" fontId="0" fillId="0" borderId="0" xfId="0" applyNumberFormat="1" applyAlignment="1">
      <alignment horizontal="center" wrapText="1"/>
    </xf>
    <xf numFmtId="166" fontId="0" fillId="0" borderId="0" xfId="0" applyNumberFormat="1" applyAlignment="1">
      <alignment horizontal="center"/>
    </xf>
  </cellXfs>
  <cellStyles count="12">
    <cellStyle name="20% - Colore 2" xfId="7" builtinId="34"/>
    <cellStyle name="20% - Colore 6" xfId="10" builtinId="50"/>
    <cellStyle name="60% - Colore 1" xfId="8" builtinId="32"/>
    <cellStyle name="Neutrale" xfId="6" builtinId="28"/>
    <cellStyle name="Normale" xfId="0" builtinId="0"/>
    <cellStyle name="Nota" xfId="1" builtinId="10"/>
    <cellStyle name="Output" xfId="9" builtinId="21"/>
    <cellStyle name="Percentuale" xfId="11" builtinId="5"/>
    <cellStyle name="Titolo" xfId="2" builtinId="15"/>
    <cellStyle name="Titolo 1" xfId="3" builtinId="16"/>
    <cellStyle name="Titolo 2" xfId="4" builtinId="17"/>
    <cellStyle name="Titolo 3" xfId="5" builtinId="18"/>
  </cellStyles>
  <dxfs count="26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alignment horizontal="center" vertical="bottom" textRotation="0" wrapText="0" indent="0" justifyLastLine="0" shrinkToFit="0" readingOrder="0"/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 patternType="solid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/>
        <outline val="0"/>
        <shadow val="0"/>
        <u val="none"/>
        <vertAlign val="baseline"/>
        <sz val="11"/>
        <color rgb="FF00B05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  <fill>
        <patternFill patternType="darkGrid">
          <fgColor indexed="64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microsoft.com/office/2017/10/relationships/person" Target="persons/person.xml"/><Relationship Id="rId5" Type="http://schemas.openxmlformats.org/officeDocument/2006/relationships/theme" Target="theme/theme1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Confirmed Cases 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1" i="0" baseline="0">
                <a:effectLst/>
              </a:rPr>
              <a:t>Cumulative Cases - LogN model displacements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546164268848419"/>
          <c:y val="0.1523757215453829"/>
          <c:w val="0.67992425879723528"/>
          <c:h val="0.7945179561079184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'Cumul_cases - LNorm'!#REF!</c:f>
              <c:strCache>
                <c:ptCount val="1"/>
                <c:pt idx="0">
                  <c:v>#REF!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97-44AA-A96B-8DCC64E76E94}"/>
            </c:ext>
          </c:extLst>
        </c:ser>
        <c:ser>
          <c:idx val="12"/>
          <c:order val="2"/>
          <c:tx>
            <c:strRef>
              <c:f>'Cumul_cases - LNorm'!$F$7</c:f>
              <c:strCache>
                <c:ptCount val="1"/>
                <c:pt idx="0">
                  <c:v>Spain cum. fit</c:v>
                </c:pt>
              </c:strCache>
            </c:strRef>
          </c:tx>
          <c:spPr>
            <a:ln w="9525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LNorm'!$F$8:$F$184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8.3581219282537867E-60</c:v>
                </c:pt>
                <c:pt idx="35">
                  <c:v>4.9775236775631927E-37</c:v>
                </c:pt>
                <c:pt idx="36">
                  <c:v>2.6861421325734695E-27</c:v>
                </c:pt>
                <c:pt idx="37">
                  <c:v>1.8753691841868997E-21</c:v>
                </c:pt>
                <c:pt idx="38">
                  <c:v>1.9776121614858529E-17</c:v>
                </c:pt>
                <c:pt idx="39">
                  <c:v>1.9202273422868463E-14</c:v>
                </c:pt>
                <c:pt idx="40">
                  <c:v>4.0875309750293764E-12</c:v>
                </c:pt>
                <c:pt idx="41">
                  <c:v>3.0772466840732951E-10</c:v>
                </c:pt>
                <c:pt idx="42">
                  <c:v>1.0942553966102273E-8</c:v>
                </c:pt>
                <c:pt idx="43">
                  <c:v>2.2163279682573175E-7</c:v>
                </c:pt>
                <c:pt idx="44">
                  <c:v>2.9043852103089976E-6</c:v>
                </c:pt>
                <c:pt idx="45">
                  <c:v>2.695184938652669E-5</c:v>
                </c:pt>
                <c:pt idx="46">
                  <c:v>1.8920105202496204E-4</c:v>
                </c:pt>
                <c:pt idx="47">
                  <c:v>1.0558727403052776E-3</c:v>
                </c:pt>
                <c:pt idx="48">
                  <c:v>4.8664258884566283E-3</c:v>
                </c:pt>
                <c:pt idx="49">
                  <c:v>1.9084594537011553E-2</c:v>
                </c:pt>
                <c:pt idx="50">
                  <c:v>6.5215008287316051E-2</c:v>
                </c:pt>
                <c:pt idx="51">
                  <c:v>0.19793985251156093</c:v>
                </c:pt>
                <c:pt idx="52">
                  <c:v>0.54206203254796037</c:v>
                </c:pt>
                <c:pt idx="53">
                  <c:v>1.3568228241408331</c:v>
                </c:pt>
                <c:pt idx="54">
                  <c:v>3.1380110425677619</c:v>
                </c:pt>
                <c:pt idx="55">
                  <c:v>6.7670716910929674</c:v>
                </c:pt>
                <c:pt idx="56">
                  <c:v>13.712690643239494</c:v>
                </c:pt>
                <c:pt idx="57">
                  <c:v>26.284190338676385</c:v>
                </c:pt>
                <c:pt idx="58">
                  <c:v>47.928250132156059</c:v>
                </c:pt>
                <c:pt idx="59">
                  <c:v>83.552170188598097</c:v>
                </c:pt>
                <c:pt idx="60">
                  <c:v>139.84954028570687</c:v>
                </c:pt>
                <c:pt idx="61">
                  <c:v>225.59905763868508</c:v>
                </c:pt>
                <c:pt idx="62">
                  <c:v>351.90529176290045</c:v>
                </c:pt>
                <c:pt idx="63">
                  <c:v>532.35181932069599</c:v>
                </c:pt>
                <c:pt idx="64">
                  <c:v>783.04218385777278</c:v>
                </c:pt>
                <c:pt idx="65">
                  <c:v>1122.5119249274194</c:v>
                </c:pt>
                <c:pt idx="66">
                  <c:v>1571.5044870261806</c:v>
                </c:pt>
                <c:pt idx="67">
                  <c:v>2152.6140325218457</c:v>
                </c:pt>
                <c:pt idx="68">
                  <c:v>2889.8079451682347</c:v>
                </c:pt>
                <c:pt idx="69">
                  <c:v>3807.8501923686786</c:v>
                </c:pt>
                <c:pt idx="70">
                  <c:v>4931.6530450826949</c:v>
                </c:pt>
                <c:pt idx="71">
                  <c:v>6285.5885610080541</c:v>
                </c:pt>
                <c:pt idx="72">
                  <c:v>7892.7926348682258</c:v>
                </c:pt>
                <c:pt idx="73">
                  <c:v>9774.49347167622</c:v>
                </c:pt>
                <c:pt idx="74">
                  <c:v>11949.39339252687</c:v>
                </c:pt>
                <c:pt idx="75">
                  <c:v>14433.128402287939</c:v>
                </c:pt>
                <c:pt idx="76">
                  <c:v>17237.824449785941</c:v>
                </c:pt>
                <c:pt idx="77">
                  <c:v>20371.763303539155</c:v>
                </c:pt>
                <c:pt idx="78">
                  <c:v>23839.164911236599</c:v>
                </c:pt>
                <c:pt idx="79">
                  <c:v>27640.087393667127</c:v>
                </c:pt>
                <c:pt idx="80">
                  <c:v>31770.44073662578</c:v>
                </c:pt>
                <c:pt idx="81">
                  <c:v>36222.10598532758</c:v>
                </c:pt>
                <c:pt idx="82">
                  <c:v>40983.148423120147</c:v>
                </c:pt>
                <c:pt idx="83">
                  <c:v>46038.110859469307</c:v>
                </c:pt>
                <c:pt idx="84">
                  <c:v>51368.371727240708</c:v>
                </c:pt>
                <c:pt idx="85">
                  <c:v>56952.552114453429</c:v>
                </c:pt>
                <c:pt idx="86">
                  <c:v>62766.956017044264</c:v>
                </c:pt>
                <c:pt idx="87">
                  <c:v>68786.028864851309</c:v>
                </c:pt>
                <c:pt idx="88">
                  <c:v>74982.820604930748</c:v>
                </c:pt>
                <c:pt idx="89">
                  <c:v>81329.44118971283</c:v>
                </c:pt>
                <c:pt idx="90">
                  <c:v>87797.498087755957</c:v>
                </c:pt>
                <c:pt idx="91">
                  <c:v>94358.507302191138</c:v>
                </c:pt>
                <c:pt idx="92">
                  <c:v>100984.27125386847</c:v>
                </c:pt>
                <c:pt idx="93">
                  <c:v>107647.21868857004</c:v>
                </c:pt>
                <c:pt idx="94">
                  <c:v>114320.70344422456</c:v>
                </c:pt>
                <c:pt idx="95">
                  <c:v>120979.26042532903</c:v>
                </c:pt>
                <c:pt idx="96">
                  <c:v>127598.81845311921</c:v>
                </c:pt>
                <c:pt idx="97">
                  <c:v>134156.87077949292</c:v>
                </c:pt>
                <c:pt idx="98">
                  <c:v>140632.60496872157</c:v>
                </c:pt>
                <c:pt idx="99">
                  <c:v>147006.99457020764</c:v>
                </c:pt>
                <c:pt idx="100">
                  <c:v>153262.85554059967</c:v>
                </c:pt>
                <c:pt idx="101">
                  <c:v>159384.87074131594</c:v>
                </c:pt>
                <c:pt idx="102">
                  <c:v>165359.58605732227</c:v>
                </c:pt>
                <c:pt idx="103">
                  <c:v>171175.38177547927</c:v>
                </c:pt>
                <c:pt idx="104">
                  <c:v>176822.42284665449</c:v>
                </c:pt>
                <c:pt idx="105">
                  <c:v>182292.59155520526</c:v>
                </c:pt>
                <c:pt idx="106">
                  <c:v>187579.40595111888</c:v>
                </c:pt>
                <c:pt idx="107">
                  <c:v>192677.92718127568</c:v>
                </c:pt>
                <c:pt idx="108">
                  <c:v>197584.65860212699</c:v>
                </c:pt>
                <c:pt idx="109">
                  <c:v>202297.43927982921</c:v>
                </c:pt>
                <c:pt idx="110">
                  <c:v>206815.33419671253</c:v>
                </c:pt>
                <c:pt idx="111">
                  <c:v>211138.52319414384</c:v>
                </c:pt>
                <c:pt idx="112">
                  <c:v>215268.19039880697</c:v>
                </c:pt>
                <c:pt idx="113">
                  <c:v>219206.41560791363</c:v>
                </c:pt>
                <c:pt idx="114">
                  <c:v>222956.06885318906</c:v>
                </c:pt>
                <c:pt idx="115">
                  <c:v>226520.70912663662</c:v>
                </c:pt>
                <c:pt idx="116">
                  <c:v>229904.48803498896</c:v>
                </c:pt>
                <c:pt idx="117">
                  <c:v>233112.05895539187</c:v>
                </c:pt>
                <c:pt idx="118">
                  <c:v>236148.49209247582</c:v>
                </c:pt>
                <c:pt idx="119">
                  <c:v>239019.19568622627</c:v>
                </c:pt>
                <c:pt idx="120">
                  <c:v>241729.84349012436</c:v>
                </c:pt>
                <c:pt idx="121">
                  <c:v>244286.30852881007</c:v>
                </c:pt>
                <c:pt idx="122">
                  <c:v>246694.60305259068</c:v>
                </c:pt>
                <c:pt idx="123">
                  <c:v>248960.82453100066</c:v>
                </c:pt>
                <c:pt idx="124">
                  <c:v>251091.10746769517</c:v>
                </c:pt>
                <c:pt idx="125">
                  <c:v>253091.58077261291</c:v>
                </c:pt>
                <c:pt idx="126">
                  <c:v>254968.33039297836</c:v>
                </c:pt>
                <c:pt idx="127">
                  <c:v>256727.36688079382</c:v>
                </c:pt>
                <c:pt idx="128">
                  <c:v>258374.59755953186</c:v>
                </c:pt>
                <c:pt idx="129">
                  <c:v>259915.80294543222</c:v>
                </c:pt>
                <c:pt idx="130">
                  <c:v>261356.61707787789</c:v>
                </c:pt>
                <c:pt idx="131">
                  <c:v>262702.51141764194</c:v>
                </c:pt>
                <c:pt idx="132">
                  <c:v>263958.78198034462</c:v>
                </c:pt>
                <c:pt idx="133">
                  <c:v>265130.539384339</c:v>
                </c:pt>
                <c:pt idx="134">
                  <c:v>266222.70150665665</c:v>
                </c:pt>
                <c:pt idx="135">
                  <c:v>267239.9884569131</c:v>
                </c:pt>
                <c:pt idx="136">
                  <c:v>268186.91959660163</c:v>
                </c:pt>
                <c:pt idx="137">
                  <c:v>269067.81234949542</c:v>
                </c:pt>
                <c:pt idx="138">
                  <c:v>269886.78256752086</c:v>
                </c:pt>
                <c:pt idx="139">
                  <c:v>270647.74623510201</c:v>
                </c:pt>
                <c:pt idx="140">
                  <c:v>271354.42231334018</c:v>
                </c:pt>
                <c:pt idx="141">
                  <c:v>272010.33654325805</c:v>
                </c:pt>
                <c:pt idx="142">
                  <c:v>272618.82604453043</c:v>
                </c:pt>
                <c:pt idx="143">
                  <c:v>273183.04456251679</c:v>
                </c:pt>
                <c:pt idx="144">
                  <c:v>273705.96823191905</c:v>
                </c:pt>
                <c:pt idx="145">
                  <c:v>274190.40173993789</c:v>
                </c:pt>
                <c:pt idx="146">
                  <c:v>274638.9847853767</c:v>
                </c:pt>
                <c:pt idx="147">
                  <c:v>275054.19874271034</c:v>
                </c:pt>
                <c:pt idx="148">
                  <c:v>275438.37345172698</c:v>
                </c:pt>
                <c:pt idx="149">
                  <c:v>275793.69406395667</c:v>
                </c:pt>
                <c:pt idx="150">
                  <c:v>276122.20788677584</c:v>
                </c:pt>
                <c:pt idx="151">
                  <c:v>276425.83117484231</c:v>
                </c:pt>
                <c:pt idx="152">
                  <c:v>276706.35582642589</c:v>
                </c:pt>
                <c:pt idx="153">
                  <c:v>276965.45594929904</c:v>
                </c:pt>
                <c:pt idx="154">
                  <c:v>277204.69426719396</c:v>
                </c:pt>
                <c:pt idx="155">
                  <c:v>277425.52834346675</c:v>
                </c:pt>
                <c:pt idx="156">
                  <c:v>277629.31660359091</c:v>
                </c:pt>
                <c:pt idx="157">
                  <c:v>277817.32414248458</c:v>
                </c:pt>
                <c:pt idx="158">
                  <c:v>277990.72830650187</c:v>
                </c:pt>
                <c:pt idx="159">
                  <c:v>278150.62404324947</c:v>
                </c:pt>
                <c:pt idx="160">
                  <c:v>278298.02901525935</c:v>
                </c:pt>
                <c:pt idx="161">
                  <c:v>278433.88847601041</c:v>
                </c:pt>
                <c:pt idx="162">
                  <c:v>278559.07990888343</c:v>
                </c:pt>
                <c:pt idx="163">
                  <c:v>278674.41743139224</c:v>
                </c:pt>
                <c:pt idx="164">
                  <c:v>278780.65596850234</c:v>
                </c:pt>
                <c:pt idx="165">
                  <c:v>278878.49520004948</c:v>
                </c:pt>
                <c:pt idx="166">
                  <c:v>278968.58328824595</c:v>
                </c:pt>
                <c:pt idx="167">
                  <c:v>279051.52039203094</c:v>
                </c:pt>
                <c:pt idx="168">
                  <c:v>279127.86197561357</c:v>
                </c:pt>
                <c:pt idx="169">
                  <c:v>279198.12191899825</c:v>
                </c:pt>
                <c:pt idx="170">
                  <c:v>279262.77543858148</c:v>
                </c:pt>
                <c:pt idx="171">
                  <c:v>279322.26182610443</c:v>
                </c:pt>
                <c:pt idx="172">
                  <c:v>279376.98701433325</c:v>
                </c:pt>
                <c:pt idx="173">
                  <c:v>279427.32597785041</c:v>
                </c:pt>
                <c:pt idx="174">
                  <c:v>279473.62497727777</c:v>
                </c:pt>
                <c:pt idx="175">
                  <c:v>279516.20365513558</c:v>
                </c:pt>
                <c:pt idx="176">
                  <c:v>279555.35699137283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6"/>
                <c:tx>
                  <c:strRef>
                    <c:extLst>
                      <c:ext uri="{02D57815-91ED-43cb-92C2-25804820EDAC}">
                        <c15:formulaRef>
                          <c15:sqref>'Cumul_cases - LNorm'!$M$7</c15:sqref>
                        </c15:formulaRef>
                      </c:ext>
                    </c:extLst>
                    <c:strCache>
                      <c:ptCount val="1"/>
                      <c:pt idx="0">
                        <c:v>Lombardy fit</c:v>
                      </c:pt>
                    </c:strCache>
                  </c:strRef>
                </c:tx>
                <c:spPr>
                  <a:ln w="952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LNorm'!$M$8:$M$184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4.5004674482023335E-33</c:v>
                      </c:pt>
                      <c:pt idx="32">
                        <c:v>9.982998313231629E-21</c:v>
                      </c:pt>
                      <c:pt idx="33">
                        <c:v>4.0616974750038979E-15</c:v>
                      </c:pt>
                      <c:pt idx="34">
                        <c:v>1.1067531237093309E-11</c:v>
                      </c:pt>
                      <c:pt idx="35">
                        <c:v>2.706273601535887E-9</c:v>
                      </c:pt>
                      <c:pt idx="36">
                        <c:v>1.6452786763801899E-7</c:v>
                      </c:pt>
                      <c:pt idx="37">
                        <c:v>4.0922874212949553E-6</c:v>
                      </c:pt>
                      <c:pt idx="38">
                        <c:v>5.4980686627547732E-5</c:v>
                      </c:pt>
                      <c:pt idx="39">
                        <c:v>4.7268540916532139E-4</c:v>
                      </c:pt>
                      <c:pt idx="40">
                        <c:v>2.9037514905089928E-3</c:v>
                      </c:pt>
                      <c:pt idx="41">
                        <c:v>1.3744676008109632E-2</c:v>
                      </c:pt>
                      <c:pt idx="42">
                        <c:v>5.289229195701816E-2</c:v>
                      </c:pt>
                      <c:pt idx="43">
                        <c:v>0.17211805434560609</c:v>
                      </c:pt>
                      <c:pt idx="44">
                        <c:v>0.48787673256248693</c:v>
                      </c:pt>
                      <c:pt idx="45">
                        <c:v>1.232404561241581</c:v>
                      </c:pt>
                      <c:pt idx="46">
                        <c:v>2.8244131218996005</c:v>
                      </c:pt>
                      <c:pt idx="47">
                        <c:v>5.9570265831536959</c:v>
                      </c:pt>
                      <c:pt idx="48">
                        <c:v>11.696728324452055</c:v>
                      </c:pt>
                      <c:pt idx="49">
                        <c:v>21.583926129223123</c:v>
                      </c:pt>
                      <c:pt idx="50">
                        <c:v>37.724019062370473</c:v>
                      </c:pt>
                      <c:pt idx="51">
                        <c:v>62.857858736043291</c:v>
                      </c:pt>
                      <c:pt idx="52">
                        <c:v>100.40214228955595</c:v>
                      </c:pt>
                      <c:pt idx="53">
                        <c:v>154.45315185535208</c:v>
                      </c:pt>
                      <c:pt idx="54">
                        <c:v>229.75081032074394</c:v>
                      </c:pt>
                      <c:pt idx="55">
                        <c:v>331.60368823539022</c:v>
                      </c:pt>
                      <c:pt idx="56">
                        <c:v>465.77889435556489</c:v>
                      </c:pt>
                      <c:pt idx="57">
                        <c:v>638.36338064302606</c:v>
                      </c:pt>
                      <c:pt idx="58">
                        <c:v>855.6049183896896</c:v>
                      </c:pt>
                      <c:pt idx="59">
                        <c:v>1123.7418244760652</c:v>
                      </c:pt>
                      <c:pt idx="60">
                        <c:v>1448.8305134421209</c:v>
                      </c:pt>
                      <c:pt idx="61">
                        <c:v>1836.5792702222441</c:v>
                      </c:pt>
                      <c:pt idx="62">
                        <c:v>2292.1954624306022</c:v>
                      </c:pt>
                      <c:pt idx="63">
                        <c:v>2820.2519272416362</c:v>
                      </c:pt>
                      <c:pt idx="64">
                        <c:v>3424.5766475447799</c:v>
                      </c:pt>
                      <c:pt idx="65">
                        <c:v>4108.168218034295</c:v>
                      </c:pt>
                      <c:pt idx="66">
                        <c:v>4873.1381029957529</c:v>
                      </c:pt>
                      <c:pt idx="67">
                        <c:v>5720.6793780428634</c:v>
                      </c:pt>
                      <c:pt idx="68">
                        <c:v>6651.0605708092144</c:v>
                      </c:pt>
                      <c:pt idx="69">
                        <c:v>7663.6423871361549</c:v>
                      </c:pt>
                      <c:pt idx="70">
                        <c:v>8756.9145256784268</c:v>
                      </c:pt>
                      <c:pt idx="71">
                        <c:v>9928.5494264847639</c:v>
                      </c:pt>
                      <c:pt idx="72">
                        <c:v>11175.46964004266</c:v>
                      </c:pt>
                      <c:pt idx="73">
                        <c:v>12493.925509581044</c:v>
                      </c:pt>
                      <c:pt idx="74">
                        <c:v>13879.579996701837</c:v>
                      </c:pt>
                      <c:pt idx="75">
                        <c:v>15327.597715323067</c:v>
                      </c:pt>
                      <c:pt idx="76">
                        <c:v>16832.735540922957</c:v>
                      </c:pt>
                      <c:pt idx="77">
                        <c:v>18389.432504465833</c:v>
                      </c:pt>
                      <c:pt idx="78">
                        <c:v>19991.897040773845</c:v>
                      </c:pt>
                      <c:pt idx="79">
                        <c:v>21634.190021491242</c:v>
                      </c:pt>
                      <c:pt idx="80">
                        <c:v>23310.302349365797</c:v>
                      </c:pt>
                      <c:pt idx="81">
                        <c:v>25014.226213352795</c:v>
                      </c:pt>
                      <c:pt idx="82">
                        <c:v>26740.019396335363</c:v>
                      </c:pt>
                      <c:pt idx="83">
                        <c:v>28481.862285154002</c:v>
                      </c:pt>
                      <c:pt idx="84">
                        <c:v>30234.107454482848</c:v>
                      </c:pt>
                      <c:pt idx="85">
                        <c:v>31991.321881984775</c:v>
                      </c:pt>
                      <c:pt idx="86">
                        <c:v>33748.322003527355</c:v>
                      </c:pt>
                      <c:pt idx="87">
                        <c:v>35500.201936379526</c:v>
                      </c:pt>
                      <c:pt idx="88">
                        <c:v>37242.355288164421</c:v>
                      </c:pt>
                      <c:pt idx="89">
                        <c:v>38970.491033185979</c:v>
                      </c:pt>
                      <c:pt idx="90">
                        <c:v>40680.643978973909</c:v>
                      </c:pt>
                      <c:pt idx="91">
                        <c:v>42369.180367868961</c:v>
                      </c:pt>
                      <c:pt idx="92">
                        <c:v>44032.799164431563</c:v>
                      </c:pt>
                      <c:pt idx="93">
                        <c:v>45668.529572397463</c:v>
                      </c:pt>
                      <c:pt idx="94">
                        <c:v>47273.725307568522</c:v>
                      </c:pt>
                      <c:pt idx="95">
                        <c:v>48846.056127844786</c:v>
                      </c:pt>
                      <c:pt idx="96">
                        <c:v>50383.497090705459</c:v>
                      </c:pt>
                      <c:pt idx="97">
                        <c:v>51884.31597367175</c:v>
                      </c:pt>
                      <c:pt idx="98">
                        <c:v>53347.059256157372</c:v>
                      </c:pt>
                      <c:pt idx="99">
                        <c:v>54770.537022930162</c:v>
                      </c:pt>
                      <c:pt idx="100">
                        <c:v>56153.80711118412</c:v>
                      </c:pt>
                      <c:pt idx="101">
                        <c:v>57496.158785785505</c:v>
                      </c:pt>
                      <c:pt idx="102">
                        <c:v>58797.096191230899</c:v>
                      </c:pt>
                      <c:pt idx="103">
                        <c:v>60056.3217947015</c:v>
                      </c:pt>
                      <c:pt idx="104">
                        <c:v>61273.720002643167</c:v>
                      </c:pt>
                      <c:pt idx="105">
                        <c:v>62449.3411037525</c:v>
                      </c:pt>
                      <c:pt idx="106">
                        <c:v>63583.38566421374</c:v>
                      </c:pt>
                      <c:pt idx="107">
                        <c:v>64676.189476553751</c:v>
                      </c:pt>
                      <c:pt idx="108">
                        <c:v>65728.209141519241</c:v>
                      </c:pt>
                      <c:pt idx="109">
                        <c:v>66740.0083428785</c:v>
                      </c:pt>
                      <c:pt idx="110">
                        <c:v>67712.244857883314</c:v>
                      </c:pt>
                      <c:pt idx="111">
                        <c:v>68645.658331171959</c:v>
                      </c:pt>
                      <c:pt idx="112">
                        <c:v>69541.058826994791</c:v>
                      </c:pt>
                      <c:pt idx="113">
                        <c:v>70399.316163647018</c:v>
                      </c:pt>
                      <c:pt idx="114">
                        <c:v>71221.350024725776</c:v>
                      </c:pt>
                      <c:pt idx="115">
                        <c:v>72008.120834134315</c:v>
                      </c:pt>
                      <c:pt idx="116">
                        <c:v>72760.621375470975</c:v>
                      </c:pt>
                      <c:pt idx="117">
                        <c:v>73479.869131409956</c:v>
                      </c:pt>
                      <c:pt idx="118">
                        <c:v>74166.8993147609</c:v>
                      </c:pt>
                      <c:pt idx="119">
                        <c:v>74822.758559943803</c:v>
                      </c:pt>
                      <c:pt idx="120">
                        <c:v>75448.499241512851</c:v>
                      </c:pt>
                      <c:pt idx="121">
                        <c:v>76045.1743849841</c:v>
                      </c:pt>
                      <c:pt idx="122">
                        <c:v>76613.833134465094</c:v>
                      </c:pt>
                      <c:pt idx="123">
                        <c:v>77155.516741352141</c:v>
                      </c:pt>
                      <c:pt idx="124">
                        <c:v>77671.255038565258</c:v>
                      </c:pt>
                      <c:pt idx="125">
                        <c:v>78162.063365355221</c:v>
                      </c:pt>
                      <c:pt idx="126">
                        <c:v>78628.939908572895</c:v>
                      </c:pt>
                      <c:pt idx="127">
                        <c:v>79072.86342737946</c:v>
                      </c:pt>
                      <c:pt idx="128">
                        <c:v>79494.791329642132</c:v>
                      </c:pt>
                      <c:pt idx="129">
                        <c:v>79895.658069660931</c:v>
                      </c:pt>
                      <c:pt idx="130">
                        <c:v>80276.373838365733</c:v>
                      </c:pt>
                      <c:pt idx="131">
                        <c:v>80637.823518680394</c:v>
                      </c:pt>
                      <c:pt idx="132">
                        <c:v>80980.86588033702</c:v>
                      </c:pt>
                      <c:pt idx="133">
                        <c:v>81306.332990023977</c:v>
                      </c:pt>
                      <c:pt idx="134">
                        <c:v>81615.02981433706</c:v>
                      </c:pt>
                      <c:pt idx="135">
                        <c:v>81907.733994565613</c:v>
                      </c:pt>
                      <c:pt idx="136">
                        <c:v>82185.195773867905</c:v>
                      </c:pt>
                      <c:pt idx="137">
                        <c:v>82448.138058862911</c:v>
                      </c:pt>
                      <c:pt idx="138">
                        <c:v>82697.256599083383</c:v>
                      </c:pt>
                      <c:pt idx="139">
                        <c:v>82933.220269088051</c:v>
                      </c:pt>
                      <c:pt idx="140">
                        <c:v>83156.671439319733</c:v>
                      </c:pt>
                      <c:pt idx="141">
                        <c:v>83368.226423014072</c:v>
                      </c:pt>
                      <c:pt idx="142">
                        <c:v>83568.475987613274</c:v>
                      </c:pt>
                      <c:pt idx="143">
                        <c:v>83757.985920216946</c:v>
                      </c:pt>
                      <c:pt idx="144">
                        <c:v>83937.297637611147</c:v>
                      </c:pt>
                      <c:pt idx="145">
                        <c:v>84106.928832356643</c:v>
                      </c:pt>
                      <c:pt idx="146">
                        <c:v>84267.37414729064</c:v>
                      </c:pt>
                      <c:pt idx="147">
                        <c:v>84419.10587160557</c:v>
                      </c:pt>
                      <c:pt idx="148">
                        <c:v>84562.574652415191</c:v>
                      </c:pt>
                      <c:pt idx="149">
                        <c:v>84698.210216405729</c:v>
                      </c:pt>
                      <c:pt idx="150">
                        <c:v>84826.422096802387</c:v>
                      </c:pt>
                      <c:pt idx="151">
                        <c:v>84947.600361458666</c:v>
                      </c:pt>
                      <c:pt idx="152">
                        <c:v>85062.116338405118</c:v>
                      </c:pt>
                      <c:pt idx="153">
                        <c:v>85170.323335674941</c:v>
                      </c:pt>
                      <c:pt idx="154">
                        <c:v>85272.55735266082</c:v>
                      </c:pt>
                      <c:pt idx="155">
                        <c:v>85369.137780653706</c:v>
                      </c:pt>
                      <c:pt idx="156">
                        <c:v>85460.368090571821</c:v>
                      </c:pt>
                      <c:pt idx="157">
                        <c:v>85546.536506210832</c:v>
                      </c:pt>
                      <c:pt idx="158">
                        <c:v>85627.916661635274</c:v>
                      </c:pt>
                      <c:pt idx="159">
                        <c:v>85704.768241591519</c:v>
                      </c:pt>
                      <c:pt idx="160">
                        <c:v>85777.337604053508</c:v>
                      </c:pt>
                      <c:pt idx="161">
                        <c:v>85845.858384218838</c:v>
                      </c:pt>
                      <c:pt idx="162">
                        <c:v>85910.552079455883</c:v>
                      </c:pt>
                      <c:pt idx="163">
                        <c:v>85971.628614863439</c:v>
                      </c:pt>
                      <c:pt idx="164">
                        <c:v>86029.286889247014</c:v>
                      </c:pt>
                      <c:pt idx="165">
                        <c:v>86083.71530143969</c:v>
                      </c:pt>
                      <c:pt idx="166">
                        <c:v>86135.092257003984</c:v>
                      </c:pt>
                      <c:pt idx="167">
                        <c:v>86183.586655444858</c:v>
                      </c:pt>
                      <c:pt idx="168">
                        <c:v>86229.358358144367</c:v>
                      </c:pt>
                      <c:pt idx="169">
                        <c:v>86272.558637297756</c:v>
                      </c:pt>
                      <c:pt idx="170">
                        <c:v>86313.330606188189</c:v>
                      </c:pt>
                      <c:pt idx="171">
                        <c:v>86351.809631186756</c:v>
                      </c:pt>
                      <c:pt idx="172">
                        <c:v>86388.123725904021</c:v>
                      </c:pt>
                      <c:pt idx="173">
                        <c:v>86422.393927951678</c:v>
                      </c:pt>
                      <c:pt idx="174">
                        <c:v>86454.7346587996</c:v>
                      </c:pt>
                      <c:pt idx="175">
                        <c:v>86485.254067232017</c:v>
                      </c:pt>
                      <c:pt idx="176">
                        <c:v>86514.054356922541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C697-44AA-A96B-8DCC64E76E94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LNorm'!$P$7</c15:sqref>
                        </c15:formulaRef>
                      </c:ext>
                    </c:extLst>
                    <c:strCache>
                      <c:ptCount val="1"/>
                      <c:pt idx="0">
                        <c:v>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LNorm'!$P$8:$P$184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697-44AA-A96B-8DCC64E76E94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LNorm'!$Q$7</c15:sqref>
                        </c15:formulaRef>
                      </c:ext>
                    </c:extLst>
                    <c:strCache>
                      <c:ptCount val="1"/>
                      <c:pt idx="0">
                        <c:v>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LNorm'!$Q$8:$Q$184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697-44AA-A96B-8DCC64E76E94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'Cumul_cases - LNorm'!$T$7</c15:sqref>
                        </c15:formulaRef>
                      </c:ext>
                    </c:extLst>
                    <c:strCache>
                      <c:ptCount val="1"/>
                      <c:pt idx="0">
                        <c:v>rest of Italy fit</c:v>
                      </c:pt>
                    </c:strCache>
                  </c:strRef>
                </c:tx>
                <c:spPr>
                  <a:ln w="952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'Cumul_cases - LNorm'!$T$8:$T$184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1.9507327401080682E-56</c:v>
                      </c:pt>
                      <c:pt idx="38">
                        <c:v>2.4258346319876795E-27</c:v>
                      </c:pt>
                      <c:pt idx="39">
                        <c:v>9.0611137748086005E-19</c:v>
                      </c:pt>
                      <c:pt idx="40">
                        <c:v>4.4611368624324991E-14</c:v>
                      </c:pt>
                      <c:pt idx="41">
                        <c:v>5.4492801872499963E-11</c:v>
                      </c:pt>
                      <c:pt idx="42">
                        <c:v>9.2374410644758984E-9</c:v>
                      </c:pt>
                      <c:pt idx="43">
                        <c:v>4.6753772985919447E-7</c:v>
                      </c:pt>
                      <c:pt idx="44">
                        <c:v>1.0569392149442228E-5</c:v>
                      </c:pt>
                      <c:pt idx="45">
                        <c:v>1.3509330492944511E-4</c:v>
                      </c:pt>
                      <c:pt idx="46">
                        <c:v>1.1329276107491756E-3</c:v>
                      </c:pt>
                      <c:pt idx="47">
                        <c:v>6.8853047554286546E-3</c:v>
                      </c:pt>
                      <c:pt idx="48">
                        <c:v>3.250241220883384E-2</c:v>
                      </c:pt>
                      <c:pt idx="49">
                        <c:v>0.12529684172525352</c:v>
                      </c:pt>
                      <c:pt idx="50">
                        <c:v>0.40942503163152882</c:v>
                      </c:pt>
                      <c:pt idx="51">
                        <c:v>1.166635984039708</c:v>
                      </c:pt>
                      <c:pt idx="52">
                        <c:v>2.9634107340692979</c:v>
                      </c:pt>
                      <c:pt idx="53">
                        <c:v>6.8282200200796863</c:v>
                      </c:pt>
                      <c:pt idx="54">
                        <c:v>14.472768060535266</c:v>
                      </c:pt>
                      <c:pt idx="55">
                        <c:v>28.540319273609629</c:v>
                      </c:pt>
                      <c:pt idx="56">
                        <c:v>52.855278634221321</c:v>
                      </c:pt>
                      <c:pt idx="57">
                        <c:v>92.643298386472409</c:v>
                      </c:pt>
                      <c:pt idx="58">
                        <c:v>154.69135092058042</c:v>
                      </c:pt>
                      <c:pt idx="59">
                        <c:v>247.42222963734693</c:v>
                      </c:pt>
                      <c:pt idx="60">
                        <c:v>380.86663026803939</c:v>
                      </c:pt>
                      <c:pt idx="61">
                        <c:v>566.52661474504566</c:v>
                      </c:pt>
                      <c:pt idx="62">
                        <c:v>817.13509237138612</c:v>
                      </c:pt>
                      <c:pt idx="63">
                        <c:v>1146.3254735417293</c:v>
                      </c:pt>
                      <c:pt idx="64">
                        <c:v>1568.2328388552471</c:v>
                      </c:pt>
                      <c:pt idx="65">
                        <c:v>2097.0523245860077</c:v>
                      </c:pt>
                      <c:pt idx="66">
                        <c:v>2746.5819261065622</c:v>
                      </c:pt>
                      <c:pt idx="67">
                        <c:v>3529.7758891787362</c:v>
                      </c:pt>
                      <c:pt idx="68">
                        <c:v>4458.3318388133321</c:v>
                      </c:pt>
                      <c:pt idx="69">
                        <c:v>5542.3304236886052</c:v>
                      </c:pt>
                      <c:pt idx="70">
                        <c:v>6789.9411612720642</c:v>
                      </c:pt>
                      <c:pt idx="71">
                        <c:v>8207.2029099055053</c:v>
                      </c:pt>
                      <c:pt idx="72">
                        <c:v>9797.8824105135063</c:v>
                      </c:pt>
                      <c:pt idx="73">
                        <c:v>11563.409946216672</c:v>
                      </c:pt>
                      <c:pt idx="74">
                        <c:v>13502.887554047407</c:v>
                      </c:pt>
                      <c:pt idx="75">
                        <c:v>15613.162473367664</c:v>
                      </c:pt>
                      <c:pt idx="76">
                        <c:v>17888.956629534136</c:v>
                      </c:pt>
                      <c:pt idx="77">
                        <c:v>20323.041866037074</c:v>
                      </c:pt>
                      <c:pt idx="78">
                        <c:v>22906.450250895345</c:v>
                      </c:pt>
                      <c:pt idx="79">
                        <c:v>25628.708969359228</c:v>
                      </c:pt>
                      <c:pt idx="80">
                        <c:v>28478.089944348303</c:v>
                      </c:pt>
                      <c:pt idx="81">
                        <c:v>31441.865272423573</c:v>
                      </c:pt>
                      <c:pt idx="82">
                        <c:v>34506.560712151368</c:v>
                      </c:pt>
                      <c:pt idx="83">
                        <c:v>37658.20071523654</c:v>
                      </c:pt>
                      <c:pt idx="84">
                        <c:v>40882.539768465918</c:v>
                      </c:pt>
                      <c:pt idx="85">
                        <c:v>44165.276053994246</c:v>
                      </c:pt>
                      <c:pt idx="86">
                        <c:v>47492.244591342511</c:v>
                      </c:pt>
                      <c:pt idx="87">
                        <c:v>50849.58806611818</c:v>
                      </c:pt>
                      <c:pt idx="88">
                        <c:v>54223.904460029429</c:v>
                      </c:pt>
                      <c:pt idx="89">
                        <c:v>57602.371366640451</c:v>
                      </c:pt>
                      <c:pt idx="90">
                        <c:v>60972.847507879022</c:v>
                      </c:pt>
                      <c:pt idx="91">
                        <c:v>64323.952463805501</c:v>
                      </c:pt>
                      <c:pt idx="92">
                        <c:v>67645.126002901379</c:v>
                      </c:pt>
                      <c:pt idx="93">
                        <c:v>70926.668664974175</c:v>
                      </c:pt>
                      <c:pt idx="94">
                        <c:v>74159.765417855233</c:v>
                      </c:pt>
                      <c:pt idx="95">
                        <c:v>77336.494296891717</c:v>
                      </c:pt>
                      <c:pt idx="96">
                        <c:v>80449.821956939806</c:v>
                      </c:pt>
                      <c:pt idx="97">
                        <c:v>83493.588033471126</c:v>
                      </c:pt>
                      <c:pt idx="98">
                        <c:v>86462.480134613143</c:v>
                      </c:pt>
                      <c:pt idx="99">
                        <c:v>89352.001180257022</c:v>
                      </c:pt>
                      <c:pt idx="100">
                        <c:v>92158.430677105629</c:v>
                      </c:pt>
                      <c:pt idx="101">
                        <c:v>94878.781377666935</c:v>
                      </c:pt>
                      <c:pt idx="102">
                        <c:v>97510.752623245149</c:v>
                      </c:pt>
                      <c:pt idx="103">
                        <c:v>100052.68152131849</c:v>
                      </c:pt>
                      <c:pt idx="104">
                        <c:v>102503.49296044245</c:v>
                      </c:pt>
                      <c:pt idx="105">
                        <c:v>104862.64932420803</c:v>
                      </c:pt>
                      <c:pt idx="106">
                        <c:v>107130.10063210889</c:v>
                      </c:pt>
                      <c:pt idx="107">
                        <c:v>109306.23571102909</c:v>
                      </c:pt>
                      <c:pt idx="108">
                        <c:v>111391.83488743517</c:v>
                      </c:pt>
                      <c:pt idx="109">
                        <c:v>113388.02458773604</c:v>
                      </c:pt>
                      <c:pt idx="110">
                        <c:v>115296.23414275379</c:v>
                      </c:pt>
                      <c:pt idx="111">
                        <c:v>117118.15501163721</c:v>
                      </c:pt>
                      <c:pt idx="112">
                        <c:v>118855.70257040823</c:v>
                      </c:pt>
                      <c:pt idx="113">
                        <c:v>120510.9805500728</c:v>
                      </c:pt>
                      <c:pt idx="114">
                        <c:v>122086.24815815724</c:v>
                      </c:pt>
                      <c:pt idx="115">
                        <c:v>123583.88987487515</c:v>
                      </c:pt>
                      <c:pt idx="116">
                        <c:v>125006.38788010621</c:v>
                      </c:pt>
                      <c:pt idx="117">
                        <c:v>126356.29703916883</c:v>
                      </c:pt>
                      <c:pt idx="118">
                        <c:v>127636.22235321964</c:v>
                      </c:pt>
                      <c:pt idx="119">
                        <c:v>128848.7987632664</c:v>
                      </c:pt>
                      <c:pt idx="120">
                        <c:v>129996.67318453532</c:v>
                      </c:pt>
                      <c:pt idx="121">
                        <c:v>131082.48863962723</c:v>
                      </c:pt>
                      <c:pt idx="122">
                        <c:v>132108.87035394527</c:v>
                      </c:pt>
                      <c:pt idx="123">
                        <c:v>133078.41367472205</c:v>
                      </c:pt>
                      <c:pt idx="124">
                        <c:v>133993.67367513973</c:v>
                      </c:pt>
                      <c:pt idx="125">
                        <c:v>134857.15630708213</c:v>
                      </c:pt>
                      <c:pt idx="126">
                        <c:v>135671.31096960977</c:v>
                      </c:pt>
                      <c:pt idx="127">
                        <c:v>136438.52436496739</c:v>
                      </c:pt>
                      <c:pt idx="128">
                        <c:v>137161.11551953363</c:v>
                      </c:pt>
                      <c:pt idx="129">
                        <c:v>137841.33185336328</c:v>
                      </c:pt>
                      <c:pt idx="130">
                        <c:v>138481.34618863615</c:v>
                      </c:pt>
                      <c:pt idx="131">
                        <c:v>139083.25459424485</c:v>
                      </c:pt>
                      <c:pt idx="132">
                        <c:v>139649.07497077979</c:v>
                      </c:pt>
                      <c:pt idx="133">
                        <c:v>140180.74628718375</c:v>
                      </c:pt>
                      <c:pt idx="134">
                        <c:v>140680.12838725458</c:v>
                      </c:pt>
                      <c:pt idx="135">
                        <c:v>141149.00229090173</c:v>
                      </c:pt>
                      <c:pt idx="136">
                        <c:v>141589.07092154451</c:v>
                      </c:pt>
                      <c:pt idx="137">
                        <c:v>142001.96019724241</c:v>
                      </c:pt>
                      <c:pt idx="138">
                        <c:v>142389.22042903272</c:v>
                      </c:pt>
                      <c:pt idx="139">
                        <c:v>142752.32797550212</c:v>
                      </c:pt>
                      <c:pt idx="140">
                        <c:v>143092.68710782341</c:v>
                      </c:pt>
                      <c:pt idx="141">
                        <c:v>143411.63204434121</c:v>
                      </c:pt>
                      <c:pt idx="142">
                        <c:v>143710.42911829479</c:v>
                      </c:pt>
                      <c:pt idx="143">
                        <c:v>143990.27904642586</c:v>
                      </c:pt>
                      <c:pt idx="144">
                        <c:v>144252.31927004526</c:v>
                      </c:pt>
                      <c:pt idx="145">
                        <c:v>144497.62634363666</c:v>
                      </c:pt>
                      <c:pt idx="146">
                        <c:v>144727.218349273</c:v>
                      </c:pt>
                      <c:pt idx="147">
                        <c:v>144942.05731802669</c:v>
                      </c:pt>
                      <c:pt idx="148">
                        <c:v>145143.05164218618</c:v>
                      </c:pt>
                      <c:pt idx="149">
                        <c:v>145331.05846446479</c:v>
                      </c:pt>
                      <c:pt idx="150">
                        <c:v>145506.8860325217</c:v>
                      </c:pt>
                      <c:pt idx="151">
                        <c:v>145671.29600902554</c:v>
                      </c:pt>
                      <c:pt idx="152">
                        <c:v>145825.00572919563</c:v>
                      </c:pt>
                      <c:pt idx="153">
                        <c:v>145968.69039927144</c:v>
                      </c:pt>
                      <c:pt idx="154">
                        <c:v>146102.98523070125</c:v>
                      </c:pt>
                      <c:pt idx="155">
                        <c:v>146228.48750602425</c:v>
                      </c:pt>
                      <c:pt idx="156">
                        <c:v>146345.7585734569</c:v>
                      </c:pt>
                      <c:pt idx="157">
                        <c:v>146455.32576810059</c:v>
                      </c:pt>
                      <c:pt idx="158">
                        <c:v>146557.68425847558</c:v>
                      </c:pt>
                      <c:pt idx="159">
                        <c:v>146653.29881776491</c:v>
                      </c:pt>
                      <c:pt idx="160">
                        <c:v>146742.60551973694</c:v>
                      </c:pt>
                      <c:pt idx="161">
                        <c:v>146826.01335981127</c:v>
                      </c:pt>
                      <c:pt idx="162">
                        <c:v>146903.90580215378</c:v>
                      </c:pt>
                      <c:pt idx="163">
                        <c:v>146976.64225403685</c:v>
                      </c:pt>
                      <c:pt idx="164">
                        <c:v>147044.55946899249</c:v>
                      </c:pt>
                      <c:pt idx="165">
                        <c:v>147107.97288052144</c:v>
                      </c:pt>
                      <c:pt idx="166">
                        <c:v>147167.17786831071</c:v>
                      </c:pt>
                      <c:pt idx="167">
                        <c:v>147222.4509590595</c:v>
                      </c:pt>
                      <c:pt idx="168">
                        <c:v>147274.0509641236</c:v>
                      </c:pt>
                      <c:pt idx="169">
                        <c:v>147322.22005626812</c:v>
                      </c:pt>
                      <c:pt idx="170">
                        <c:v>147367.18478786966</c:v>
                      </c:pt>
                      <c:pt idx="171">
                        <c:v>147409.1570529367</c:v>
                      </c:pt>
                      <c:pt idx="172">
                        <c:v>147448.33499532519</c:v>
                      </c:pt>
                      <c:pt idx="173">
                        <c:v>147484.90386551686</c:v>
                      </c:pt>
                      <c:pt idx="174">
                        <c:v>147519.03682830275</c:v>
                      </c:pt>
                      <c:pt idx="175">
                        <c:v>147550.89572367969</c:v>
                      </c:pt>
                      <c:pt idx="176">
                        <c:v>147580.63178322028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697-44AA-A96B-8DCC64E76E94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LNorm'!$W$7</c15:sqref>
                        </c15:formulaRef>
                      </c:ext>
                    </c:extLst>
                    <c:strCache>
                      <c:ptCount val="1"/>
                      <c:pt idx="0">
                        <c:v>o.r.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LNorm'!$W$8:$W$184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104195.92689792225</c:v>
                      </c:pt>
                      <c:pt idx="1">
                        <c:v>104195.92689792225</c:v>
                      </c:pt>
                      <c:pt idx="2">
                        <c:v>104195.92689792225</c:v>
                      </c:pt>
                      <c:pt idx="3">
                        <c:v>104195.92689792225</c:v>
                      </c:pt>
                      <c:pt idx="4">
                        <c:v>104195.92689792225</c:v>
                      </c:pt>
                      <c:pt idx="5">
                        <c:v>104195.92689792225</c:v>
                      </c:pt>
                      <c:pt idx="6">
                        <c:v>104195.92689792225</c:v>
                      </c:pt>
                      <c:pt idx="7">
                        <c:v>104195.92689792225</c:v>
                      </c:pt>
                      <c:pt idx="8">
                        <c:v>104195.92689792225</c:v>
                      </c:pt>
                      <c:pt idx="9">
                        <c:v>104195.92689792225</c:v>
                      </c:pt>
                      <c:pt idx="10">
                        <c:v>104195.92689792225</c:v>
                      </c:pt>
                      <c:pt idx="11">
                        <c:v>104195.92689792225</c:v>
                      </c:pt>
                      <c:pt idx="12">
                        <c:v>104195.92689792225</c:v>
                      </c:pt>
                      <c:pt idx="13">
                        <c:v>104195.92689792225</c:v>
                      </c:pt>
                      <c:pt idx="14">
                        <c:v>104195.92689792225</c:v>
                      </c:pt>
                      <c:pt idx="15">
                        <c:v>104195.92689792225</c:v>
                      </c:pt>
                      <c:pt idx="16">
                        <c:v>104195.92689792225</c:v>
                      </c:pt>
                      <c:pt idx="17">
                        <c:v>104195.92689792225</c:v>
                      </c:pt>
                      <c:pt idx="18">
                        <c:v>104195.92689792225</c:v>
                      </c:pt>
                      <c:pt idx="19">
                        <c:v>104195.92689792225</c:v>
                      </c:pt>
                      <c:pt idx="20">
                        <c:v>104195.92689792225</c:v>
                      </c:pt>
                      <c:pt idx="21">
                        <c:v>104195.92689792225</c:v>
                      </c:pt>
                      <c:pt idx="22">
                        <c:v>104195.92689792225</c:v>
                      </c:pt>
                      <c:pt idx="23">
                        <c:v>104195.92689792225</c:v>
                      </c:pt>
                      <c:pt idx="24">
                        <c:v>104195.92689792225</c:v>
                      </c:pt>
                      <c:pt idx="25">
                        <c:v>104195.92689792225</c:v>
                      </c:pt>
                      <c:pt idx="26">
                        <c:v>104195.92689792225</c:v>
                      </c:pt>
                      <c:pt idx="27">
                        <c:v>104195.92689792225</c:v>
                      </c:pt>
                      <c:pt idx="28">
                        <c:v>104195.92689792225</c:v>
                      </c:pt>
                      <c:pt idx="29">
                        <c:v>104195.92689792225</c:v>
                      </c:pt>
                      <c:pt idx="30">
                        <c:v>104195.92689792225</c:v>
                      </c:pt>
                      <c:pt idx="31">
                        <c:v>104195.92689792225</c:v>
                      </c:pt>
                      <c:pt idx="32">
                        <c:v>104195.92689792225</c:v>
                      </c:pt>
                      <c:pt idx="33">
                        <c:v>104195.92689792225</c:v>
                      </c:pt>
                      <c:pt idx="34">
                        <c:v>104195.92689792225</c:v>
                      </c:pt>
                      <c:pt idx="35">
                        <c:v>104195.92689792225</c:v>
                      </c:pt>
                      <c:pt idx="36">
                        <c:v>104195.92689792225</c:v>
                      </c:pt>
                      <c:pt idx="37">
                        <c:v>104195.92689792225</c:v>
                      </c:pt>
                      <c:pt idx="38">
                        <c:v>104195.92689792225</c:v>
                      </c:pt>
                      <c:pt idx="39">
                        <c:v>104195.92689792225</c:v>
                      </c:pt>
                      <c:pt idx="40">
                        <c:v>104195.92689792225</c:v>
                      </c:pt>
                      <c:pt idx="41">
                        <c:v>104195.92689792231</c:v>
                      </c:pt>
                      <c:pt idx="42">
                        <c:v>104195.92689793149</c:v>
                      </c:pt>
                      <c:pt idx="43">
                        <c:v>104195.92689838979</c:v>
                      </c:pt>
                      <c:pt idx="44">
                        <c:v>104195.92690849165</c:v>
                      </c:pt>
                      <c:pt idx="45">
                        <c:v>104195.92703301556</c:v>
                      </c:pt>
                      <c:pt idx="46">
                        <c:v>104195.92803084987</c:v>
                      </c:pt>
                      <c:pt idx="47">
                        <c:v>104195.93378322701</c:v>
                      </c:pt>
                      <c:pt idx="48">
                        <c:v>104195.95940033447</c:v>
                      </c:pt>
                      <c:pt idx="49">
                        <c:v>104196.05219476398</c:v>
                      </c:pt>
                      <c:pt idx="50">
                        <c:v>104196.33632295388</c:v>
                      </c:pt>
                      <c:pt idx="51">
                        <c:v>104197.0935339063</c:v>
                      </c:pt>
                      <c:pt idx="52">
                        <c:v>104198.89030865632</c:v>
                      </c:pt>
                      <c:pt idx="53">
                        <c:v>104202.75511794233</c:v>
                      </c:pt>
                      <c:pt idx="54">
                        <c:v>104210.39966598278</c:v>
                      </c:pt>
                      <c:pt idx="55">
                        <c:v>104224.46721719587</c:v>
                      </c:pt>
                      <c:pt idx="56">
                        <c:v>104248.78217655647</c:v>
                      </c:pt>
                      <c:pt idx="57">
                        <c:v>104288.57019630872</c:v>
                      </c:pt>
                      <c:pt idx="58">
                        <c:v>104350.61824884283</c:v>
                      </c:pt>
                      <c:pt idx="59">
                        <c:v>104443.3491275596</c:v>
                      </c:pt>
                      <c:pt idx="60">
                        <c:v>104576.79352819029</c:v>
                      </c:pt>
                      <c:pt idx="61">
                        <c:v>104762.4535126673</c:v>
                      </c:pt>
                      <c:pt idx="62">
                        <c:v>105013.06199029365</c:v>
                      </c:pt>
                      <c:pt idx="63">
                        <c:v>105342.25237146398</c:v>
                      </c:pt>
                      <c:pt idx="64">
                        <c:v>105764.1597367775</c:v>
                      </c:pt>
                      <c:pt idx="65">
                        <c:v>106292.97922250826</c:v>
                      </c:pt>
                      <c:pt idx="66">
                        <c:v>106942.50882402882</c:v>
                      </c:pt>
                      <c:pt idx="67">
                        <c:v>107725.70278710099</c:v>
                      </c:pt>
                      <c:pt idx="68">
                        <c:v>108654.25873673559</c:v>
                      </c:pt>
                      <c:pt idx="69">
                        <c:v>109738.25732161086</c:v>
                      </c:pt>
                      <c:pt idx="70">
                        <c:v>110985.86805919431</c:v>
                      </c:pt>
                      <c:pt idx="71">
                        <c:v>112403.12980782776</c:v>
                      </c:pt>
                      <c:pt idx="72">
                        <c:v>113993.80930843577</c:v>
                      </c:pt>
                      <c:pt idx="73">
                        <c:v>115759.33684413893</c:v>
                      </c:pt>
                      <c:pt idx="74">
                        <c:v>117698.81445196967</c:v>
                      </c:pt>
                      <c:pt idx="75">
                        <c:v>119809.08937128991</c:v>
                      </c:pt>
                      <c:pt idx="76">
                        <c:v>122084.88352745639</c:v>
                      </c:pt>
                      <c:pt idx="77">
                        <c:v>124518.96876395933</c:v>
                      </c:pt>
                      <c:pt idx="78">
                        <c:v>127102.3771488176</c:v>
                      </c:pt>
                      <c:pt idx="79">
                        <c:v>129824.63586728148</c:v>
                      </c:pt>
                      <c:pt idx="80">
                        <c:v>132674.01684227056</c:v>
                      </c:pt>
                      <c:pt idx="81">
                        <c:v>135637.79217034584</c:v>
                      </c:pt>
                      <c:pt idx="82">
                        <c:v>138702.48761007361</c:v>
                      </c:pt>
                      <c:pt idx="83">
                        <c:v>141854.12761315878</c:v>
                      </c:pt>
                      <c:pt idx="84">
                        <c:v>145078.46666638818</c:v>
                      </c:pt>
                      <c:pt idx="85">
                        <c:v>148361.20295191649</c:v>
                      </c:pt>
                      <c:pt idx="86">
                        <c:v>151688.17148926476</c:v>
                      </c:pt>
                      <c:pt idx="87">
                        <c:v>155045.51496404043</c:v>
                      </c:pt>
                      <c:pt idx="88">
                        <c:v>158419.83135795168</c:v>
                      </c:pt>
                      <c:pt idx="89">
                        <c:v>161798.29826456271</c:v>
                      </c:pt>
                      <c:pt idx="90">
                        <c:v>165168.77440580126</c:v>
                      </c:pt>
                      <c:pt idx="91">
                        <c:v>168519.87936172774</c:v>
                      </c:pt>
                      <c:pt idx="92">
                        <c:v>171841.05290082365</c:v>
                      </c:pt>
                      <c:pt idx="93">
                        <c:v>175122.59556289643</c:v>
                      </c:pt>
                      <c:pt idx="94">
                        <c:v>178355.69231577747</c:v>
                      </c:pt>
                      <c:pt idx="95">
                        <c:v>181532.42119481397</c:v>
                      </c:pt>
                      <c:pt idx="96">
                        <c:v>184645.74885486206</c:v>
                      </c:pt>
                      <c:pt idx="97">
                        <c:v>187689.51493139338</c:v>
                      </c:pt>
                      <c:pt idx="98">
                        <c:v>190658.40703253541</c:v>
                      </c:pt>
                      <c:pt idx="99">
                        <c:v>193547.92807817928</c:v>
                      </c:pt>
                      <c:pt idx="100">
                        <c:v>196354.35757502788</c:v>
                      </c:pt>
                      <c:pt idx="101">
                        <c:v>199074.70827558919</c:v>
                      </c:pt>
                      <c:pt idx="102">
                        <c:v>201706.67952116742</c:v>
                      </c:pt>
                      <c:pt idx="103">
                        <c:v>204248.60841924074</c:v>
                      </c:pt>
                      <c:pt idx="104">
                        <c:v>206699.41985836471</c:v>
                      </c:pt>
                      <c:pt idx="105">
                        <c:v>209058.57622213027</c:v>
                      </c:pt>
                      <c:pt idx="106">
                        <c:v>211326.02753003116</c:v>
                      </c:pt>
                      <c:pt idx="107">
                        <c:v>213502.16260895133</c:v>
                      </c:pt>
                      <c:pt idx="108">
                        <c:v>215587.76178535743</c:v>
                      </c:pt>
                      <c:pt idx="109">
                        <c:v>217583.9514856583</c:v>
                      </c:pt>
                      <c:pt idx="110">
                        <c:v>219492.16104067606</c:v>
                      </c:pt>
                      <c:pt idx="111">
                        <c:v>221314.08190955946</c:v>
                      </c:pt>
                      <c:pt idx="112">
                        <c:v>223051.62946833047</c:v>
                      </c:pt>
                      <c:pt idx="113">
                        <c:v>224706.90744799504</c:v>
                      </c:pt>
                      <c:pt idx="114">
                        <c:v>226282.17505607949</c:v>
                      </c:pt>
                      <c:pt idx="115">
                        <c:v>227779.81677279741</c:v>
                      </c:pt>
                      <c:pt idx="116">
                        <c:v>229202.31477802846</c:v>
                      </c:pt>
                      <c:pt idx="117">
                        <c:v>230552.22393709107</c:v>
                      </c:pt>
                      <c:pt idx="118">
                        <c:v>231832.14925114188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697-44AA-A96B-8DCC64E76E94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LNorm'!$X$7</c15:sqref>
                        </c15:formulaRef>
                      </c:ext>
                    </c:extLst>
                    <c:strCache>
                      <c:ptCount val="1"/>
                      <c:pt idx="0">
                        <c:v>o.r.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LNorm'!$X$8:$X$184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666.72242628577806</c:v>
                      </c:pt>
                      <c:pt idx="106">
                        <c:v>2934.1737341866392</c:v>
                      </c:pt>
                      <c:pt idx="107">
                        <c:v>5110.3088131068362</c:v>
                      </c:pt>
                      <c:pt idx="108">
                        <c:v>7195.9079895129107</c:v>
                      </c:pt>
                      <c:pt idx="109">
                        <c:v>9192.0976898137887</c:v>
                      </c:pt>
                      <c:pt idx="110">
                        <c:v>11100.307244831536</c:v>
                      </c:pt>
                      <c:pt idx="111">
                        <c:v>12922.228113714955</c:v>
                      </c:pt>
                      <c:pt idx="112">
                        <c:v>14659.775672485979</c:v>
                      </c:pt>
                      <c:pt idx="113">
                        <c:v>16315.053652150542</c:v>
                      </c:pt>
                      <c:pt idx="114">
                        <c:v>17890.321260234981</c:v>
                      </c:pt>
                      <c:pt idx="115">
                        <c:v>19387.962976952898</c:v>
                      </c:pt>
                      <c:pt idx="116">
                        <c:v>20810.460982183955</c:v>
                      </c:pt>
                      <c:pt idx="117">
                        <c:v>22160.370141246574</c:v>
                      </c:pt>
                      <c:pt idx="118">
                        <c:v>23440.295455297382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697-44AA-A96B-8DCC64E76E9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'Cumul_cases - LNorm'!$D$7</c:f>
              <c:strCache>
                <c:ptCount val="1"/>
                <c:pt idx="0">
                  <c:v>Spain cum. Cases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LNorm'!$D$8:$D$184</c:f>
              <c:numCache>
                <c:formatCode>General</c:formatCode>
                <c:ptCount val="177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6</c:v>
                </c:pt>
                <c:pt idx="56">
                  <c:v>13</c:v>
                </c:pt>
                <c:pt idx="57">
                  <c:v>15</c:v>
                </c:pt>
                <c:pt idx="58">
                  <c:v>32</c:v>
                </c:pt>
                <c:pt idx="59">
                  <c:v>45</c:v>
                </c:pt>
                <c:pt idx="60">
                  <c:v>84</c:v>
                </c:pt>
                <c:pt idx="61">
                  <c:v>120</c:v>
                </c:pt>
                <c:pt idx="62">
                  <c:v>165</c:v>
                </c:pt>
                <c:pt idx="63">
                  <c:v>222</c:v>
                </c:pt>
                <c:pt idx="64">
                  <c:v>259</c:v>
                </c:pt>
                <c:pt idx="65">
                  <c:v>400</c:v>
                </c:pt>
                <c:pt idx="66">
                  <c:v>500</c:v>
                </c:pt>
                <c:pt idx="67">
                  <c:v>673</c:v>
                </c:pt>
                <c:pt idx="68">
                  <c:v>1073</c:v>
                </c:pt>
                <c:pt idx="69">
                  <c:v>1695</c:v>
                </c:pt>
                <c:pt idx="70">
                  <c:v>2277</c:v>
                </c:pt>
                <c:pt idx="71">
                  <c:v>2277</c:v>
                </c:pt>
                <c:pt idx="72">
                  <c:v>5232</c:v>
                </c:pt>
                <c:pt idx="73">
                  <c:v>6391</c:v>
                </c:pt>
                <c:pt idx="74">
                  <c:v>7798</c:v>
                </c:pt>
                <c:pt idx="75">
                  <c:v>9942</c:v>
                </c:pt>
                <c:pt idx="76">
                  <c:v>11748</c:v>
                </c:pt>
                <c:pt idx="77">
                  <c:v>13910</c:v>
                </c:pt>
                <c:pt idx="78">
                  <c:v>17963</c:v>
                </c:pt>
                <c:pt idx="79">
                  <c:v>20410</c:v>
                </c:pt>
                <c:pt idx="80">
                  <c:v>25374</c:v>
                </c:pt>
                <c:pt idx="81">
                  <c:v>28768</c:v>
                </c:pt>
                <c:pt idx="82">
                  <c:v>35136</c:v>
                </c:pt>
                <c:pt idx="83">
                  <c:v>39885</c:v>
                </c:pt>
                <c:pt idx="84">
                  <c:v>49515</c:v>
                </c:pt>
                <c:pt idx="85">
                  <c:v>57786</c:v>
                </c:pt>
                <c:pt idx="86">
                  <c:v>65719</c:v>
                </c:pt>
                <c:pt idx="87">
                  <c:v>73235</c:v>
                </c:pt>
                <c:pt idx="88">
                  <c:v>80110</c:v>
                </c:pt>
                <c:pt idx="89">
                  <c:v>87956</c:v>
                </c:pt>
                <c:pt idx="90">
                  <c:v>95923</c:v>
                </c:pt>
                <c:pt idx="91">
                  <c:v>104118</c:v>
                </c:pt>
                <c:pt idx="92">
                  <c:v>112065</c:v>
                </c:pt>
                <c:pt idx="93">
                  <c:v>119199</c:v>
                </c:pt>
                <c:pt idx="94">
                  <c:v>126168</c:v>
                </c:pt>
                <c:pt idx="95">
                  <c:v>131646</c:v>
                </c:pt>
                <c:pt idx="96">
                  <c:v>136675</c:v>
                </c:pt>
                <c:pt idx="97">
                  <c:v>141942</c:v>
                </c:pt>
                <c:pt idx="98">
                  <c:v>148220</c:v>
                </c:pt>
                <c:pt idx="99">
                  <c:v>153222</c:v>
                </c:pt>
                <c:pt idx="100">
                  <c:v>158273</c:v>
                </c:pt>
                <c:pt idx="101">
                  <c:v>163027</c:v>
                </c:pt>
                <c:pt idx="102">
                  <c:v>166831</c:v>
                </c:pt>
                <c:pt idx="103">
                  <c:v>170099</c:v>
                </c:pt>
                <c:pt idx="104">
                  <c:v>172541</c:v>
                </c:pt>
                <c:pt idx="105">
                  <c:v>177644</c:v>
                </c:pt>
                <c:pt idx="106">
                  <c:v>184948</c:v>
                </c:pt>
                <c:pt idx="107">
                  <c:v>190839</c:v>
                </c:pt>
                <c:pt idx="108">
                  <c:v>191726</c:v>
                </c:pt>
                <c:pt idx="109">
                  <c:v>198674</c:v>
                </c:pt>
                <c:pt idx="110">
                  <c:v>200210</c:v>
                </c:pt>
                <c:pt idx="111">
                  <c:v>204178</c:v>
                </c:pt>
                <c:pt idx="112">
                  <c:v>208389</c:v>
                </c:pt>
                <c:pt idx="113">
                  <c:v>213024</c:v>
                </c:pt>
                <c:pt idx="114">
                  <c:v>219764</c:v>
                </c:pt>
                <c:pt idx="115">
                  <c:v>223759</c:v>
                </c:pt>
                <c:pt idx="116">
                  <c:v>226629</c:v>
                </c:pt>
                <c:pt idx="117">
                  <c:v>229422</c:v>
                </c:pt>
                <c:pt idx="118">
                  <c:v>232128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'Cumul_cases - LNorm'!$I$7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LNorm'!$I$8:$I$184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8706.1787626415862</c:v>
                      </c:pt>
                      <c:pt idx="1">
                        <c:v>8706.1787626415862</c:v>
                      </c:pt>
                      <c:pt idx="2">
                        <c:v>8706.1787626415862</c:v>
                      </c:pt>
                      <c:pt idx="3">
                        <c:v>8706.1787626415862</c:v>
                      </c:pt>
                      <c:pt idx="4">
                        <c:v>8706.1787626415862</c:v>
                      </c:pt>
                      <c:pt idx="5">
                        <c:v>8706.1787626415862</c:v>
                      </c:pt>
                      <c:pt idx="6">
                        <c:v>8706.1787626415862</c:v>
                      </c:pt>
                      <c:pt idx="7">
                        <c:v>8706.1787626415862</c:v>
                      </c:pt>
                      <c:pt idx="8">
                        <c:v>8706.1787626415862</c:v>
                      </c:pt>
                      <c:pt idx="9">
                        <c:v>8706.1787626415862</c:v>
                      </c:pt>
                      <c:pt idx="10">
                        <c:v>8706.1787626415862</c:v>
                      </c:pt>
                      <c:pt idx="11">
                        <c:v>8706.1787626415862</c:v>
                      </c:pt>
                      <c:pt idx="12">
                        <c:v>8706.1787626415862</c:v>
                      </c:pt>
                      <c:pt idx="13">
                        <c:v>8706.1787626415862</c:v>
                      </c:pt>
                      <c:pt idx="14">
                        <c:v>8706.1787626415862</c:v>
                      </c:pt>
                      <c:pt idx="15">
                        <c:v>8706.1787626415862</c:v>
                      </c:pt>
                      <c:pt idx="16">
                        <c:v>8706.1787626415862</c:v>
                      </c:pt>
                      <c:pt idx="17">
                        <c:v>8706.1787626415862</c:v>
                      </c:pt>
                      <c:pt idx="18">
                        <c:v>8706.1787626415862</c:v>
                      </c:pt>
                      <c:pt idx="19">
                        <c:v>8706.1787626415862</c:v>
                      </c:pt>
                      <c:pt idx="20">
                        <c:v>8706.1787626415862</c:v>
                      </c:pt>
                      <c:pt idx="21">
                        <c:v>8706.1787626415862</c:v>
                      </c:pt>
                      <c:pt idx="22">
                        <c:v>8706.1787626415862</c:v>
                      </c:pt>
                      <c:pt idx="23">
                        <c:v>8706.1787626415862</c:v>
                      </c:pt>
                      <c:pt idx="24">
                        <c:v>8706.1787626415862</c:v>
                      </c:pt>
                      <c:pt idx="25">
                        <c:v>8706.1787626415862</c:v>
                      </c:pt>
                      <c:pt idx="26">
                        <c:v>8706.1787626415862</c:v>
                      </c:pt>
                      <c:pt idx="27">
                        <c:v>8706.1787626415862</c:v>
                      </c:pt>
                      <c:pt idx="28">
                        <c:v>8706.1787626415862</c:v>
                      </c:pt>
                      <c:pt idx="29">
                        <c:v>8706.1787626415862</c:v>
                      </c:pt>
                      <c:pt idx="30">
                        <c:v>8706.1787626415862</c:v>
                      </c:pt>
                      <c:pt idx="31">
                        <c:v>8706.1787626415862</c:v>
                      </c:pt>
                      <c:pt idx="32">
                        <c:v>8706.1787626415862</c:v>
                      </c:pt>
                      <c:pt idx="33">
                        <c:v>8706.1787626415862</c:v>
                      </c:pt>
                      <c:pt idx="34">
                        <c:v>8706.1787626415862</c:v>
                      </c:pt>
                      <c:pt idx="35">
                        <c:v>8706.1787626415862</c:v>
                      </c:pt>
                      <c:pt idx="36">
                        <c:v>8706.1787626415862</c:v>
                      </c:pt>
                      <c:pt idx="37">
                        <c:v>8706.1787626415862</c:v>
                      </c:pt>
                      <c:pt idx="38">
                        <c:v>8706.1787626415862</c:v>
                      </c:pt>
                      <c:pt idx="39">
                        <c:v>8706.1787626415862</c:v>
                      </c:pt>
                      <c:pt idx="40">
                        <c:v>8706.1787626415899</c:v>
                      </c:pt>
                      <c:pt idx="41">
                        <c:v>8706.1787626418936</c:v>
                      </c:pt>
                      <c:pt idx="42">
                        <c:v>8706.1787626525293</c:v>
                      </c:pt>
                      <c:pt idx="43">
                        <c:v>8706.1787628632192</c:v>
                      </c:pt>
                      <c:pt idx="44">
                        <c:v>8706.1787655459721</c:v>
                      </c:pt>
                      <c:pt idx="45">
                        <c:v>8706.1787895934358</c:v>
                      </c:pt>
                      <c:pt idx="46">
                        <c:v>8706.1789518426376</c:v>
                      </c:pt>
                      <c:pt idx="47">
                        <c:v>8706.1798185143271</c:v>
                      </c:pt>
                      <c:pt idx="48">
                        <c:v>8706.1836290674746</c:v>
                      </c:pt>
                      <c:pt idx="49">
                        <c:v>8706.1978472361225</c:v>
                      </c:pt>
                      <c:pt idx="50">
                        <c:v>8706.2439776498741</c:v>
                      </c:pt>
                      <c:pt idx="51">
                        <c:v>8706.3767024940971</c:v>
                      </c:pt>
                      <c:pt idx="52">
                        <c:v>8706.7208246741338</c:v>
                      </c:pt>
                      <c:pt idx="53">
                        <c:v>8707.5355854657264</c:v>
                      </c:pt>
                      <c:pt idx="54">
                        <c:v>8709.3167736841533</c:v>
                      </c:pt>
                      <c:pt idx="55">
                        <c:v>8712.9458343326787</c:v>
                      </c:pt>
                      <c:pt idx="56">
                        <c:v>8719.8914532848248</c:v>
                      </c:pt>
                      <c:pt idx="57">
                        <c:v>8732.4629529802623</c:v>
                      </c:pt>
                      <c:pt idx="58">
                        <c:v>8754.1070127737421</c:v>
                      </c:pt>
                      <c:pt idx="59">
                        <c:v>8789.7309328301835</c:v>
                      </c:pt>
                      <c:pt idx="60">
                        <c:v>8846.0283029272923</c:v>
                      </c:pt>
                      <c:pt idx="61">
                        <c:v>8931.777820280271</c:v>
                      </c:pt>
                      <c:pt idx="62">
                        <c:v>9058.0840544044859</c:v>
                      </c:pt>
                      <c:pt idx="63">
                        <c:v>9238.5305819622827</c:v>
                      </c:pt>
                      <c:pt idx="64">
                        <c:v>9489.2209464993593</c:v>
                      </c:pt>
                      <c:pt idx="65">
                        <c:v>9828.6906875690056</c:v>
                      </c:pt>
                      <c:pt idx="66">
                        <c:v>10277.683249667767</c:v>
                      </c:pt>
                      <c:pt idx="67">
                        <c:v>10858.792795163432</c:v>
                      </c:pt>
                      <c:pt idx="68">
                        <c:v>11595.986707809821</c:v>
                      </c:pt>
                      <c:pt idx="69">
                        <c:v>12514.028955010264</c:v>
                      </c:pt>
                      <c:pt idx="70">
                        <c:v>13637.83180772428</c:v>
                      </c:pt>
                      <c:pt idx="71">
                        <c:v>14991.767323649641</c:v>
                      </c:pt>
                      <c:pt idx="72">
                        <c:v>16598.971397509813</c:v>
                      </c:pt>
                      <c:pt idx="73">
                        <c:v>18480.672234317804</c:v>
                      </c:pt>
                      <c:pt idx="74">
                        <c:v>20655.572155168455</c:v>
                      </c:pt>
                      <c:pt idx="75">
                        <c:v>23139.307164929523</c:v>
                      </c:pt>
                      <c:pt idx="76">
                        <c:v>25944.003212427528</c:v>
                      </c:pt>
                      <c:pt idx="77">
                        <c:v>29077.942066180742</c:v>
                      </c:pt>
                      <c:pt idx="78">
                        <c:v>32545.343673878186</c:v>
                      </c:pt>
                      <c:pt idx="79">
                        <c:v>36346.266156308717</c:v>
                      </c:pt>
                      <c:pt idx="80">
                        <c:v>40476.61949926737</c:v>
                      </c:pt>
                      <c:pt idx="81">
                        <c:v>44928.28474796917</c:v>
                      </c:pt>
                      <c:pt idx="82">
                        <c:v>49689.327185761736</c:v>
                      </c:pt>
                      <c:pt idx="83">
                        <c:v>54744.289622110897</c:v>
                      </c:pt>
                      <c:pt idx="84">
                        <c:v>60074.550489882298</c:v>
                      </c:pt>
                      <c:pt idx="85">
                        <c:v>65658.730877095019</c:v>
                      </c:pt>
                      <c:pt idx="86">
                        <c:v>71473.134779685846</c:v>
                      </c:pt>
                      <c:pt idx="87">
                        <c:v>77492.207627492899</c:v>
                      </c:pt>
                      <c:pt idx="88">
                        <c:v>83688.999367572338</c:v>
                      </c:pt>
                      <c:pt idx="89">
                        <c:v>90035.61995235442</c:v>
                      </c:pt>
                      <c:pt idx="90">
                        <c:v>96503.676850397547</c:v>
                      </c:pt>
                      <c:pt idx="91">
                        <c:v>103064.68606483273</c:v>
                      </c:pt>
                      <c:pt idx="92">
                        <c:v>109690.45001651006</c:v>
                      </c:pt>
                      <c:pt idx="93">
                        <c:v>116353.39745121163</c:v>
                      </c:pt>
                      <c:pt idx="94">
                        <c:v>123026.88220686615</c:v>
                      </c:pt>
                      <c:pt idx="95">
                        <c:v>129685.43918797062</c:v>
                      </c:pt>
                      <c:pt idx="96">
                        <c:v>136304.99721576078</c:v>
                      </c:pt>
                      <c:pt idx="97">
                        <c:v>142863.04954213451</c:v>
                      </c:pt>
                      <c:pt idx="98">
                        <c:v>149338.78373136316</c:v>
                      </c:pt>
                      <c:pt idx="99">
                        <c:v>155713.17333284923</c:v>
                      </c:pt>
                      <c:pt idx="100">
                        <c:v>161969.03430324126</c:v>
                      </c:pt>
                      <c:pt idx="101">
                        <c:v>168091.04950395753</c:v>
                      </c:pt>
                      <c:pt idx="102">
                        <c:v>174065.76481996386</c:v>
                      </c:pt>
                      <c:pt idx="103">
                        <c:v>179881.56053812086</c:v>
                      </c:pt>
                      <c:pt idx="104">
                        <c:v>185528.60160929608</c:v>
                      </c:pt>
                      <c:pt idx="105">
                        <c:v>190998.77031784685</c:v>
                      </c:pt>
                      <c:pt idx="106">
                        <c:v>196285.58471376047</c:v>
                      </c:pt>
                      <c:pt idx="107">
                        <c:v>201384.10594391727</c:v>
                      </c:pt>
                      <c:pt idx="108">
                        <c:v>206290.83736476858</c:v>
                      </c:pt>
                      <c:pt idx="109">
                        <c:v>211003.6180424708</c:v>
                      </c:pt>
                      <c:pt idx="110">
                        <c:v>215521.51295935412</c:v>
                      </c:pt>
                      <c:pt idx="111">
                        <c:v>219844.70195678543</c:v>
                      </c:pt>
                      <c:pt idx="112">
                        <c:v>223974.36916144856</c:v>
                      </c:pt>
                      <c:pt idx="113">
                        <c:v>227912.59437055522</c:v>
                      </c:pt>
                      <c:pt idx="114">
                        <c:v>231662.24761583065</c:v>
                      </c:pt>
                      <c:pt idx="115">
                        <c:v>235226.88788927821</c:v>
                      </c:pt>
                      <c:pt idx="116">
                        <c:v>238610.66679763055</c:v>
                      </c:pt>
                      <c:pt idx="117">
                        <c:v>241818.23771803346</c:v>
                      </c:pt>
                      <c:pt idx="118">
                        <c:v>244854.67085511741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C697-44AA-A96B-8DCC64E76E94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LNorm'!$J$7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LNorm'!$J$8:$J$184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1068.3147090346338</c:v>
                      </c:pt>
                      <c:pt idx="74">
                        <c:v>3243.214629885284</c:v>
                      </c:pt>
                      <c:pt idx="75">
                        <c:v>5726.9496396463528</c:v>
                      </c:pt>
                      <c:pt idx="76">
                        <c:v>8531.6456871443552</c:v>
                      </c:pt>
                      <c:pt idx="77">
                        <c:v>11665.584540897569</c:v>
                      </c:pt>
                      <c:pt idx="78">
                        <c:v>15132.986148595013</c:v>
                      </c:pt>
                      <c:pt idx="79">
                        <c:v>18933.908631025541</c:v>
                      </c:pt>
                      <c:pt idx="80">
                        <c:v>23064.261973984194</c:v>
                      </c:pt>
                      <c:pt idx="81">
                        <c:v>27515.927222685994</c:v>
                      </c:pt>
                      <c:pt idx="82">
                        <c:v>32276.96966047856</c:v>
                      </c:pt>
                      <c:pt idx="83">
                        <c:v>37331.932096827717</c:v>
                      </c:pt>
                      <c:pt idx="84">
                        <c:v>42662.192964599119</c:v>
                      </c:pt>
                      <c:pt idx="85">
                        <c:v>48246.373351811839</c:v>
                      </c:pt>
                      <c:pt idx="86">
                        <c:v>54060.777254402681</c:v>
                      </c:pt>
                      <c:pt idx="87">
                        <c:v>60079.850102209719</c:v>
                      </c:pt>
                      <c:pt idx="88">
                        <c:v>66276.641842289158</c:v>
                      </c:pt>
                      <c:pt idx="89">
                        <c:v>72623.26242707124</c:v>
                      </c:pt>
                      <c:pt idx="90">
                        <c:v>79091.319325114368</c:v>
                      </c:pt>
                      <c:pt idx="91">
                        <c:v>85652.328539549548</c:v>
                      </c:pt>
                      <c:pt idx="92">
                        <c:v>92278.092491226882</c:v>
                      </c:pt>
                      <c:pt idx="93">
                        <c:v>98941.039925928446</c:v>
                      </c:pt>
                      <c:pt idx="94">
                        <c:v>105614.52468158297</c:v>
                      </c:pt>
                      <c:pt idx="95">
                        <c:v>112273.08166268744</c:v>
                      </c:pt>
                      <c:pt idx="96">
                        <c:v>118892.63969047762</c:v>
                      </c:pt>
                      <c:pt idx="97">
                        <c:v>125450.69201685133</c:v>
                      </c:pt>
                      <c:pt idx="98">
                        <c:v>131926.42620607998</c:v>
                      </c:pt>
                      <c:pt idx="99">
                        <c:v>138300.81580756605</c:v>
                      </c:pt>
                      <c:pt idx="100">
                        <c:v>144556.67677795808</c:v>
                      </c:pt>
                      <c:pt idx="101">
                        <c:v>150678.69197867435</c:v>
                      </c:pt>
                      <c:pt idx="102">
                        <c:v>156653.40729468068</c:v>
                      </c:pt>
                      <c:pt idx="103">
                        <c:v>162469.20301283768</c:v>
                      </c:pt>
                      <c:pt idx="104">
                        <c:v>168116.2440840129</c:v>
                      </c:pt>
                      <c:pt idx="105">
                        <c:v>173586.41279256367</c:v>
                      </c:pt>
                      <c:pt idx="106">
                        <c:v>178873.22718847729</c:v>
                      </c:pt>
                      <c:pt idx="107">
                        <c:v>183971.74841863409</c:v>
                      </c:pt>
                      <c:pt idx="108">
                        <c:v>188878.4798394854</c:v>
                      </c:pt>
                      <c:pt idx="109">
                        <c:v>193591.26051718762</c:v>
                      </c:pt>
                      <c:pt idx="110">
                        <c:v>198109.15543407094</c:v>
                      </c:pt>
                      <c:pt idx="111">
                        <c:v>202432.34443150225</c:v>
                      </c:pt>
                      <c:pt idx="112">
                        <c:v>206562.01163616538</c:v>
                      </c:pt>
                      <c:pt idx="113">
                        <c:v>210500.23684527204</c:v>
                      </c:pt>
                      <c:pt idx="114">
                        <c:v>214249.89009054747</c:v>
                      </c:pt>
                      <c:pt idx="115">
                        <c:v>217814.53036399503</c:v>
                      </c:pt>
                      <c:pt idx="116">
                        <c:v>221198.30927234737</c:v>
                      </c:pt>
                      <c:pt idx="117">
                        <c:v>224405.88019275028</c:v>
                      </c:pt>
                      <c:pt idx="118">
                        <c:v>227442.31332983423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697-44AA-A96B-8DCC64E76E94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'Cumul_cases - LNorm'!$K$7</c15:sqref>
                        </c15:formulaRef>
                      </c:ext>
                    </c:extLst>
                    <c:strCache>
                      <c:ptCount val="1"/>
                      <c:pt idx="0">
                        <c:v>Lombardy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rgbClr val="FF0000"/>
                    </a:solidFill>
                    <a:ln w="9525">
                      <a:noFill/>
                      <a:round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'Cumul_cases - LNorm'!$K$8:$K$184</c15:sqref>
                        </c15:formulaRef>
                      </c:ext>
                    </c:extLst>
                    <c:numCache>
                      <c:formatCode>General</c:formatCode>
                      <c:ptCount val="177"/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C697-44AA-A96B-8DCC64E76E94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'Cumul_cases - LNorm'!$R$7</c15:sqref>
                        </c15:formulaRef>
                      </c:ext>
                    </c:extLst>
                    <c:strCache>
                      <c:ptCount val="1"/>
                      <c:pt idx="0">
                        <c:v>rest of Italy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B050"/>
                    </a:solidFill>
                    <a:ln w="9525">
                      <a:noFill/>
                      <a:round/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'Cumul_cases - LNorm'!$R$8:$R$184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4">
                        <c:v>2</c:v>
                      </c:pt>
                      <c:pt idx="55">
                        <c:v>6</c:v>
                      </c:pt>
                      <c:pt idx="56">
                        <c:v>13</c:v>
                      </c:pt>
                      <c:pt idx="57">
                        <c:v>15</c:v>
                      </c:pt>
                      <c:pt idx="58">
                        <c:v>32</c:v>
                      </c:pt>
                      <c:pt idx="59">
                        <c:v>45</c:v>
                      </c:pt>
                      <c:pt idx="60">
                        <c:v>84</c:v>
                      </c:pt>
                      <c:pt idx="61">
                        <c:v>120</c:v>
                      </c:pt>
                      <c:pt idx="62">
                        <c:v>165</c:v>
                      </c:pt>
                      <c:pt idx="63">
                        <c:v>222</c:v>
                      </c:pt>
                      <c:pt idx="64">
                        <c:v>259</c:v>
                      </c:pt>
                      <c:pt idx="65">
                        <c:v>400</c:v>
                      </c:pt>
                      <c:pt idx="66">
                        <c:v>500</c:v>
                      </c:pt>
                      <c:pt idx="67">
                        <c:v>673</c:v>
                      </c:pt>
                      <c:pt idx="68">
                        <c:v>1073</c:v>
                      </c:pt>
                      <c:pt idx="69">
                        <c:v>1695</c:v>
                      </c:pt>
                      <c:pt idx="70">
                        <c:v>2277</c:v>
                      </c:pt>
                      <c:pt idx="71">
                        <c:v>2277</c:v>
                      </c:pt>
                      <c:pt idx="72">
                        <c:v>5232</c:v>
                      </c:pt>
                      <c:pt idx="73">
                        <c:v>6391</c:v>
                      </c:pt>
                      <c:pt idx="74">
                        <c:v>7798</c:v>
                      </c:pt>
                      <c:pt idx="75">
                        <c:v>9942</c:v>
                      </c:pt>
                      <c:pt idx="76">
                        <c:v>11748</c:v>
                      </c:pt>
                      <c:pt idx="77">
                        <c:v>13910</c:v>
                      </c:pt>
                      <c:pt idx="78">
                        <c:v>17963</c:v>
                      </c:pt>
                      <c:pt idx="79">
                        <c:v>20410</c:v>
                      </c:pt>
                      <c:pt idx="80">
                        <c:v>25374</c:v>
                      </c:pt>
                      <c:pt idx="81">
                        <c:v>28768</c:v>
                      </c:pt>
                      <c:pt idx="82">
                        <c:v>35136</c:v>
                      </c:pt>
                      <c:pt idx="83">
                        <c:v>39885</c:v>
                      </c:pt>
                      <c:pt idx="84">
                        <c:v>49515</c:v>
                      </c:pt>
                      <c:pt idx="85">
                        <c:v>57786</c:v>
                      </c:pt>
                      <c:pt idx="86">
                        <c:v>65719</c:v>
                      </c:pt>
                      <c:pt idx="87">
                        <c:v>73235</c:v>
                      </c:pt>
                      <c:pt idx="88">
                        <c:v>80110</c:v>
                      </c:pt>
                      <c:pt idx="89">
                        <c:v>87956</c:v>
                      </c:pt>
                      <c:pt idx="90">
                        <c:v>95923</c:v>
                      </c:pt>
                      <c:pt idx="91">
                        <c:v>104118</c:v>
                      </c:pt>
                      <c:pt idx="92">
                        <c:v>112065</c:v>
                      </c:pt>
                      <c:pt idx="93">
                        <c:v>119199</c:v>
                      </c:pt>
                      <c:pt idx="94">
                        <c:v>126168</c:v>
                      </c:pt>
                      <c:pt idx="95">
                        <c:v>131646</c:v>
                      </c:pt>
                      <c:pt idx="96">
                        <c:v>136675</c:v>
                      </c:pt>
                      <c:pt idx="97">
                        <c:v>141942</c:v>
                      </c:pt>
                      <c:pt idx="98">
                        <c:v>148220</c:v>
                      </c:pt>
                      <c:pt idx="99">
                        <c:v>153222</c:v>
                      </c:pt>
                      <c:pt idx="100">
                        <c:v>158273</c:v>
                      </c:pt>
                      <c:pt idx="101">
                        <c:v>163027</c:v>
                      </c:pt>
                      <c:pt idx="102">
                        <c:v>166831</c:v>
                      </c:pt>
                      <c:pt idx="103">
                        <c:v>170099</c:v>
                      </c:pt>
                      <c:pt idx="104">
                        <c:v>172541</c:v>
                      </c:pt>
                      <c:pt idx="105">
                        <c:v>177644</c:v>
                      </c:pt>
                      <c:pt idx="106">
                        <c:v>184948</c:v>
                      </c:pt>
                      <c:pt idx="107">
                        <c:v>190839</c:v>
                      </c:pt>
                      <c:pt idx="108">
                        <c:v>191726</c:v>
                      </c:pt>
                      <c:pt idx="109">
                        <c:v>198674</c:v>
                      </c:pt>
                      <c:pt idx="110">
                        <c:v>200210</c:v>
                      </c:pt>
                      <c:pt idx="111">
                        <c:v>204178</c:v>
                      </c:pt>
                      <c:pt idx="112">
                        <c:v>208389</c:v>
                      </c:pt>
                      <c:pt idx="113">
                        <c:v>213024</c:v>
                      </c:pt>
                      <c:pt idx="114">
                        <c:v>219764</c:v>
                      </c:pt>
                      <c:pt idx="115">
                        <c:v>223759</c:v>
                      </c:pt>
                      <c:pt idx="116">
                        <c:v>226629</c:v>
                      </c:pt>
                      <c:pt idx="117">
                        <c:v>229422</c:v>
                      </c:pt>
                      <c:pt idx="118">
                        <c:v>232128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C697-44AA-A96B-8DCC64E76E94}"/>
                  </c:ext>
                </c:extLst>
              </c15:ser>
            </c15:filteredScatterSeries>
          </c:ext>
        </c:extLst>
      </c:scatterChart>
      <c:valAx>
        <c:axId val="62208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2064"/>
        <c:crosses val="autoZero"/>
        <c:crossBetween val="midCat"/>
      </c:valAx>
      <c:valAx>
        <c:axId val="6220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</a:t>
                </a:r>
                <a:r>
                  <a:rPr lang="it-IT" baseline="0"/>
                  <a:t> cases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'Cumul_cases - LNorm'!$Z$47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LNorm'!$AA$47</c:f>
              <c:numCache>
                <c:formatCode>00,000</c:formatCode>
                <c:ptCount val="1"/>
                <c:pt idx="0">
                  <c:v>0.99794590512500236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C-4955-90C7-28A2A72B4F8F}"/>
            </c:ext>
          </c:extLst>
        </c:ser>
        <c:ser>
          <c:idx val="1"/>
          <c:order val="1"/>
          <c:tx>
            <c:strRef>
              <c:f>'Cumul_cases - LNorm'!$Z$49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LNorm'!$AA$49</c:f>
              <c:numCache>
                <c:formatCode>0</c:formatCode>
                <c:ptCount val="1"/>
                <c:pt idx="0">
                  <c:v>8706.1787626415862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C-4955-90C7-28A2A72B4F8F}"/>
            </c:ext>
          </c:extLst>
        </c:ser>
        <c:ser>
          <c:idx val="2"/>
          <c:order val="2"/>
          <c:tx>
            <c:strRef>
              <c:f>'Cumul_cases - LNorm'!$Z$41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LNorm'!$AA$41</c:f>
              <c:numCache>
                <c:formatCode>0</c:formatCode>
                <c:ptCount val="1"/>
                <c:pt idx="0">
                  <c:v>279999.89576931909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DC-4955-90C7-28A2A72B4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strRef>
              <c:f>'Cumul_cases - LNorm'!$Z$14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LNorm'!$AA$14</c:f>
              <c:numCache>
                <c:formatCode>0.0000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31D7-44A2-93CB-C7C5AE6406C5}"/>
            </c:ext>
          </c:extLst>
        </c:ser>
        <c:ser>
          <c:idx val="2"/>
          <c:order val="1"/>
          <c:tx>
            <c:strRef>
              <c:f>'Cumul_cases - LNorm'!$Z$16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LNorm'!$AA$16</c:f>
              <c:numCache>
                <c:formatCode>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1-31D7-44A2-93CB-C7C5AE6406C5}"/>
            </c:ext>
          </c:extLst>
        </c:ser>
        <c:ser>
          <c:idx val="3"/>
          <c:order val="2"/>
          <c:tx>
            <c:strRef>
              <c:f>'Cumul_cases - LNorm'!$Z$17</c:f>
              <c:strCache>
                <c:ptCount val="1"/>
                <c:pt idx="0">
                  <c:v>Saturation value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LNorm'!$AA$17</c:f>
              <c:numCache>
                <c:formatCode>0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2-31D7-44A2-93CB-C7C5AE640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v>region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EB0-44ED-B123-0E8474071D67}"/>
            </c:ext>
          </c:extLst>
        </c:ser>
        <c:ser>
          <c:idx val="2"/>
          <c:order val="1"/>
          <c:tx>
            <c:strRef>
              <c:f>'Cumul_cases - LNorm'!$Z$25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LNorm'!$AA$25</c:f>
              <c:numCache>
                <c:formatCode>0.0000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0-44ED-B123-0E8474071D67}"/>
            </c:ext>
          </c:extLst>
        </c:ser>
        <c:ser>
          <c:idx val="3"/>
          <c:order val="2"/>
          <c:tx>
            <c:strRef>
              <c:f>'Cumul_cases - LNorm'!$Z$27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LNorm'!$AA$27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0-44ED-B123-0E8474071D67}"/>
            </c:ext>
          </c:extLst>
        </c:ser>
        <c:ser>
          <c:idx val="4"/>
          <c:order val="3"/>
          <c:tx>
            <c:strRef>
              <c:f>'Cumul_cases - LNorm'!$Z$19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LNorm'!$AA$19</c:f>
              <c:numCache>
                <c:formatCode>0</c:formatCode>
                <c:ptCount val="1"/>
                <c:pt idx="0">
                  <c:v>87000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0-44ED-B123-0E8474071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2"/>
          <c:order val="1"/>
          <c:tx>
            <c:strRef>
              <c:f>'Cumul_cases - LNorm'!$Z$36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LNorm'!$AA$36</c:f>
              <c:numCache>
                <c:formatCode>0.0000</c:formatCode>
                <c:ptCount val="1"/>
                <c:pt idx="0">
                  <c:v>0.87020406832300057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B-4E01-9349-76E014C47FA1}"/>
            </c:ext>
          </c:extLst>
        </c:ser>
        <c:ser>
          <c:idx val="3"/>
          <c:order val="2"/>
          <c:tx>
            <c:strRef>
              <c:f>'Cumul_cases - LNorm'!$Z$38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LNorm'!$AA$38</c:f>
              <c:numCache>
                <c:formatCode>0</c:formatCode>
                <c:ptCount val="1"/>
                <c:pt idx="0">
                  <c:v>104195.92689792225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7B-4E01-9349-76E014C47FA1}"/>
            </c:ext>
          </c:extLst>
        </c:ser>
        <c:ser>
          <c:idx val="4"/>
          <c:order val="3"/>
          <c:tx>
            <c:strRef>
              <c:f>'Cumul_cases - LNorm'!$Z$30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LNorm'!$AA$30</c:f>
              <c:numCache>
                <c:formatCode>0</c:formatCode>
                <c:ptCount val="1"/>
                <c:pt idx="0">
                  <c:v>147999.98277109722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7B-4E01-9349-76E014C47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v>outside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Lit>
                    <c:ptCount val="1"/>
                    <c:pt idx="0">
                      <c:v>rest of Italy</c:v>
                    </c:pt>
                  </c:strLit>
                </c:cat>
                <c:val>
                  <c:numLit>
                    <c:formatCode>General</c:formatCode>
                    <c:ptCount val="1"/>
                    <c:pt idx="0">
                      <c:v>0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3-447B-4E01-9349-76E014C47FA1}"/>
                  </c:ext>
                </c:extLst>
              </c15:ser>
            </c15:filteredBarSeries>
          </c:ext>
        </c:extLst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Confirmed </a:t>
            </a: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Cases </a:t>
            </a:r>
          </a:p>
          <a:p>
            <a:pPr>
              <a:defRPr/>
            </a:pP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Cumulative Cases - LogN model displacements normalized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'Cumul_cases - LNorm'!#REF!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'Cumul_cases - LNorm'!#REF!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F9FF-4FA3-A0D4-B42B2AAF0996}"/>
            </c:ext>
          </c:extLst>
        </c:ser>
        <c:ser>
          <c:idx val="1"/>
          <c:order val="1"/>
          <c:tx>
            <c:strRef>
              <c:f>'Cumul_cases - LNorm'!$G$7</c:f>
              <c:strCache>
                <c:ptCount val="1"/>
                <c:pt idx="0">
                  <c:v>Spain cum. fit (Norm:)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LNorm'!$G$8:$G$184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2.9850446569950566E-65</c:v>
                </c:pt>
                <c:pt idx="35">
                  <c:v>1.7776876894497056E-42</c:v>
                </c:pt>
                <c:pt idx="36">
                  <c:v>9.5933683303456529E-33</c:v>
                </c:pt>
                <c:pt idx="37">
                  <c:v>6.6977495796353531E-27</c:v>
                </c:pt>
                <c:pt idx="38">
                  <c:v>7.0629032059180827E-23</c:v>
                </c:pt>
                <c:pt idx="39">
                  <c:v>6.8579573467728937E-20</c:v>
                </c:pt>
                <c:pt idx="40">
                  <c:v>1.4598330345083174E-17</c:v>
                </c:pt>
                <c:pt idx="41">
                  <c:v>1.099017081995101E-15</c:v>
                </c:pt>
                <c:pt idx="42">
                  <c:v>3.9080564426771833E-14</c:v>
                </c:pt>
                <c:pt idx="43">
                  <c:v>7.9154599760396443E-13</c:v>
                </c:pt>
                <c:pt idx="44">
                  <c:v>1.0372808183835205E-11</c:v>
                </c:pt>
                <c:pt idx="45">
                  <c:v>9.6256640783649649E-11</c:v>
                </c:pt>
                <c:pt idx="46">
                  <c:v>6.7571829448407129E-10</c:v>
                </c:pt>
                <c:pt idx="47">
                  <c:v>3.7709754762736401E-9</c:v>
                </c:pt>
                <c:pt idx="48">
                  <c:v>1.7380098928557763E-8</c:v>
                </c:pt>
                <c:pt idx="49">
                  <c:v>6.8159291576074736E-8</c:v>
                </c:pt>
                <c:pt idx="50">
                  <c:v>2.3291083058489471E-7</c:v>
                </c:pt>
                <c:pt idx="51">
                  <c:v>7.0692830783992787E-7</c:v>
                </c:pt>
                <c:pt idx="52">
                  <c:v>1.9359365511855189E-6</c:v>
                </c:pt>
                <c:pt idx="53">
                  <c:v>4.8457976043629177E-6</c:v>
                </c:pt>
                <c:pt idx="54" formatCode="General">
                  <c:v>1.1207186466787281E-5</c:v>
                </c:pt>
                <c:pt idx="55" formatCode="General">
                  <c:v>2.4168122179117138E-5</c:v>
                </c:pt>
                <c:pt idx="56" formatCode="General">
                  <c:v>4.8973913385085116E-5</c:v>
                </c:pt>
                <c:pt idx="57" formatCode="General">
                  <c:v>9.387214329654928E-5</c:v>
                </c:pt>
                <c:pt idx="58" formatCode="General">
                  <c:v>1.7117238561989415E-4</c:v>
                </c:pt>
                <c:pt idx="59" formatCode="General">
                  <c:v>2.9840071889681506E-4</c:v>
                </c:pt>
                <c:pt idx="60" formatCode="General">
                  <c:v>4.9946282980377755E-4</c:v>
                </c:pt>
                <c:pt idx="61" formatCode="General">
                  <c:v>8.0571122006612198E-4</c:v>
                </c:pt>
                <c:pt idx="62" formatCode="General">
                  <c:v>1.2568050812876779E-3</c:v>
                </c:pt>
                <c:pt idx="63" formatCode="General">
                  <c:v>1.9012572053215325E-3</c:v>
                </c:pt>
                <c:pt idx="64" formatCode="General">
                  <c:v>2.7965802690972804E-3</c:v>
                </c:pt>
                <c:pt idx="65" formatCode="General">
                  <c:v>4.0089726528048887E-3</c:v>
                </c:pt>
                <c:pt idx="66" formatCode="General">
                  <c:v>5.6125181143670188E-3</c:v>
                </c:pt>
                <c:pt idx="67" formatCode="General">
                  <c:v>7.6879101208498302E-3</c:v>
                </c:pt>
                <c:pt idx="68" formatCode="General">
                  <c:v>1.0320746503238108E-2</c:v>
                </c:pt>
                <c:pt idx="69" formatCode="General">
                  <c:v>1.3599470035181072E-2</c:v>
                </c:pt>
                <c:pt idx="70" formatCode="General">
                  <c:v>1.761305314608292E-2</c:v>
                </c:pt>
                <c:pt idx="71" formatCode="General">
                  <c:v>2.2448538931551971E-2</c:v>
                </c:pt>
                <c:pt idx="72" formatCode="General">
                  <c:v>2.8188555617787756E-2</c:v>
                </c:pt>
                <c:pt idx="73" formatCode="General">
                  <c:v>3.4908918250916209E-2</c:v>
                </c:pt>
                <c:pt idx="74" formatCode="General">
                  <c:v>4.2676420859711697E-2</c:v>
                </c:pt>
                <c:pt idx="75" formatCode="General">
                  <c:v>5.1546906339489593E-2</c:v>
                </c:pt>
                <c:pt idx="76" formatCode="General">
                  <c:v>6.1563681666465718E-2</c:v>
                </c:pt>
                <c:pt idx="77" formatCode="General">
                  <c:v>7.2756324596358599E-2</c:v>
                </c:pt>
                <c:pt idx="78" formatCode="General">
                  <c:v>8.5139906376525049E-2</c:v>
                </c:pt>
                <c:pt idx="79" formatCode="General">
                  <c:v>9.8714634581288235E-2</c:v>
                </c:pt>
                <c:pt idx="80" formatCode="General">
                  <c:v>0.11346590201162145</c:v>
                </c:pt>
                <c:pt idx="81" formatCode="General">
                  <c:v>0.12936471238964156</c:v>
                </c:pt>
                <c:pt idx="82" formatCode="General">
                  <c:v>0.14636844171143745</c:v>
                </c:pt>
                <c:pt idx="83" formatCode="General">
                  <c:v>0.16442188570455146</c:v>
                </c:pt>
                <c:pt idx="84" formatCode="General">
                  <c:v>0.18345853874731829</c:v>
                </c:pt>
                <c:pt idx="85" formatCode="General">
                  <c:v>0.20340204755424052</c:v>
                </c:pt>
                <c:pt idx="86" formatCode="General">
                  <c:v>0.22416778350787492</c:v>
                </c:pt>
                <c:pt idx="87" formatCode="General">
                  <c:v>0.24566448025224058</c:v>
                </c:pt>
                <c:pt idx="88" formatCode="General">
                  <c:v>0.26779588756242306</c:v>
                </c:pt>
                <c:pt idx="89" formatCode="General">
                  <c:v>0.29046239808859414</c:v>
                </c:pt>
                <c:pt idx="90" formatCode="General">
                  <c:v>0.31356260989500107</c:v>
                </c:pt>
                <c:pt idx="91" formatCode="General">
                  <c:v>0.33699479438352864</c:v>
                </c:pt>
                <c:pt idx="92" formatCode="General">
                  <c:v>0.3606582458768679</c:v>
                </c:pt>
                <c:pt idx="93" formatCode="General">
                  <c:v>0.38445449557329958</c:v>
                </c:pt>
                <c:pt idx="94" formatCode="General">
                  <c:v>0.4082883785728581</c:v>
                </c:pt>
                <c:pt idx="95" formatCode="General">
                  <c:v>0.43206894807203461</c:v>
                </c:pt>
                <c:pt idx="96" formatCode="General">
                  <c:v>0.45571023554324058</c:v>
                </c:pt>
                <c:pt idx="97" formatCode="General">
                  <c:v>0.47913185971333183</c:v>
                </c:pt>
                <c:pt idx="98" formatCode="General">
                  <c:v>0.50225949042703666</c:v>
                </c:pt>
                <c:pt idx="99" formatCode="General">
                  <c:v>0.52502517604978294</c:v>
                </c:pt>
                <c:pt idx="100" formatCode="General">
                  <c:v>0.54736754497532714</c:v>
                </c:pt>
                <c:pt idx="101" formatCode="General">
                  <c:v>0.569231893116942</c:v>
                </c:pt>
                <c:pt idx="102" formatCode="General">
                  <c:v>0.5905701700459044</c:v>
                </c:pt>
                <c:pt idx="103" formatCode="General">
                  <c:v>0.61134087677126825</c:v>
                </c:pt>
                <c:pt idx="104" formatCode="General">
                  <c:v>0.63150888810448536</c:v>
                </c:pt>
                <c:pt idx="105" formatCode="General">
                  <c:v>0.65104521219318223</c:v>
                </c:pt>
                <c:pt idx="106" formatCode="General">
                  <c:v>0.66992669920726755</c:v>
                </c:pt>
                <c:pt idx="107" formatCode="General">
                  <c:v>0.68813571037903332</c:v>
                </c:pt>
                <c:pt idx="108" formatCode="General">
                  <c:v>0.70565975769115719</c:v>
                </c:pt>
                <c:pt idx="109" formatCode="General">
                  <c:v>0.72249112351989631</c:v>
                </c:pt>
                <c:pt idx="110" formatCode="General">
                  <c:v>0.73862646851518676</c:v>
                </c:pt>
                <c:pt idx="111" formatCode="General">
                  <c:v>0.75406643496786363</c:v>
                </c:pt>
                <c:pt idx="112" formatCode="General">
                  <c:v>0.76881525190337208</c:v>
                </c:pt>
                <c:pt idx="113" formatCode="General">
                  <c:v>0.78288034717166177</c:v>
                </c:pt>
                <c:pt idx="114" formatCode="General">
                  <c:v>0.7962719708898528</c:v>
                </c:pt>
                <c:pt idx="115" formatCode="General">
                  <c:v>0.80900283374840298</c:v>
                </c:pt>
                <c:pt idx="116" formatCode="General">
                  <c:v>0.82108776291973418</c:v>
                </c:pt>
                <c:pt idx="117" formatCode="General">
                  <c:v>0.832543377614125</c:v>
                </c:pt>
                <c:pt idx="118" formatCode="General">
                  <c:v>0.84338778571199646</c:v>
                </c:pt>
                <c:pt idx="119" formatCode="General">
                  <c:v>0.85364030236334376</c:v>
                </c:pt>
                <c:pt idx="120" formatCode="General">
                  <c:v>0.8633211909809998</c:v>
                </c:pt>
                <c:pt idx="121" formatCode="General">
                  <c:v>0.87245142666077258</c:v>
                </c:pt>
                <c:pt idx="122" formatCode="General">
                  <c:v>0.88105248173318129</c:v>
                </c:pt>
                <c:pt idx="123" formatCode="General">
                  <c:v>0.88914613288324118</c:v>
                </c:pt>
                <c:pt idx="124" formatCode="General">
                  <c:v>0.89675428906073329</c:v>
                </c:pt>
                <c:pt idx="125" formatCode="General">
                  <c:v>0.90389883923787284</c:v>
                </c:pt>
                <c:pt idx="126" formatCode="General">
                  <c:v>0.91060151894855257</c:v>
                </c:pt>
                <c:pt idx="127" formatCode="General">
                  <c:v>0.91688379445791446</c:v>
                </c:pt>
                <c:pt idx="128" formatCode="General">
                  <c:v>0.92276676335764263</c:v>
                </c:pt>
                <c:pt idx="129" formatCode="General">
                  <c:v>0.92827107035627843</c:v>
                </c:pt>
                <c:pt idx="130" formatCode="General">
                  <c:v>0.93341683703053713</c:v>
                </c:pt>
                <c:pt idx="131" formatCode="General">
                  <c:v>0.93822360431902529</c:v>
                </c:pt>
                <c:pt idx="132" formatCode="General">
                  <c:v>0.94271028657028455</c:v>
                </c:pt>
                <c:pt idx="133" formatCode="General">
                  <c:v>0.94689513599951347</c:v>
                </c:pt>
                <c:pt idx="134" formatCode="General">
                  <c:v>0.95079571645979133</c:v>
                </c:pt>
                <c:pt idx="135" formatCode="General">
                  <c:v>0.95442888549173466</c:v>
                </c:pt>
                <c:pt idx="136" formatCode="General">
                  <c:v>0.95781078367811356</c:v>
                </c:pt>
                <c:pt idx="137" formatCode="General">
                  <c:v>0.96095683039528634</c:v>
                </c:pt>
                <c:pt idx="138" formatCode="General">
                  <c:v>0.96388172511989068</c:v>
                </c:pt>
                <c:pt idx="139" formatCode="General">
                  <c:v>0.96659945351579002</c:v>
                </c:pt>
                <c:pt idx="140" formatCode="General">
                  <c:v>0.96912329759186211</c:v>
                </c:pt>
                <c:pt idx="141" formatCode="General">
                  <c:v>0.97146584928501789</c:v>
                </c:pt>
                <c:pt idx="142" formatCode="General">
                  <c:v>0.97363902688424697</c:v>
                </c:pt>
                <c:pt idx="143" formatCode="General">
                  <c:v>0.9756540937700261</c:v>
                </c:pt>
                <c:pt idx="144" formatCode="General">
                  <c:v>0.97752167899881881</c:v>
                </c:pt>
                <c:pt idx="145" formatCode="General">
                  <c:v>0.97925179931435613</c:v>
                </c:pt>
                <c:pt idx="146" formatCode="General">
                  <c:v>0.980853882215874</c:v>
                </c:pt>
                <c:pt idx="147" formatCode="General">
                  <c:v>0.98233678975836725</c:v>
                </c:pt>
                <c:pt idx="148" formatCode="General">
                  <c:v>0.98370884280131954</c:v>
                </c:pt>
                <c:pt idx="149" formatCode="General">
                  <c:v>0.98497784546024358</c:v>
                </c:pt>
                <c:pt idx="150" formatCode="General">
                  <c:v>0.98615110954991958</c:v>
                </c:pt>
                <c:pt idx="151" formatCode="General">
                  <c:v>0.98723547883953033</c:v>
                </c:pt>
                <c:pt idx="152" formatCode="General">
                  <c:v>0.98823735296813608</c:v>
                </c:pt>
                <c:pt idx="153" formatCode="General">
                  <c:v>0.98916271089429264</c:v>
                </c:pt>
                <c:pt idx="154" formatCode="General">
                  <c:v>0.99001713377626399</c:v>
                </c:pt>
                <c:pt idx="155" formatCode="General">
                  <c:v>0.9908058271994028</c:v>
                </c:pt>
                <c:pt idx="156" formatCode="General">
                  <c:v>0.99153364268506294</c:v>
                </c:pt>
                <c:pt idx="157" formatCode="General">
                  <c:v>0.99220509843106286</c:v>
                </c:pt>
                <c:pt idx="158" formatCode="General">
                  <c:v>0.99282439924737509</c:v>
                </c:pt>
                <c:pt idx="159" formatCode="General">
                  <c:v>0.99339545566262222</c:v>
                </c:pt>
                <c:pt idx="160" formatCode="General">
                  <c:v>0.9939219021872</c:v>
                </c:pt>
                <c:pt idx="161" formatCode="General">
                  <c:v>0.99440711472764676</c:v>
                </c:pt>
                <c:pt idx="162" formatCode="General">
                  <c:v>0.99485422715434624</c:v>
                </c:pt>
                <c:pt idx="163" formatCode="General">
                  <c:v>0.99526614703093008</c:v>
                </c:pt>
                <c:pt idx="164" formatCode="General">
                  <c:v>0.99564557051899316</c:v>
                </c:pt>
                <c:pt idx="165" formatCode="General">
                  <c:v>0.99599499647602197</c:v>
                </c:pt>
                <c:pt idx="166" formatCode="General">
                  <c:v>0.9963167397679219</c:v>
                </c:pt>
                <c:pt idx="167" formatCode="General">
                  <c:v>0.99661294382027388</c:v>
                </c:pt>
                <c:pt idx="168" formatCode="General">
                  <c:v>0.99688559243456309</c:v>
                </c:pt>
                <c:pt idx="169" formatCode="General">
                  <c:v>0.99713652089720284</c:v>
                </c:pt>
                <c:pt idx="170" formatCode="General">
                  <c:v>0.9973674264102409</c:v>
                </c:pt>
                <c:pt idx="171" formatCode="General">
                  <c:v>0.99757987787333702</c:v>
                </c:pt>
                <c:pt idx="172" formatCode="General">
                  <c:v>0.99777532504690991</c:v>
                </c:pt>
                <c:pt idx="173" formatCode="General">
                  <c:v>0.99795510712639557</c:v>
                </c:pt>
                <c:pt idx="174" formatCode="General">
                  <c:v>0.99812046075733218</c:v>
                </c:pt>
                <c:pt idx="175" formatCode="General">
                  <c:v>0.99827252752057449</c:v>
                </c:pt>
                <c:pt idx="176" formatCode="General">
                  <c:v>0.99841236091633223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FF-4FA3-A0D4-B42B2AAF0996}"/>
            </c:ext>
          </c:extLst>
        </c:ser>
        <c:ser>
          <c:idx val="2"/>
          <c:order val="2"/>
          <c:tx>
            <c:strRef>
              <c:f>'Cumul_cases - LNorm'!$N$7</c:f>
              <c:strCache>
                <c:ptCount val="1"/>
                <c:pt idx="0">
                  <c:v>Lombardy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LNorm'!$N$8:$N$184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5.1729510898877396E-38</c:v>
                </c:pt>
                <c:pt idx="32">
                  <c:v>1.1474710704863941E-25</c:v>
                </c:pt>
                <c:pt idx="33">
                  <c:v>4.6686177873608025E-20</c:v>
                </c:pt>
                <c:pt idx="34">
                  <c:v>1.2721300272521045E-16</c:v>
                </c:pt>
                <c:pt idx="35">
                  <c:v>3.1106593121102147E-14</c:v>
                </c:pt>
                <c:pt idx="36">
                  <c:v>1.8911249153795285E-12</c:v>
                </c:pt>
                <c:pt idx="37">
                  <c:v>4.7037786451666155E-11</c:v>
                </c:pt>
                <c:pt idx="38">
                  <c:v>6.3196191525916934E-10</c:v>
                </c:pt>
                <c:pt idx="39">
                  <c:v>5.4331656225899009E-9</c:v>
                </c:pt>
                <c:pt idx="40">
                  <c:v>3.3376453913896467E-8</c:v>
                </c:pt>
                <c:pt idx="41">
                  <c:v>1.5798478170240956E-7</c:v>
                </c:pt>
                <c:pt idx="42">
                  <c:v>6.079573788163007E-7</c:v>
                </c:pt>
                <c:pt idx="43">
                  <c:v>1.978368440754093E-6</c:v>
                </c:pt>
                <c:pt idx="44">
                  <c:v>5.6077785352009989E-6</c:v>
                </c:pt>
                <c:pt idx="45">
                  <c:v>1.4165569669443461E-5</c:v>
                </c:pt>
                <c:pt idx="46">
                  <c:v>3.2464518642524143E-5</c:v>
                </c:pt>
                <c:pt idx="47">
                  <c:v>6.8471569921306846E-5</c:v>
                </c:pt>
                <c:pt idx="48">
                  <c:v>1.3444515315462133E-4</c:v>
                </c:pt>
                <c:pt idx="49">
                  <c:v>2.4809110493359912E-4</c:v>
                </c:pt>
                <c:pt idx="50">
                  <c:v>4.3360941451000542E-4</c:v>
                </c:pt>
                <c:pt idx="51">
                  <c:v>7.2250412340279645E-4</c:v>
                </c:pt>
                <c:pt idx="52">
                  <c:v>1.1540476125236317E-3</c:v>
                </c:pt>
                <c:pt idx="53">
                  <c:v>1.7753235845442768E-3</c:v>
                </c:pt>
                <c:pt idx="54">
                  <c:v>2.640813911732689E-3</c:v>
                </c:pt>
                <c:pt idx="55">
                  <c:v>3.8115366463837958E-3</c:v>
                </c:pt>
                <c:pt idx="56">
                  <c:v>5.3537803948915507E-3</c:v>
                </c:pt>
                <c:pt idx="57">
                  <c:v>7.337510122333633E-3</c:v>
                </c:pt>
                <c:pt idx="58">
                  <c:v>9.8345392918355121E-3</c:v>
                </c:pt>
                <c:pt idx="59">
                  <c:v>1.2916572695127186E-2</c:v>
                </c:pt>
                <c:pt idx="60">
                  <c:v>1.6653224292438172E-2</c:v>
                </c:pt>
                <c:pt idx="61">
                  <c:v>2.1110106554278668E-2</c:v>
                </c:pt>
                <c:pt idx="62">
                  <c:v>2.6347074280811521E-2</c:v>
                </c:pt>
                <c:pt idx="63">
                  <c:v>3.2416688818869381E-2</c:v>
                </c:pt>
                <c:pt idx="64">
                  <c:v>3.9362949971779082E-2</c:v>
                </c:pt>
                <c:pt idx="65">
                  <c:v>4.7220324345221783E-2</c:v>
                </c:pt>
                <c:pt idx="66">
                  <c:v>5.6013081643629344E-2</c:v>
                </c:pt>
                <c:pt idx="67">
                  <c:v>6.5754935379803023E-2</c:v>
                </c:pt>
                <c:pt idx="68">
                  <c:v>7.6448972078266828E-2</c:v>
                </c:pt>
                <c:pt idx="69">
                  <c:v>8.8087843530300636E-2</c:v>
                </c:pt>
                <c:pt idx="70">
                  <c:v>0.10065418995032674</c:v>
                </c:pt>
                <c:pt idx="71">
                  <c:v>0.11412125777568694</c:v>
                </c:pt>
                <c:pt idx="72">
                  <c:v>0.12845367402347885</c:v>
                </c:pt>
                <c:pt idx="73">
                  <c:v>0.14360833919058671</c:v>
                </c:pt>
                <c:pt idx="74">
                  <c:v>0.15953540226094065</c:v>
                </c:pt>
                <c:pt idx="75">
                  <c:v>0.17617928408417319</c:v>
                </c:pt>
                <c:pt idx="76">
                  <c:v>0.1934797188611834</c:v>
                </c:pt>
                <c:pt idx="77">
                  <c:v>0.21137278740765325</c:v>
                </c:pt>
                <c:pt idx="78">
                  <c:v>0.22979192000889478</c:v>
                </c:pt>
                <c:pt idx="79">
                  <c:v>0.24866885082173842</c:v>
                </c:pt>
                <c:pt idx="80">
                  <c:v>0.26793450976282523</c:v>
                </c:pt>
                <c:pt idx="81">
                  <c:v>0.28751984153279075</c:v>
                </c:pt>
                <c:pt idx="82">
                  <c:v>0.30735654478546393</c:v>
                </c:pt>
                <c:pt idx="83">
                  <c:v>0.32737772741556326</c:v>
                </c:pt>
                <c:pt idx="84">
                  <c:v>0.34751847648830858</c:v>
                </c:pt>
                <c:pt idx="85">
                  <c:v>0.36771634347108939</c:v>
                </c:pt>
                <c:pt idx="86">
                  <c:v>0.38791174716698107</c:v>
                </c:pt>
                <c:pt idx="87">
                  <c:v>0.40804829811930488</c:v>
                </c:pt>
                <c:pt idx="88">
                  <c:v>0.42807304928924622</c:v>
                </c:pt>
                <c:pt idx="89">
                  <c:v>0.44793667854236757</c:v>
                </c:pt>
                <c:pt idx="90">
                  <c:v>0.46759360895372309</c:v>
                </c:pt>
                <c:pt idx="91">
                  <c:v>0.4870020731938961</c:v>
                </c:pt>
                <c:pt idx="92">
                  <c:v>0.50612412832679954</c:v>
                </c:pt>
                <c:pt idx="93">
                  <c:v>0.52492562726893632</c:v>
                </c:pt>
                <c:pt idx="94">
                  <c:v>0.54337615296055775</c:v>
                </c:pt>
                <c:pt idx="95">
                  <c:v>0.56144892100971022</c:v>
                </c:pt>
                <c:pt idx="96">
                  <c:v>0.5791206562150053</c:v>
                </c:pt>
                <c:pt idx="97">
                  <c:v>0.59637144797323849</c:v>
                </c:pt>
                <c:pt idx="98">
                  <c:v>0.61318458915123419</c:v>
                </c:pt>
                <c:pt idx="99">
                  <c:v>0.62954640256241567</c:v>
                </c:pt>
                <c:pt idx="100">
                  <c:v>0.64544605874924277</c:v>
                </c:pt>
                <c:pt idx="101">
                  <c:v>0.66087538834236215</c:v>
                </c:pt>
                <c:pt idx="102">
                  <c:v>0.67582869185322869</c:v>
                </c:pt>
                <c:pt idx="103">
                  <c:v>0.69030254936438507</c:v>
                </c:pt>
                <c:pt idx="104">
                  <c:v>0.70429563221428926</c:v>
                </c:pt>
                <c:pt idx="105">
                  <c:v>0.71780851843393678</c:v>
                </c:pt>
                <c:pt idx="106">
                  <c:v>0.73084351338176712</c:v>
                </c:pt>
                <c:pt idx="107">
                  <c:v>0.74340447674199717</c:v>
                </c:pt>
                <c:pt idx="108">
                  <c:v>0.75549665679907174</c:v>
                </c:pt>
                <c:pt idx="109">
                  <c:v>0.76712653267676434</c:v>
                </c:pt>
                <c:pt idx="110">
                  <c:v>0.77830166503314158</c:v>
                </c:pt>
                <c:pt idx="111">
                  <c:v>0.78903055553071222</c:v>
                </c:pt>
                <c:pt idx="112">
                  <c:v>0.79932251525281373</c:v>
                </c:pt>
                <c:pt idx="113">
                  <c:v>0.80918754211088528</c:v>
                </c:pt>
                <c:pt idx="114">
                  <c:v>0.81863620718075603</c:v>
                </c:pt>
                <c:pt idx="115">
                  <c:v>0.82767954981763581</c:v>
                </c:pt>
                <c:pt idx="116">
                  <c:v>0.83632898132725264</c:v>
                </c:pt>
                <c:pt idx="117">
                  <c:v>0.84459619691275811</c:v>
                </c:pt>
                <c:pt idx="118">
                  <c:v>0.8524930955719644</c:v>
                </c:pt>
                <c:pt idx="119">
                  <c:v>0.86003170758556091</c:v>
                </c:pt>
                <c:pt idx="120">
                  <c:v>0.86722412921279135</c:v>
                </c:pt>
                <c:pt idx="121">
                  <c:v>0.87408246419521951</c:v>
                </c:pt>
                <c:pt idx="122">
                  <c:v>0.88061877166051827</c:v>
                </c:pt>
                <c:pt idx="123">
                  <c:v>0.88684502001554188</c:v>
                </c:pt>
                <c:pt idx="124">
                  <c:v>0.89277304642029032</c:v>
                </c:pt>
                <c:pt idx="125">
                  <c:v>0.89841452144086464</c:v>
                </c:pt>
                <c:pt idx="126">
                  <c:v>0.90378091848934361</c:v>
                </c:pt>
                <c:pt idx="127">
                  <c:v>0.90888348767102822</c:v>
                </c:pt>
                <c:pt idx="128">
                  <c:v>0.91373323367404746</c:v>
                </c:pt>
                <c:pt idx="129">
                  <c:v>0.91834089735242452</c:v>
                </c:pt>
                <c:pt idx="130">
                  <c:v>0.92271694067087051</c:v>
                </c:pt>
                <c:pt idx="131">
                  <c:v>0.92687153469747574</c:v>
                </c:pt>
                <c:pt idx="132">
                  <c:v>0.93081455034870142</c:v>
                </c:pt>
                <c:pt idx="133">
                  <c:v>0.93455555160947101</c:v>
                </c:pt>
                <c:pt idx="134">
                  <c:v>0.93810379096939145</c:v>
                </c:pt>
                <c:pt idx="135">
                  <c:v>0.9414682068340875</c:v>
                </c:pt>
                <c:pt idx="136">
                  <c:v>0.94465742268813679</c:v>
                </c:pt>
                <c:pt idx="137">
                  <c:v>0.947679747803022</c:v>
                </c:pt>
                <c:pt idx="138">
                  <c:v>0.95054317929980903</c:v>
                </c:pt>
                <c:pt idx="139">
                  <c:v>0.95325540539181663</c:v>
                </c:pt>
                <c:pt idx="140">
                  <c:v>0.95582380964735325</c:v>
                </c:pt>
                <c:pt idx="141">
                  <c:v>0.95825547612659856</c:v>
                </c:pt>
                <c:pt idx="142">
                  <c:v>0.96055719525992267</c:v>
                </c:pt>
                <c:pt idx="143">
                  <c:v>0.96273547034732121</c:v>
                </c:pt>
                <c:pt idx="144">
                  <c:v>0.96479652457024312</c:v>
                </c:pt>
                <c:pt idx="145">
                  <c:v>0.96674630841789244</c:v>
                </c:pt>
                <c:pt idx="146">
                  <c:v>0.96859050744012232</c:v>
                </c:pt>
                <c:pt idx="147">
                  <c:v>0.97033455024833992</c:v>
                </c:pt>
                <c:pt idx="148">
                  <c:v>0.97198361669442745</c:v>
                </c:pt>
                <c:pt idx="149">
                  <c:v>0.97354264616558306</c:v>
                </c:pt>
                <c:pt idx="150">
                  <c:v>0.97501634594025732</c:v>
                </c:pt>
                <c:pt idx="151">
                  <c:v>0.97640919955699612</c:v>
                </c:pt>
                <c:pt idx="152">
                  <c:v>0.97772547515408181</c:v>
                </c:pt>
                <c:pt idx="153">
                  <c:v>0.97896923374339018</c:v>
                </c:pt>
                <c:pt idx="154">
                  <c:v>0.98014433738690598</c:v>
                </c:pt>
                <c:pt idx="155">
                  <c:v>0.98125445724889315</c:v>
                </c:pt>
                <c:pt idx="156">
                  <c:v>0.98230308150082557</c:v>
                </c:pt>
                <c:pt idx="157">
                  <c:v>0.98329352305989459</c:v>
                </c:pt>
                <c:pt idx="158">
                  <c:v>0.98422892714523302</c:v>
                </c:pt>
                <c:pt idx="159">
                  <c:v>0.98511227863898299</c:v>
                </c:pt>
                <c:pt idx="160">
                  <c:v>0.98594640924199439</c:v>
                </c:pt>
                <c:pt idx="161">
                  <c:v>0.98673400441630843</c:v>
                </c:pt>
                <c:pt idx="162">
                  <c:v>0.98747761010868829</c:v>
                </c:pt>
                <c:pt idx="163">
                  <c:v>0.98817963925130392</c:v>
                </c:pt>
                <c:pt idx="164">
                  <c:v>0.988842378037322</c:v>
                </c:pt>
                <c:pt idx="165">
                  <c:v>0.98946799197057111</c:v>
                </c:pt>
                <c:pt idx="166">
                  <c:v>0.99005853168970093</c:v>
                </c:pt>
                <c:pt idx="167">
                  <c:v>0.99061593856833174</c:v>
                </c:pt>
                <c:pt idx="168">
                  <c:v>0.99114205009361345</c:v>
                </c:pt>
                <c:pt idx="169">
                  <c:v>0.99163860502641099</c:v>
                </c:pt>
                <c:pt idx="170">
                  <c:v>0.99210724834699071</c:v>
                </c:pt>
                <c:pt idx="171">
                  <c:v>0.99254953599065232</c:v>
                </c:pt>
                <c:pt idx="172">
                  <c:v>0.99296693937820713</c:v>
                </c:pt>
                <c:pt idx="173">
                  <c:v>0.99336084974657102</c:v>
                </c:pt>
                <c:pt idx="174">
                  <c:v>0.9937325822850529</c:v>
                </c:pt>
                <c:pt idx="175">
                  <c:v>0.99408338008312669</c:v>
                </c:pt>
                <c:pt idx="176">
                  <c:v>0.99441441789566143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FF-4FA3-A0D4-B42B2AAF0996}"/>
            </c:ext>
          </c:extLst>
        </c:ser>
        <c:ser>
          <c:idx val="3"/>
          <c:order val="3"/>
          <c:tx>
            <c:strRef>
              <c:f>'Cumul_cases - LNorm'!$U$7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LNorm'!$U$8:$U$184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1.3180628156728576E-61</c:v>
                </c:pt>
                <c:pt idx="38">
                  <c:v>1.6390776448532252E-32</c:v>
                </c:pt>
                <c:pt idx="39">
                  <c:v>6.1223748848828497E-24</c:v>
                </c:pt>
                <c:pt idx="40">
                  <c:v>3.0142820147028492E-19</c:v>
                </c:pt>
                <c:pt idx="41">
                  <c:v>3.6819465010871482E-16</c:v>
                </c:pt>
                <c:pt idx="42">
                  <c:v>6.2415149593381372E-14</c:v>
                </c:pt>
                <c:pt idx="43">
                  <c:v>3.1590390830133224E-12</c:v>
                </c:pt>
                <c:pt idx="44">
                  <c:v>7.1414820134062305E-11</c:v>
                </c:pt>
                <c:pt idx="45">
                  <c:v>9.1279270713420225E-10</c:v>
                </c:pt>
                <c:pt idx="46">
                  <c:v>7.6549171799662131E-9</c:v>
                </c:pt>
                <c:pt idx="47">
                  <c:v>4.6522334844307022E-8</c:v>
                </c:pt>
                <c:pt idx="48">
                  <c:v>2.19610918868169E-7</c:v>
                </c:pt>
                <c:pt idx="49">
                  <c:v>8.4660038048141327E-7</c:v>
                </c:pt>
                <c:pt idx="50">
                  <c:v>2.7663856709008015E-6</c:v>
                </c:pt>
                <c:pt idx="51">
                  <c:v>7.8826764854701008E-6</c:v>
                </c:pt>
                <c:pt idx="52">
                  <c:v>2.0023047831381367E-5</c:v>
                </c:pt>
                <c:pt idx="53">
                  <c:v>4.6136627128129388E-5</c:v>
                </c:pt>
                <c:pt idx="54">
                  <c:v>9.7788984765757959E-5</c:v>
                </c:pt>
                <c:pt idx="55">
                  <c:v>1.9284001754075368E-4</c:v>
                </c:pt>
                <c:pt idx="56">
                  <c:v>3.5713030261611206E-4</c:v>
                </c:pt>
                <c:pt idx="57">
                  <c:v>6.2596830521094242E-4</c:v>
                </c:pt>
                <c:pt idx="58">
                  <c:v>1.0452119522191591E-3</c:v>
                </c:pt>
                <c:pt idx="59">
                  <c:v>1.6717720164874626E-3</c:v>
                </c:pt>
                <c:pt idx="60">
                  <c:v>2.5734234770628532E-3</c:v>
                </c:pt>
                <c:pt idx="61">
                  <c:v>3.827882977670739E-3</c:v>
                </c:pt>
                <c:pt idx="62">
                  <c:v>5.5211836992927251E-3</c:v>
                </c:pt>
                <c:pt idx="63">
                  <c:v>7.7454432904541801E-3</c:v>
                </c:pt>
                <c:pt idx="64">
                  <c:v>1.0596169063619012E-2</c:v>
                </c:pt>
                <c:pt idx="65">
                  <c:v>1.4169274112885499E-2</c:v>
                </c:pt>
                <c:pt idx="66">
                  <c:v>1.8557988147569836E-2</c:v>
                </c:pt>
                <c:pt idx="67">
                  <c:v>2.3849839865441275E-2</c:v>
                </c:pt>
                <c:pt idx="68">
                  <c:v>3.0123867282530494E-2</c:v>
                </c:pt>
                <c:pt idx="69">
                  <c:v>3.7448182897835865E-2</c:v>
                </c:pt>
                <c:pt idx="70">
                  <c:v>4.5877986160131265E-2</c:v>
                </c:pt>
                <c:pt idx="71">
                  <c:v>5.5454080171070688E-2</c:v>
                </c:pt>
                <c:pt idx="72">
                  <c:v>6.6201915885809995E-2</c:v>
                </c:pt>
                <c:pt idx="73">
                  <c:v>7.8131157380613422E-2</c:v>
                </c:pt>
                <c:pt idx="74">
                  <c:v>9.1235737337426057E-2</c:v>
                </c:pt>
                <c:pt idx="75">
                  <c:v>0.10549435331702446</c:v>
                </c:pt>
                <c:pt idx="76">
                  <c:v>0.1208713426487483</c:v>
                </c:pt>
                <c:pt idx="77">
                  <c:v>0.13731786643157598</c:v>
                </c:pt>
                <c:pt idx="78">
                  <c:v>0.15477333052344602</c:v>
                </c:pt>
                <c:pt idx="79">
                  <c:v>0.17316697265429842</c:v>
                </c:pt>
                <c:pt idx="80">
                  <c:v>0.1924195490508514</c:v>
                </c:pt>
                <c:pt idx="81">
                  <c:v>0.21244506035553287</c:v>
                </c:pt>
                <c:pt idx="82">
                  <c:v>0.23315246438589535</c:v>
                </c:pt>
                <c:pt idx="83">
                  <c:v>0.25444733175057355</c:v>
                </c:pt>
                <c:pt idx="84">
                  <c:v>0.27623340897070586</c:v>
                </c:pt>
                <c:pt idx="85">
                  <c:v>0.29841406213068317</c:v>
                </c:pt>
                <c:pt idx="86">
                  <c:v>0.32089358189180295</c:v>
                </c:pt>
                <c:pt idx="87">
                  <c:v>0.34357833774051322</c:v>
                </c:pt>
                <c:pt idx="88">
                  <c:v>0.36637777548862505</c:v>
                </c:pt>
                <c:pt idx="89">
                  <c:v>0.38920525724472965</c:v>
                </c:pt>
                <c:pt idx="90">
                  <c:v>0.41197874733662709</c:v>
                </c:pt>
                <c:pt idx="91">
                  <c:v>0.43462135102604393</c:v>
                </c:pt>
                <c:pt idx="92">
                  <c:v>0.45706171538900836</c:v>
                </c:pt>
                <c:pt idx="93">
                  <c:v>0.47923430352469865</c:v>
                </c:pt>
                <c:pt idx="94">
                  <c:v>0.50107955439801466</c:v>
                </c:pt>
                <c:pt idx="95">
                  <c:v>0.52254394121453029</c:v>
                </c:pt>
                <c:pt idx="96">
                  <c:v>0.54357994136639032</c:v>
                </c:pt>
                <c:pt idx="97">
                  <c:v>0.56414593076409814</c:v>
                </c:pt>
                <c:pt idx="98">
                  <c:v>0.58420601486379575</c:v>
                </c:pt>
                <c:pt idx="99">
                  <c:v>0.60372980798553511</c:v>
                </c:pt>
                <c:pt idx="100">
                  <c:v>0.62269217165816571</c:v>
                </c:pt>
                <c:pt idx="101">
                  <c:v>0.64107292177466202</c:v>
                </c:pt>
                <c:pt idx="102">
                  <c:v>0.65885651334202677</c:v>
                </c:pt>
                <c:pt idx="103">
                  <c:v>0.67603171059866962</c:v>
                </c:pt>
                <c:pt idx="104">
                  <c:v>0.69259124927722804</c:v>
                </c:pt>
                <c:pt idx="105">
                  <c:v>0.70853149683397509</c:v>
                </c:pt>
                <c:pt idx="106">
                  <c:v>0.72385211556274742</c:v>
                </c:pt>
                <c:pt idx="107">
                  <c:v>0.73855573267252705</c:v>
                </c:pt>
                <c:pt idx="108">
                  <c:v>0.75264762064005308</c:v>
                </c:pt>
                <c:pt idx="109">
                  <c:v>0.76613539045546086</c:v>
                </c:pt>
                <c:pt idx="110">
                  <c:v>0.77902869976056432</c:v>
                </c:pt>
                <c:pt idx="111">
                  <c:v>0.79133897733472647</c:v>
                </c:pt>
                <c:pt idx="112">
                  <c:v>0.80307916490933173</c:v>
                </c:pt>
                <c:pt idx="113">
                  <c:v>0.81426347688472356</c:v>
                </c:pt>
                <c:pt idx="114">
                  <c:v>0.82490717817839743</c:v>
                </c:pt>
                <c:pt idx="115">
                  <c:v>0.83502638014502351</c:v>
                </c:pt>
                <c:pt idx="116">
                  <c:v>0.8446378542722276</c:v>
                </c:pt>
                <c:pt idx="117">
                  <c:v>0.85375886316552219</c:v>
                </c:pt>
                <c:pt idx="118">
                  <c:v>0.86240700818612259</c:v>
                </c:pt>
                <c:pt idx="119">
                  <c:v>0.87060009299155927</c:v>
                </c:pt>
                <c:pt idx="120">
                  <c:v>0.87835600214625331</c:v>
                </c:pt>
                <c:pt idx="121">
                  <c:v>0.88569259391310018</c:v>
                </c:pt>
                <c:pt idx="122">
                  <c:v>0.89262760630364535</c:v>
                </c:pt>
                <c:pt idx="123">
                  <c:v>0.89917857544988045</c:v>
                </c:pt>
                <c:pt idx="124">
                  <c:v>0.90536276536180271</c:v>
                </c:pt>
                <c:pt idx="125">
                  <c:v>0.91119710814870625</c:v>
                </c:pt>
                <c:pt idx="126">
                  <c:v>0.91669815380616992</c:v>
                </c:pt>
                <c:pt idx="127">
                  <c:v>0.92188202870258951</c:v>
                </c:pt>
                <c:pt idx="128">
                  <c:v>0.92676440193694198</c:v>
                </c:pt>
                <c:pt idx="129">
                  <c:v>0.93136045878163576</c:v>
                </c:pt>
                <c:pt idx="130">
                  <c:v>0.9356848804693243</c:v>
                </c:pt>
                <c:pt idx="131">
                  <c:v>0.93975182962930925</c:v>
                </c:pt>
                <c:pt idx="132">
                  <c:v>0.94357494072662651</c:v>
                </c:pt>
                <c:pt idx="133">
                  <c:v>0.94716731490430628</c:v>
                </c:pt>
                <c:pt idx="134">
                  <c:v>0.95054151867595937</c:v>
                </c:pt>
                <c:pt idx="135">
                  <c:v>0.95370958596129374</c:v>
                </c:pt>
                <c:pt idx="136">
                  <c:v>0.9566830230009683</c:v>
                </c:pt>
                <c:pt idx="137">
                  <c:v>0.95947281572909648</c:v>
                </c:pt>
                <c:pt idx="138">
                  <c:v>0.96208943922147394</c:v>
                </c:pt>
                <c:pt idx="139">
                  <c:v>0.96454286887511786</c:v>
                </c:pt>
                <c:pt idx="140">
                  <c:v>0.96684259300986797</c:v>
                </c:pt>
                <c:pt idx="141">
                  <c:v>0.96899762661558864</c:v>
                </c:pt>
                <c:pt idx="142">
                  <c:v>0.97101652599894672</c:v>
                </c:pt>
                <c:pt idx="143">
                  <c:v>0.97290740411184418</c:v>
                </c:pt>
                <c:pt idx="144">
                  <c:v>0.97467794636943816</c:v>
                </c:pt>
                <c:pt idx="145">
                  <c:v>0.97633542678935681</c:v>
                </c:pt>
                <c:pt idx="146">
                  <c:v>0.97788672430532642</c:v>
                </c:pt>
                <c:pt idx="147">
                  <c:v>0.97933833912805224</c:v>
                </c:pt>
                <c:pt idx="148">
                  <c:v>0.98069640904398159</c:v>
                </c:pt>
                <c:pt idx="149">
                  <c:v>0.98196672555860842</c:v>
                </c:pt>
                <c:pt idx="150">
                  <c:v>0.98315474980540063</c:v>
                </c:pt>
                <c:pt idx="151">
                  <c:v>0.98426562815434027</c:v>
                </c:pt>
                <c:pt idx="152">
                  <c:v>0.98530420746558134</c:v>
                </c:pt>
                <c:pt idx="153">
                  <c:v>0.98627504994397563</c:v>
                </c:pt>
                <c:pt idx="154">
                  <c:v>0.98718244755926798</c:v>
                </c:pt>
                <c:pt idx="155">
                  <c:v>0.9880304360047607</c:v>
                </c:pt>
                <c:pt idx="156">
                  <c:v>0.9888228081742495</c:v>
                </c:pt>
                <c:pt idx="157">
                  <c:v>0.98956312714315886</c:v>
                </c:pt>
                <c:pt idx="158">
                  <c:v>0.99025473864512303</c:v>
                </c:pt>
                <c:pt idx="159">
                  <c:v>0.99090078303985252</c:v>
                </c:pt>
                <c:pt idx="160">
                  <c:v>0.99150420677207118</c:v>
                </c:pt>
                <c:pt idx="161">
                  <c:v>0.99206777332466545</c:v>
                </c:pt>
                <c:pt idx="162">
                  <c:v>0.9925940736720309</c:v>
                </c:pt>
                <c:pt idx="163">
                  <c:v>0.99308553624196627</c:v>
                </c:pt>
                <c:pt idx="164">
                  <c:v>0.99354443639643919</c:v>
                </c:pt>
                <c:pt idx="165">
                  <c:v>0.9939729054431351</c:v>
                </c:pt>
                <c:pt idx="166">
                  <c:v>0.99437293919098246</c:v>
                </c:pt>
                <c:pt idx="167">
                  <c:v>0.99474640606384201</c:v>
                </c:pt>
                <c:pt idx="168">
                  <c:v>0.99509505478729432</c:v>
                </c:pt>
                <c:pt idx="169">
                  <c:v>0.99542052166399675</c:v>
                </c:pt>
                <c:pt idx="170">
                  <c:v>0.99572433745342881</c:v>
                </c:pt>
                <c:pt idx="171">
                  <c:v>0.9960079338720309</c:v>
                </c:pt>
                <c:pt idx="172">
                  <c:v>0.99627264972979601</c:v>
                </c:pt>
                <c:pt idx="173">
                  <c:v>0.99651973671931438</c:v>
                </c:pt>
                <c:pt idx="174">
                  <c:v>0.99675036487309376</c:v>
                </c:pt>
                <c:pt idx="175">
                  <c:v>0.99696562770475383</c:v>
                </c:pt>
                <c:pt idx="176">
                  <c:v>0.99716654704936336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9FF-4FA3-A0D4-B42B2AAF0996}"/>
            </c:ext>
          </c:extLst>
        </c:ser>
        <c:ser>
          <c:idx val="4"/>
          <c:order val="4"/>
          <c:tx>
            <c:strRef>
              <c:f>'Cumul_cases - LNorm'!$B$6</c:f>
              <c:strCache>
                <c:ptCount val="1"/>
                <c:pt idx="0">
                  <c:v>30/04/2020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('Cumul_cases - LNorm'!$C$6,'Cumul_cases - LNorm'!$C$6)</c:f>
              <c:numCache>
                <c:formatCode>General</c:formatCode>
                <c:ptCount val="2"/>
                <c:pt idx="0">
                  <c:v>121</c:v>
                </c:pt>
                <c:pt idx="1">
                  <c:v>121</c:v>
                </c:pt>
              </c:numCache>
            </c:numRef>
          </c:xVal>
          <c:yVal>
            <c:numRef>
              <c:f>('Cumul_cases - LNorm'!$F$6,'Cumul_cases - LNorm'!$G$6)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9FF-4FA3-A0D4-B42B2AAF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75632"/>
        <c:axId val="976174672"/>
        <c:extLst/>
      </c:scatterChart>
      <c:valAx>
        <c:axId val="97617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4672"/>
        <c:crosses val="autoZero"/>
        <c:crossBetween val="midCat"/>
      </c:valAx>
      <c:valAx>
        <c:axId val="97617467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 cases (normalized)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>
                <a:solidFill>
                  <a:srgbClr val="FF0000"/>
                </a:solidFill>
              </a:rPr>
              <a:t>Lombardy</a:t>
            </a:r>
            <a:r>
              <a:rPr lang="it-IT">
                <a:solidFill>
                  <a:srgbClr val="0070C0"/>
                </a:solidFill>
              </a:rPr>
              <a:t> - </a:t>
            </a:r>
            <a:r>
              <a:rPr lang="it-IT">
                <a:solidFill>
                  <a:srgbClr val="00B050"/>
                </a:solidFill>
              </a:rPr>
              <a:t>rest of Italy outside Lombardy - </a:t>
            </a:r>
            <a:r>
              <a:rPr lang="it-IT">
                <a:solidFill>
                  <a:sysClr val="windowText" lastClr="000000"/>
                </a:solidFill>
              </a:rPr>
              <a:t>Accumulative cases (displacement)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'New_cases - LNorm'!#REF!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63-405D-9D59-DBE97AB07DBF}"/>
            </c:ext>
          </c:extLst>
        </c:ser>
        <c:ser>
          <c:idx val="2"/>
          <c:order val="1"/>
          <c:tx>
            <c:strRef>
              <c:f>'New_cases - LNorm'!$O$7</c:f>
              <c:strCache>
                <c:ptCount val="1"/>
                <c:pt idx="0">
                  <c:v>Lombardy cumul.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LNorm'!$O$8:$O$184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 formatCode="General">
                  <c:v>229.75081032074394</c:v>
                </c:pt>
                <c:pt idx="55" formatCode="General">
                  <c:v>331.60368823539022</c:v>
                </c:pt>
                <c:pt idx="56" formatCode="General">
                  <c:v>465.77889435556489</c:v>
                </c:pt>
                <c:pt idx="57" formatCode="General">
                  <c:v>638.36338064302606</c:v>
                </c:pt>
                <c:pt idx="58" formatCode="General">
                  <c:v>855.6049183896896</c:v>
                </c:pt>
                <c:pt idx="59" formatCode="General">
                  <c:v>1123.7418244760652</c:v>
                </c:pt>
                <c:pt idx="60" formatCode="General">
                  <c:v>1448.8305134421209</c:v>
                </c:pt>
                <c:pt idx="61" formatCode="General">
                  <c:v>1836.5792702222441</c:v>
                </c:pt>
                <c:pt idx="62" formatCode="General">
                  <c:v>2292.1954624306022</c:v>
                </c:pt>
                <c:pt idx="63" formatCode="General">
                  <c:v>2820.2519272416362</c:v>
                </c:pt>
                <c:pt idx="64" formatCode="General">
                  <c:v>3424.5766475447799</c:v>
                </c:pt>
                <c:pt idx="65" formatCode="General">
                  <c:v>4108.168218034295</c:v>
                </c:pt>
                <c:pt idx="66" formatCode="General">
                  <c:v>4873.1381029957529</c:v>
                </c:pt>
                <c:pt idx="67" formatCode="General">
                  <c:v>5720.6793780428634</c:v>
                </c:pt>
                <c:pt idx="68" formatCode="General">
                  <c:v>6651.0605708092144</c:v>
                </c:pt>
                <c:pt idx="69" formatCode="General">
                  <c:v>7663.6423871361549</c:v>
                </c:pt>
                <c:pt idx="70" formatCode="General">
                  <c:v>8756.9145256784268</c:v>
                </c:pt>
                <c:pt idx="71" formatCode="General">
                  <c:v>9928.5494264847639</c:v>
                </c:pt>
                <c:pt idx="72" formatCode="General">
                  <c:v>11175.46964004266</c:v>
                </c:pt>
                <c:pt idx="73" formatCode="General">
                  <c:v>12493.925509581044</c:v>
                </c:pt>
                <c:pt idx="74" formatCode="General">
                  <c:v>13879.579996701837</c:v>
                </c:pt>
                <c:pt idx="75" formatCode="General">
                  <c:v>15327.597715323067</c:v>
                </c:pt>
                <c:pt idx="76" formatCode="General">
                  <c:v>16832.735540922957</c:v>
                </c:pt>
                <c:pt idx="77" formatCode="General">
                  <c:v>18389.432504465833</c:v>
                </c:pt>
                <c:pt idx="78" formatCode="General">
                  <c:v>19991.897040773845</c:v>
                </c:pt>
                <c:pt idx="79" formatCode="General">
                  <c:v>21634.190021491242</c:v>
                </c:pt>
                <c:pt idx="80" formatCode="General">
                  <c:v>23310.302349365797</c:v>
                </c:pt>
                <c:pt idx="81" formatCode="General">
                  <c:v>25014.226213352795</c:v>
                </c:pt>
                <c:pt idx="82" formatCode="General">
                  <c:v>26740.019396335363</c:v>
                </c:pt>
                <c:pt idx="83" formatCode="General">
                  <c:v>28481.862285154002</c:v>
                </c:pt>
                <c:pt idx="84" formatCode="General">
                  <c:v>30234.107454482848</c:v>
                </c:pt>
                <c:pt idx="85" formatCode="General">
                  <c:v>31991.321881984775</c:v>
                </c:pt>
                <c:pt idx="86" formatCode="General">
                  <c:v>33748.322003527355</c:v>
                </c:pt>
                <c:pt idx="87" formatCode="General">
                  <c:v>35500.201936379526</c:v>
                </c:pt>
                <c:pt idx="88" formatCode="General">
                  <c:v>37242.355288164421</c:v>
                </c:pt>
                <c:pt idx="89" formatCode="General">
                  <c:v>38970.491033185979</c:v>
                </c:pt>
                <c:pt idx="90" formatCode="General">
                  <c:v>40680.643978973909</c:v>
                </c:pt>
                <c:pt idx="91" formatCode="General">
                  <c:v>42369.180367868961</c:v>
                </c:pt>
                <c:pt idx="92" formatCode="General">
                  <c:v>44032.799164431563</c:v>
                </c:pt>
                <c:pt idx="93" formatCode="General">
                  <c:v>45668.529572397463</c:v>
                </c:pt>
                <c:pt idx="94" formatCode="General">
                  <c:v>47273.725307568522</c:v>
                </c:pt>
                <c:pt idx="95" formatCode="General">
                  <c:v>48846.056127844786</c:v>
                </c:pt>
                <c:pt idx="96" formatCode="General">
                  <c:v>50383.497090705459</c:v>
                </c:pt>
                <c:pt idx="97" formatCode="General">
                  <c:v>51884.31597367175</c:v>
                </c:pt>
                <c:pt idx="98" formatCode="General">
                  <c:v>53347.059256157372</c:v>
                </c:pt>
                <c:pt idx="99" formatCode="General">
                  <c:v>54770.537022930162</c:v>
                </c:pt>
                <c:pt idx="100" formatCode="General">
                  <c:v>56153.80711118412</c:v>
                </c:pt>
                <c:pt idx="101" formatCode="General">
                  <c:v>57496.158785785505</c:v>
                </c:pt>
                <c:pt idx="102" formatCode="General">
                  <c:v>58797.096191230899</c:v>
                </c:pt>
                <c:pt idx="103" formatCode="General">
                  <c:v>60056.3217947015</c:v>
                </c:pt>
                <c:pt idx="104" formatCode="General">
                  <c:v>61273.720002643167</c:v>
                </c:pt>
                <c:pt idx="105" formatCode="General">
                  <c:v>62449.3411037525</c:v>
                </c:pt>
                <c:pt idx="106" formatCode="General">
                  <c:v>63583.38566421374</c:v>
                </c:pt>
                <c:pt idx="107" formatCode="General">
                  <c:v>64676.189476553751</c:v>
                </c:pt>
                <c:pt idx="108" formatCode="General">
                  <c:v>65728.209141519241</c:v>
                </c:pt>
                <c:pt idx="109" formatCode="General">
                  <c:v>66740.0083428785</c:v>
                </c:pt>
                <c:pt idx="110" formatCode="General">
                  <c:v>67712.244857883314</c:v>
                </c:pt>
                <c:pt idx="111" formatCode="General">
                  <c:v>68645.658331171959</c:v>
                </c:pt>
                <c:pt idx="112" formatCode="General">
                  <c:v>69541.058826994791</c:v>
                </c:pt>
                <c:pt idx="113" formatCode="General">
                  <c:v>70399.316163647018</c:v>
                </c:pt>
                <c:pt idx="114" formatCode="General">
                  <c:v>71221.350024725776</c:v>
                </c:pt>
                <c:pt idx="115" formatCode="General">
                  <c:v>72008.120834134315</c:v>
                </c:pt>
                <c:pt idx="116" formatCode="General">
                  <c:v>72760.621375470975</c:v>
                </c:pt>
                <c:pt idx="117" formatCode="General">
                  <c:v>73479.869131409956</c:v>
                </c:pt>
                <c:pt idx="118" formatCode="General">
                  <c:v>74166.8993147609</c:v>
                </c:pt>
                <c:pt idx="119" formatCode="General">
                  <c:v>74822.758559943803</c:v>
                </c:pt>
                <c:pt idx="120" formatCode="General">
                  <c:v>75448.499241512851</c:v>
                </c:pt>
                <c:pt idx="121" formatCode="General">
                  <c:v>76045.1743849841</c:v>
                </c:pt>
                <c:pt idx="122" formatCode="General">
                  <c:v>76613.833134465094</c:v>
                </c:pt>
                <c:pt idx="123" formatCode="General">
                  <c:v>77155.516741352141</c:v>
                </c:pt>
                <c:pt idx="124" formatCode="General">
                  <c:v>77671.255038565258</c:v>
                </c:pt>
                <c:pt idx="125" formatCode="General">
                  <c:v>78162.063365355221</c:v>
                </c:pt>
                <c:pt idx="126" formatCode="General">
                  <c:v>78628.939908572895</c:v>
                </c:pt>
                <c:pt idx="127" formatCode="General">
                  <c:v>79072.86342737946</c:v>
                </c:pt>
                <c:pt idx="128" formatCode="General">
                  <c:v>79494.791329642132</c:v>
                </c:pt>
                <c:pt idx="129" formatCode="General">
                  <c:v>79895.658069660931</c:v>
                </c:pt>
                <c:pt idx="130" formatCode="General">
                  <c:v>80276.373838365733</c:v>
                </c:pt>
                <c:pt idx="131" formatCode="General">
                  <c:v>80637.823518680394</c:v>
                </c:pt>
                <c:pt idx="132" formatCode="General">
                  <c:v>80980.86588033702</c:v>
                </c:pt>
                <c:pt idx="133" formatCode="General">
                  <c:v>81306.332990023977</c:v>
                </c:pt>
                <c:pt idx="134" formatCode="General">
                  <c:v>81615.02981433706</c:v>
                </c:pt>
                <c:pt idx="135" formatCode="General">
                  <c:v>81907.733994565613</c:v>
                </c:pt>
                <c:pt idx="136" formatCode="General">
                  <c:v>82185.195773867905</c:v>
                </c:pt>
                <c:pt idx="137" formatCode="General">
                  <c:v>82448.138058862911</c:v>
                </c:pt>
                <c:pt idx="138" formatCode="General">
                  <c:v>82697.256599083383</c:v>
                </c:pt>
                <c:pt idx="139" formatCode="General">
                  <c:v>82933.220269088051</c:v>
                </c:pt>
                <c:pt idx="140" formatCode="General">
                  <c:v>83156.671439319733</c:v>
                </c:pt>
                <c:pt idx="141" formatCode="General">
                  <c:v>83368.226423014072</c:v>
                </c:pt>
                <c:pt idx="142" formatCode="General">
                  <c:v>83568.475987613274</c:v>
                </c:pt>
                <c:pt idx="143" formatCode="General">
                  <c:v>83757.985920216946</c:v>
                </c:pt>
                <c:pt idx="144" formatCode="General">
                  <c:v>83937.297637611147</c:v>
                </c:pt>
                <c:pt idx="145" formatCode="General">
                  <c:v>84106.928832356643</c:v>
                </c:pt>
                <c:pt idx="146" formatCode="General">
                  <c:v>84267.37414729064</c:v>
                </c:pt>
                <c:pt idx="147" formatCode="General">
                  <c:v>84419.10587160557</c:v>
                </c:pt>
                <c:pt idx="148" formatCode="General">
                  <c:v>84562.574652415191</c:v>
                </c:pt>
                <c:pt idx="149" formatCode="General">
                  <c:v>84698.210216405729</c:v>
                </c:pt>
                <c:pt idx="150" formatCode="General">
                  <c:v>84826.422096802387</c:v>
                </c:pt>
                <c:pt idx="151" formatCode="General">
                  <c:v>84947.600361458666</c:v>
                </c:pt>
                <c:pt idx="152" formatCode="General">
                  <c:v>85062.116338405118</c:v>
                </c:pt>
                <c:pt idx="153" formatCode="General">
                  <c:v>85170.323335674941</c:v>
                </c:pt>
                <c:pt idx="154" formatCode="General">
                  <c:v>85272.55735266082</c:v>
                </c:pt>
                <c:pt idx="155" formatCode="General">
                  <c:v>85369.137780653706</c:v>
                </c:pt>
                <c:pt idx="156" formatCode="General">
                  <c:v>85460.368090571821</c:v>
                </c:pt>
                <c:pt idx="157" formatCode="General">
                  <c:v>85546.536506210832</c:v>
                </c:pt>
                <c:pt idx="158" formatCode="General">
                  <c:v>85627.916661635274</c:v>
                </c:pt>
                <c:pt idx="159" formatCode="General">
                  <c:v>85704.768241591519</c:v>
                </c:pt>
                <c:pt idx="160" formatCode="General">
                  <c:v>85777.337604053508</c:v>
                </c:pt>
                <c:pt idx="161" formatCode="General">
                  <c:v>85845.858384218838</c:v>
                </c:pt>
                <c:pt idx="162" formatCode="General">
                  <c:v>85910.552079455883</c:v>
                </c:pt>
                <c:pt idx="163" formatCode="General">
                  <c:v>85971.628614863439</c:v>
                </c:pt>
                <c:pt idx="164" formatCode="General">
                  <c:v>86029.286889247014</c:v>
                </c:pt>
                <c:pt idx="165" formatCode="General">
                  <c:v>86083.71530143969</c:v>
                </c:pt>
                <c:pt idx="166" formatCode="General">
                  <c:v>86135.092257003984</c:v>
                </c:pt>
                <c:pt idx="167" formatCode="General">
                  <c:v>86183.586655444858</c:v>
                </c:pt>
                <c:pt idx="168" formatCode="General">
                  <c:v>86229.358358144367</c:v>
                </c:pt>
                <c:pt idx="169" formatCode="General">
                  <c:v>86272.558637297756</c:v>
                </c:pt>
                <c:pt idx="170" formatCode="General">
                  <c:v>86313.330606188189</c:v>
                </c:pt>
                <c:pt idx="171" formatCode="General">
                  <c:v>86351.809631186756</c:v>
                </c:pt>
                <c:pt idx="172" formatCode="General">
                  <c:v>86388.123725904021</c:v>
                </c:pt>
                <c:pt idx="173" formatCode="General">
                  <c:v>86422.393927951678</c:v>
                </c:pt>
                <c:pt idx="174" formatCode="General">
                  <c:v>86454.7346587996</c:v>
                </c:pt>
                <c:pt idx="175" formatCode="General">
                  <c:v>86485.254067232017</c:v>
                </c:pt>
                <c:pt idx="176" formatCode="General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63-405D-9D59-DBE97AB07DBF}"/>
            </c:ext>
          </c:extLst>
        </c:ser>
        <c:ser>
          <c:idx val="3"/>
          <c:order val="2"/>
          <c:tx>
            <c:strRef>
              <c:f>'New_cases - LNorm'!$Y$7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LNorm'!$Y$8:$Y$184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 formatCode="General">
                  <c:v>14.472768060535266</c:v>
                </c:pt>
                <c:pt idx="55" formatCode="General">
                  <c:v>28.540319273609629</c:v>
                </c:pt>
                <c:pt idx="56" formatCode="General">
                  <c:v>52.855278634221321</c:v>
                </c:pt>
                <c:pt idx="57" formatCode="General">
                  <c:v>92.643298386472409</c:v>
                </c:pt>
                <c:pt idx="58" formatCode="General">
                  <c:v>154.69135092058042</c:v>
                </c:pt>
                <c:pt idx="59" formatCode="General">
                  <c:v>247.42222963734693</c:v>
                </c:pt>
                <c:pt idx="60" formatCode="General">
                  <c:v>380.86663026803939</c:v>
                </c:pt>
                <c:pt idx="61" formatCode="General">
                  <c:v>566.52661474504566</c:v>
                </c:pt>
                <c:pt idx="62" formatCode="General">
                  <c:v>817.13509237138612</c:v>
                </c:pt>
                <c:pt idx="63" formatCode="General">
                  <c:v>1146.3254735417293</c:v>
                </c:pt>
                <c:pt idx="64" formatCode="General">
                  <c:v>1568.2328388552471</c:v>
                </c:pt>
                <c:pt idx="65" formatCode="General">
                  <c:v>2097.0523245860077</c:v>
                </c:pt>
                <c:pt idx="66" formatCode="General">
                  <c:v>2746.5819261065622</c:v>
                </c:pt>
                <c:pt idx="67" formatCode="General">
                  <c:v>3529.7758891787362</c:v>
                </c:pt>
                <c:pt idx="68" formatCode="General">
                  <c:v>4458.3318388133321</c:v>
                </c:pt>
                <c:pt idx="69" formatCode="General">
                  <c:v>5542.3304236886052</c:v>
                </c:pt>
                <c:pt idx="70" formatCode="General">
                  <c:v>6789.9411612720642</c:v>
                </c:pt>
                <c:pt idx="71" formatCode="General">
                  <c:v>8207.2029099055053</c:v>
                </c:pt>
                <c:pt idx="72" formatCode="General">
                  <c:v>9797.8824105135063</c:v>
                </c:pt>
                <c:pt idx="73" formatCode="General">
                  <c:v>11563.409946216672</c:v>
                </c:pt>
                <c:pt idx="74" formatCode="General">
                  <c:v>13502.887554047407</c:v>
                </c:pt>
                <c:pt idx="75" formatCode="General">
                  <c:v>15613.162473367664</c:v>
                </c:pt>
                <c:pt idx="76" formatCode="General">
                  <c:v>17888.956629534136</c:v>
                </c:pt>
                <c:pt idx="77" formatCode="General">
                  <c:v>20323.041866037074</c:v>
                </c:pt>
                <c:pt idx="78" formatCode="General">
                  <c:v>22906.450250895345</c:v>
                </c:pt>
                <c:pt idx="79" formatCode="General">
                  <c:v>25628.708969359228</c:v>
                </c:pt>
                <c:pt idx="80" formatCode="General">
                  <c:v>28478.089944348303</c:v>
                </c:pt>
                <c:pt idx="81" formatCode="General">
                  <c:v>31441.865272423573</c:v>
                </c:pt>
                <c:pt idx="82" formatCode="General">
                  <c:v>34506.560712151368</c:v>
                </c:pt>
                <c:pt idx="83" formatCode="General">
                  <c:v>37658.20071523654</c:v>
                </c:pt>
                <c:pt idx="84" formatCode="General">
                  <c:v>40882.539768465918</c:v>
                </c:pt>
                <c:pt idx="85" formatCode="General">
                  <c:v>44165.276053994246</c:v>
                </c:pt>
                <c:pt idx="86" formatCode="General">
                  <c:v>47492.244591342511</c:v>
                </c:pt>
                <c:pt idx="87" formatCode="General">
                  <c:v>50849.58806611818</c:v>
                </c:pt>
                <c:pt idx="88" formatCode="General">
                  <c:v>54223.904460029429</c:v>
                </c:pt>
                <c:pt idx="89" formatCode="General">
                  <c:v>57602.371366640451</c:v>
                </c:pt>
                <c:pt idx="90" formatCode="General">
                  <c:v>60972.847507879022</c:v>
                </c:pt>
                <c:pt idx="91" formatCode="General">
                  <c:v>64323.952463805501</c:v>
                </c:pt>
                <c:pt idx="92" formatCode="General">
                  <c:v>67645.126002901379</c:v>
                </c:pt>
                <c:pt idx="93" formatCode="General">
                  <c:v>70926.668664974175</c:v>
                </c:pt>
                <c:pt idx="94" formatCode="General">
                  <c:v>74159.765417855233</c:v>
                </c:pt>
                <c:pt idx="95" formatCode="General">
                  <c:v>77336.494296891717</c:v>
                </c:pt>
                <c:pt idx="96" formatCode="General">
                  <c:v>80449.821956939806</c:v>
                </c:pt>
                <c:pt idx="97" formatCode="General">
                  <c:v>83493.588033471126</c:v>
                </c:pt>
                <c:pt idx="98" formatCode="General">
                  <c:v>86462.480134613143</c:v>
                </c:pt>
                <c:pt idx="99" formatCode="General">
                  <c:v>89352.001180257022</c:v>
                </c:pt>
                <c:pt idx="100" formatCode="General">
                  <c:v>92158.430677105629</c:v>
                </c:pt>
                <c:pt idx="101" formatCode="General">
                  <c:v>94878.781377666935</c:v>
                </c:pt>
                <c:pt idx="102" formatCode="General">
                  <c:v>97510.752623245149</c:v>
                </c:pt>
                <c:pt idx="103" formatCode="General">
                  <c:v>100052.68152131849</c:v>
                </c:pt>
                <c:pt idx="104" formatCode="General">
                  <c:v>102503.49296044245</c:v>
                </c:pt>
                <c:pt idx="105" formatCode="General">
                  <c:v>104862.64932420803</c:v>
                </c:pt>
                <c:pt idx="106" formatCode="General">
                  <c:v>107130.10063210889</c:v>
                </c:pt>
                <c:pt idx="107" formatCode="General">
                  <c:v>109306.23571102909</c:v>
                </c:pt>
                <c:pt idx="108" formatCode="General">
                  <c:v>111391.83488743517</c:v>
                </c:pt>
                <c:pt idx="109" formatCode="General">
                  <c:v>113388.02458773604</c:v>
                </c:pt>
                <c:pt idx="110" formatCode="General">
                  <c:v>115296.23414275379</c:v>
                </c:pt>
                <c:pt idx="111" formatCode="General">
                  <c:v>117118.15501163721</c:v>
                </c:pt>
                <c:pt idx="112" formatCode="General">
                  <c:v>118855.70257040823</c:v>
                </c:pt>
                <c:pt idx="113" formatCode="General">
                  <c:v>120510.9805500728</c:v>
                </c:pt>
                <c:pt idx="114" formatCode="General">
                  <c:v>122086.24815815724</c:v>
                </c:pt>
                <c:pt idx="115" formatCode="General">
                  <c:v>123583.88987487515</c:v>
                </c:pt>
                <c:pt idx="116" formatCode="General">
                  <c:v>125006.38788010621</c:v>
                </c:pt>
                <c:pt idx="117" formatCode="General">
                  <c:v>126356.29703916883</c:v>
                </c:pt>
                <c:pt idx="118" formatCode="General">
                  <c:v>127636.22235321964</c:v>
                </c:pt>
                <c:pt idx="119" formatCode="General">
                  <c:v>128848.7987632664</c:v>
                </c:pt>
                <c:pt idx="120" formatCode="General">
                  <c:v>129996.67318453532</c:v>
                </c:pt>
                <c:pt idx="121" formatCode="General">
                  <c:v>131082.48863962723</c:v>
                </c:pt>
                <c:pt idx="122" formatCode="General">
                  <c:v>132108.87035394527</c:v>
                </c:pt>
                <c:pt idx="123" formatCode="General">
                  <c:v>133078.41367472205</c:v>
                </c:pt>
                <c:pt idx="124" formatCode="General">
                  <c:v>133993.67367513973</c:v>
                </c:pt>
                <c:pt idx="125" formatCode="General">
                  <c:v>134857.15630708213</c:v>
                </c:pt>
                <c:pt idx="126" formatCode="General">
                  <c:v>135671.31096960977</c:v>
                </c:pt>
                <c:pt idx="127" formatCode="General">
                  <c:v>136438.52436496739</c:v>
                </c:pt>
                <c:pt idx="128" formatCode="General">
                  <c:v>137161.11551953363</c:v>
                </c:pt>
                <c:pt idx="129" formatCode="General">
                  <c:v>137841.33185336328</c:v>
                </c:pt>
                <c:pt idx="130" formatCode="General">
                  <c:v>138481.34618863615</c:v>
                </c:pt>
                <c:pt idx="131" formatCode="General">
                  <c:v>139083.25459424485</c:v>
                </c:pt>
                <c:pt idx="132" formatCode="General">
                  <c:v>139649.07497077979</c:v>
                </c:pt>
                <c:pt idx="133" formatCode="General">
                  <c:v>140180.74628718375</c:v>
                </c:pt>
                <c:pt idx="134" formatCode="General">
                  <c:v>140680.12838725458</c:v>
                </c:pt>
                <c:pt idx="135" formatCode="General">
                  <c:v>141149.00229090173</c:v>
                </c:pt>
                <c:pt idx="136" formatCode="General">
                  <c:v>141589.07092154451</c:v>
                </c:pt>
                <c:pt idx="137" formatCode="General">
                  <c:v>142001.96019724241</c:v>
                </c:pt>
                <c:pt idx="138" formatCode="General">
                  <c:v>142389.22042903272</c:v>
                </c:pt>
                <c:pt idx="139" formatCode="General">
                  <c:v>142752.32797550212</c:v>
                </c:pt>
                <c:pt idx="140" formatCode="General">
                  <c:v>143092.68710782341</c:v>
                </c:pt>
                <c:pt idx="141" formatCode="General">
                  <c:v>143411.63204434121</c:v>
                </c:pt>
                <c:pt idx="142" formatCode="General">
                  <c:v>143710.42911829479</c:v>
                </c:pt>
                <c:pt idx="143" formatCode="General">
                  <c:v>143990.27904642586</c:v>
                </c:pt>
                <c:pt idx="144" formatCode="General">
                  <c:v>144252.31927004526</c:v>
                </c:pt>
                <c:pt idx="145" formatCode="General">
                  <c:v>144497.62634363666</c:v>
                </c:pt>
                <c:pt idx="146" formatCode="General">
                  <c:v>144727.218349273</c:v>
                </c:pt>
                <c:pt idx="147" formatCode="General">
                  <c:v>144942.05731802669</c:v>
                </c:pt>
                <c:pt idx="148" formatCode="General">
                  <c:v>145143.05164218618</c:v>
                </c:pt>
                <c:pt idx="149" formatCode="General">
                  <c:v>145331.05846446479</c:v>
                </c:pt>
                <c:pt idx="150" formatCode="General">
                  <c:v>145506.8860325217</c:v>
                </c:pt>
                <c:pt idx="151" formatCode="General">
                  <c:v>145671.29600902554</c:v>
                </c:pt>
                <c:pt idx="152" formatCode="General">
                  <c:v>145825.00572919563</c:v>
                </c:pt>
                <c:pt idx="153" formatCode="General">
                  <c:v>145968.69039927144</c:v>
                </c:pt>
                <c:pt idx="154" formatCode="General">
                  <c:v>146102.98523070125</c:v>
                </c:pt>
                <c:pt idx="155" formatCode="General">
                  <c:v>146228.48750602425</c:v>
                </c:pt>
                <c:pt idx="156" formatCode="General">
                  <c:v>146345.7585734569</c:v>
                </c:pt>
                <c:pt idx="157" formatCode="General">
                  <c:v>146455.32576810059</c:v>
                </c:pt>
                <c:pt idx="158" formatCode="General">
                  <c:v>146557.68425847558</c:v>
                </c:pt>
                <c:pt idx="159" formatCode="General">
                  <c:v>146653.29881776491</c:v>
                </c:pt>
                <c:pt idx="160" formatCode="General">
                  <c:v>146742.60551973694</c:v>
                </c:pt>
                <c:pt idx="161" formatCode="General">
                  <c:v>146826.01335981127</c:v>
                </c:pt>
                <c:pt idx="162" formatCode="General">
                  <c:v>146903.90580215378</c:v>
                </c:pt>
                <c:pt idx="163" formatCode="General">
                  <c:v>146976.64225403685</c:v>
                </c:pt>
                <c:pt idx="164" formatCode="General">
                  <c:v>147044.55946899249</c:v>
                </c:pt>
                <c:pt idx="165" formatCode="General">
                  <c:v>147107.97288052144</c:v>
                </c:pt>
                <c:pt idx="166" formatCode="General">
                  <c:v>147167.17786831071</c:v>
                </c:pt>
                <c:pt idx="167" formatCode="General">
                  <c:v>147222.4509590595</c:v>
                </c:pt>
                <c:pt idx="168" formatCode="General">
                  <c:v>147274.0509641236</c:v>
                </c:pt>
                <c:pt idx="169" formatCode="General">
                  <c:v>147322.22005626812</c:v>
                </c:pt>
                <c:pt idx="170" formatCode="General">
                  <c:v>147367.18478786966</c:v>
                </c:pt>
                <c:pt idx="171" formatCode="General">
                  <c:v>147409.1570529367</c:v>
                </c:pt>
                <c:pt idx="172" formatCode="General">
                  <c:v>147448.33499532519</c:v>
                </c:pt>
                <c:pt idx="173" formatCode="General">
                  <c:v>147484.90386551686</c:v>
                </c:pt>
                <c:pt idx="174" formatCode="General">
                  <c:v>147519.03682830275</c:v>
                </c:pt>
                <c:pt idx="175" formatCode="General">
                  <c:v>147550.89572367969</c:v>
                </c:pt>
                <c:pt idx="176" formatCode="General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563-405D-9D59-DBE97AB07DBF}"/>
            </c:ext>
          </c:extLst>
        </c:ser>
        <c:ser>
          <c:idx val="0"/>
          <c:order val="3"/>
          <c:tx>
            <c:strRef>
              <c:f>'Cumul_cases - LNorm'!#REF!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LNorm'!$C$44:$C$184</c:f>
              <c:numCache>
                <c:formatCode>General</c:formatCode>
                <c:ptCount val="141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137</c:v>
                </c:pt>
                <c:pt idx="101">
                  <c:v>138</c:v>
                </c:pt>
                <c:pt idx="102">
                  <c:v>139</c:v>
                </c:pt>
                <c:pt idx="103">
                  <c:v>140</c:v>
                </c:pt>
                <c:pt idx="104">
                  <c:v>141</c:v>
                </c:pt>
                <c:pt idx="105">
                  <c:v>142</c:v>
                </c:pt>
                <c:pt idx="106">
                  <c:v>143</c:v>
                </c:pt>
                <c:pt idx="107">
                  <c:v>144</c:v>
                </c:pt>
                <c:pt idx="108">
                  <c:v>145</c:v>
                </c:pt>
                <c:pt idx="109">
                  <c:v>146</c:v>
                </c:pt>
                <c:pt idx="110">
                  <c:v>147</c:v>
                </c:pt>
                <c:pt idx="111">
                  <c:v>148</c:v>
                </c:pt>
                <c:pt idx="112">
                  <c:v>149</c:v>
                </c:pt>
                <c:pt idx="113">
                  <c:v>150</c:v>
                </c:pt>
                <c:pt idx="114">
                  <c:v>151</c:v>
                </c:pt>
                <c:pt idx="115">
                  <c:v>152</c:v>
                </c:pt>
                <c:pt idx="116">
                  <c:v>153</c:v>
                </c:pt>
                <c:pt idx="117">
                  <c:v>154</c:v>
                </c:pt>
                <c:pt idx="118">
                  <c:v>155</c:v>
                </c:pt>
                <c:pt idx="119">
                  <c:v>156</c:v>
                </c:pt>
                <c:pt idx="120">
                  <c:v>157</c:v>
                </c:pt>
                <c:pt idx="121">
                  <c:v>158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162</c:v>
                </c:pt>
                <c:pt idx="126">
                  <c:v>163</c:v>
                </c:pt>
                <c:pt idx="127">
                  <c:v>164</c:v>
                </c:pt>
                <c:pt idx="128">
                  <c:v>165</c:v>
                </c:pt>
                <c:pt idx="129">
                  <c:v>166</c:v>
                </c:pt>
                <c:pt idx="130">
                  <c:v>167</c:v>
                </c:pt>
                <c:pt idx="131">
                  <c:v>168</c:v>
                </c:pt>
                <c:pt idx="132">
                  <c:v>169</c:v>
                </c:pt>
                <c:pt idx="133">
                  <c:v>170</c:v>
                </c:pt>
                <c:pt idx="134">
                  <c:v>171</c:v>
                </c:pt>
                <c:pt idx="135">
                  <c:v>172</c:v>
                </c:pt>
                <c:pt idx="136">
                  <c:v>173</c:v>
                </c:pt>
                <c:pt idx="137">
                  <c:v>174</c:v>
                </c:pt>
                <c:pt idx="138">
                  <c:v>175</c:v>
                </c:pt>
                <c:pt idx="139">
                  <c:v>176</c:v>
                </c:pt>
                <c:pt idx="140">
                  <c:v>177</c:v>
                </c:pt>
              </c:numCache>
            </c:numRef>
          </c:xVal>
          <c:yVal>
            <c:numRef>
              <c:f>'Cumul_cases - LNorm'!#REF!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10A-840D-E91A2B46B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Italy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trajectories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LNorm'!$H$7</c:f>
              <c:strCache>
                <c:ptCount val="1"/>
                <c:pt idx="0">
                  <c:v>Spain daily cases fit (Norm.)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LNorm'!#REF!</c:f>
            </c:numRef>
          </c:xVal>
          <c:yVal>
            <c:numRef>
              <c:f>'New_cases - LNorm'!$H$8:$H$184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1.1937467973779438E-61</c:v>
                </c:pt>
                <c:pt idx="35">
                  <c:v>2.2781258854756319E-39</c:v>
                </c:pt>
                <c:pt idx="36">
                  <c:v>6.7072351228249491E-30</c:v>
                </c:pt>
                <c:pt idx="37">
                  <c:v>3.0702301631611641E-24</c:v>
                </c:pt>
                <c:pt idx="38">
                  <c:v>2.3337146468617014E-20</c:v>
                </c:pt>
                <c:pt idx="39">
                  <c:v>1.7310511316525215E-17</c:v>
                </c:pt>
                <c:pt idx="40">
                  <c:v>2.9278740087539816E-15</c:v>
                </c:pt>
                <c:pt idx="41">
                  <c:v>1.8019123452236459E-13</c:v>
                </c:pt>
                <c:pt idx="42">
                  <c:v>5.351949679204117E-12</c:v>
                </c:pt>
                <c:pt idx="43">
                  <c:v>9.2079771932531005E-11</c:v>
                </c:pt>
                <c:pt idx="44">
                  <c:v>1.0389685140863111E-9</c:v>
                </c:pt>
                <c:pt idx="45">
                  <c:v>8.3942775938437411E-9</c:v>
                </c:pt>
                <c:pt idx="46">
                  <c:v>5.1784235519178788E-8</c:v>
                </c:pt>
                <c:pt idx="47">
                  <c:v>2.5596499232098454E-7</c:v>
                </c:pt>
                <c:pt idx="48">
                  <c:v>1.0519655804638095E-6</c:v>
                </c:pt>
                <c:pt idx="49">
                  <c:v>3.7002489941119932E-6</c:v>
                </c:pt>
                <c:pt idx="50">
                  <c:v>1.1398945764484862E-5</c:v>
                </c:pt>
                <c:pt idx="51">
                  <c:v>3.1330363249757144E-5</c:v>
                </c:pt>
                <c:pt idx="52">
                  <c:v>7.8004307311437359E-5</c:v>
                </c:pt>
                <c:pt idx="53">
                  <c:v>1.7814064392612138E-4</c:v>
                </c:pt>
                <c:pt idx="54">
                  <c:v>3.7708165649600261E-4</c:v>
                </c:pt>
                <c:pt idx="55">
                  <c:v>7.4636919664184309E-4</c:v>
                </c:pt>
                <c:pt idx="56">
                  <c:v>1.3917362432462636E-3</c:v>
                </c:pt>
                <c:pt idx="57">
                  <c:v>2.4604416057341619E-3</c:v>
                </c:pt>
                <c:pt idx="58">
                  <c:v>4.146706280988819E-3</c:v>
                </c:pt>
                <c:pt idx="59">
                  <c:v>6.694043547433989E-3</c:v>
                </c:pt>
                <c:pt idx="60">
                  <c:v>1.039351931858557E-2</c:v>
                </c:pt>
                <c:pt idx="61">
                  <c:v>1.5577396546488483E-2</c:v>
                </c:pt>
                <c:pt idx="62">
                  <c:v>2.2608136815890422E-2</c:v>
                </c:pt>
                <c:pt idx="63">
                  <c:v>3.1863268578230408E-2</c:v>
                </c:pt>
                <c:pt idx="64">
                  <c:v>4.3717103739961981E-2</c:v>
                </c:pt>
                <c:pt idx="65">
                  <c:v>5.8520629989138491E-2</c:v>
                </c:pt>
                <c:pt idx="66">
                  <c:v>7.6581089185093335E-2</c:v>
                </c:pt>
                <c:pt idx="67">
                  <c:v>9.814276413949008E-2</c:v>
                </c:pt>
                <c:pt idx="68">
                  <c:v>0.12337035324010295</c:v>
                </c:pt>
                <c:pt idx="69">
                  <c:v>0.15233604810270934</c:v>
                </c:pt>
                <c:pt idx="70">
                  <c:v>0.18501108671654887</c:v>
                </c:pt>
                <c:pt idx="71">
                  <c:v>0.22126217823269578</c:v>
                </c:pt>
                <c:pt idx="72">
                  <c:v>0.26085282641553215</c:v>
                </c:pt>
                <c:pt idx="73">
                  <c:v>0.30344924954985575</c:v>
                </c:pt>
                <c:pt idx="74">
                  <c:v>0.34863032794051396</c:v>
                </c:pt>
                <c:pt idx="75">
                  <c:v>0.39590081843153369</c:v>
                </c:pt>
                <c:pt idx="76">
                  <c:v>0.44470696170060814</c:v>
                </c:pt>
                <c:pt idx="77">
                  <c:v>0.49445356806294005</c:v>
                </c:pt>
                <c:pt idx="78">
                  <c:v>0.54452169141316631</c:v>
                </c:pt>
                <c:pt idx="79">
                  <c:v>0.5942860758061681</c:v>
                </c:pt>
                <c:pt idx="80">
                  <c:v>0.64313167077867539</c:v>
                </c:pt>
                <c:pt idx="81">
                  <c:v>0.69046864581081535</c:v>
                </c:pt>
                <c:pt idx="82">
                  <c:v>0.73574547860503514</c:v>
                </c:pt>
                <c:pt idx="83">
                  <c:v>0.77845983541602237</c:v>
                </c:pt>
                <c:pt idx="84">
                  <c:v>0.81816709614424366</c:v>
                </c:pt>
                <c:pt idx="85">
                  <c:v>0.85448649635327723</c:v>
                </c:pt>
                <c:pt idx="86">
                  <c:v>0.88710495907885034</c:v>
                </c:pt>
                <c:pt idx="87">
                  <c:v>0.91577876951518544</c:v>
                </c:pt>
                <c:pt idx="88">
                  <c:v>0.94033330524122927</c:v>
                </c:pt>
                <c:pt idx="89">
                  <c:v>0.9606610746547557</c:v>
                </c:pt>
                <c:pt idx="90">
                  <c:v>0.97671833864021818</c:v>
                </c:pt>
                <c:pt idx="91">
                  <c:v>0.98852059765944011</c:v>
                </c:pt>
                <c:pt idx="92">
                  <c:v>0.99613722112933412</c:v>
                </c:pt>
                <c:pt idx="93">
                  <c:v>0.99968548088000975</c:v>
                </c:pt>
                <c:pt idx="94">
                  <c:v>0.99932422828527423</c:v>
                </c:pt>
                <c:pt idx="95">
                  <c:v>0.99524742770219332</c:v>
                </c:pt>
                <c:pt idx="96">
                  <c:v>0.98767772921701658</c:v>
                </c:pt>
                <c:pt idx="97">
                  <c:v>0.97686023310226822</c:v>
                </c:pt>
                <c:pt idx="98">
                  <c:v>0.96305656823149288</c:v>
                </c:pt>
                <c:pt idx="99">
                  <c:v>0.94653937803287502</c:v>
                </c:pt>
                <c:pt idx="100">
                  <c:v>0.92758728115053124</c:v>
                </c:pt>
                <c:pt idx="101">
                  <c:v>0.90648035032010688</c:v>
                </c:pt>
                <c:pt idx="102">
                  <c:v>0.8834961323293048</c:v>
                </c:pt>
                <c:pt idx="103">
                  <c:v>0.85890621441974735</c:v>
                </c:pt>
                <c:pt idx="104">
                  <c:v>0.83297332804866908</c:v>
                </c:pt>
                <c:pt idx="105">
                  <c:v>0.80594896941637839</c:v>
                </c:pt>
                <c:pt idx="106">
                  <c:v>0.77807150735395514</c:v>
                </c:pt>
                <c:pt idx="107">
                  <c:v>0.74956474278307961</c:v>
                </c:pt>
                <c:pt idx="108">
                  <c:v>0.72063687970985901</c:v>
                </c:pt>
                <c:pt idx="109">
                  <c:v>0.69147986529210148</c:v>
                </c:pt>
                <c:pt idx="110">
                  <c:v>0.66226905562612692</c:v>
                </c:pt>
                <c:pt idx="111">
                  <c:v>0.63316316425122077</c:v>
                </c:pt>
                <c:pt idx="112">
                  <c:v>0.60430445170594116</c:v>
                </c:pt>
                <c:pt idx="113">
                  <c:v>0.5758191165553399</c:v>
                </c:pt>
                <c:pt idx="114">
                  <c:v>0.54781785093463486</c:v>
                </c:pt>
                <c:pt idx="115">
                  <c:v>0.52039652664462532</c:v>
                </c:pt>
                <c:pt idx="116">
                  <c:v>0.49363698103655845</c:v>
                </c:pt>
                <c:pt idx="117">
                  <c:v>0.46760787521522723</c:v>
                </c:pt>
                <c:pt idx="118">
                  <c:v>0.44236560036890632</c:v>
                </c:pt>
                <c:pt idx="119">
                  <c:v>0.41795521122516222</c:v>
                </c:pt>
                <c:pt idx="120">
                  <c:v>0.39441136867398624</c:v>
                </c:pt>
                <c:pt idx="121">
                  <c:v>0.37175927645142698</c:v>
                </c:pt>
                <c:pt idx="122">
                  <c:v>0.35001559941008964</c:v>
                </c:pt>
                <c:pt idx="123">
                  <c:v>0.32918935330069315</c:v>
                </c:pt>
                <c:pt idx="124">
                  <c:v>0.30928275814433448</c:v>
                </c:pt>
                <c:pt idx="125">
                  <c:v>0.29029204918869883</c:v>
                </c:pt>
                <c:pt idx="126">
                  <c:v>0.27220824111945985</c:v>
                </c:pt>
                <c:pt idx="127">
                  <c:v>0.25501784265114774</c:v>
                </c:pt>
                <c:pt idx="128">
                  <c:v>0.23870351986366931</c:v>
                </c:pt>
                <c:pt idx="129">
                  <c:v>0.22324470769711155</c:v>
                </c:pt>
                <c:pt idx="130">
                  <c:v>0.2086181698854849</c:v>
                </c:pt>
                <c:pt idx="131">
                  <c:v>0.1947985083171247</c:v>
                </c:pt>
                <c:pt idx="132">
                  <c:v>0.18175862337292326</c:v>
                </c:pt>
                <c:pt idx="133">
                  <c:v>0.16947012723034816</c:v>
                </c:pt>
                <c:pt idx="134">
                  <c:v>0.15790371244751539</c:v>
                </c:pt>
                <c:pt idx="135">
                  <c:v>0.14702947837253985</c:v>
                </c:pt>
                <c:pt idx="136">
                  <c:v>0.13681721807301692</c:v>
                </c:pt>
                <c:pt idx="137">
                  <c:v>0.12723666856171587</c:v>
                </c:pt>
                <c:pt idx="138">
                  <c:v>0.11825772711882696</c:v>
                </c:pt>
                <c:pt idx="139">
                  <c:v>0.10985063648895263</c:v>
                </c:pt>
                <c:pt idx="140">
                  <c:v>0.10198614167150835</c:v>
                </c:pt>
                <c:pt idx="141">
                  <c:v>9.4635620934405876E-2</c:v>
                </c:pt>
                <c:pt idx="142">
                  <c:v>8.7771193569827488E-2</c:v>
                </c:pt>
                <c:pt idx="143">
                  <c:v>8.136580678352634E-2</c:v>
                </c:pt>
                <c:pt idx="144">
                  <c:v>7.5393303970509182E-2</c:v>
                </c:pt>
                <c:pt idx="145">
                  <c:v>6.9828476484528224E-2</c:v>
                </c:pt>
                <c:pt idx="146">
                  <c:v>6.4647100859964987E-2</c:v>
                </c:pt>
                <c:pt idx="147">
                  <c:v>5.9825963295490385E-2</c:v>
                </c:pt>
                <c:pt idx="148">
                  <c:v>5.5342873061556497E-2</c:v>
                </c:pt>
                <c:pt idx="149">
                  <c:v>5.1176666350247015E-2</c:v>
                </c:pt>
                <c:pt idx="150">
                  <c:v>4.7307201947686978E-2</c:v>
                </c:pt>
                <c:pt idx="151">
                  <c:v>4.3715349977154358E-2</c:v>
                </c:pt>
                <c:pt idx="152">
                  <c:v>4.0382974835982612E-2</c:v>
                </c:pt>
                <c:pt idx="153">
                  <c:v>3.7292913331830262E-2</c:v>
                </c:pt>
                <c:pt idx="154">
                  <c:v>3.4428948914146225E-2</c:v>
                </c:pt>
                <c:pt idx="155">
                  <c:v>3.1775782794834159E-2</c:v>
                </c:pt>
                <c:pt idx="156">
                  <c:v>2.9319002658121412E-2</c:v>
                </c:pt>
                <c:pt idx="157">
                  <c:v>2.704504957337198E-2</c:v>
                </c:pt>
                <c:pt idx="158">
                  <c:v>2.4941183645763951E-2</c:v>
                </c:pt>
                <c:pt idx="159">
                  <c:v>2.2995448868095399E-2</c:v>
                </c:pt>
                <c:pt idx="160">
                  <c:v>2.1196637572140912E-2</c:v>
                </c:pt>
                <c:pt idx="161">
                  <c:v>1.9534254819555164E-2</c:v>
                </c:pt>
                <c:pt idx="162">
                  <c:v>1.7998483019910638E-2</c:v>
                </c:pt>
                <c:pt idx="163">
                  <c:v>1.658014701666197E-2</c:v>
                </c:pt>
                <c:pt idx="164">
                  <c:v>1.5270679840214392E-2</c:v>
                </c:pt>
                <c:pt idx="165">
                  <c:v>1.4062089290448804E-2</c:v>
                </c:pt>
                <c:pt idx="166">
                  <c:v>1.294692547860981E-2</c:v>
                </c:pt>
                <c:pt idx="167">
                  <c:v>1.1918249430020787E-2</c:v>
                </c:pt>
                <c:pt idx="168">
                  <c:v>1.0969602824283626E-2</c:v>
                </c:pt>
                <c:pt idx="169">
                  <c:v>1.0094978928102778E-2</c:v>
                </c:pt>
                <c:pt idx="170">
                  <c:v>9.2887947573191704E-3</c:v>
                </c:pt>
                <c:pt idx="171">
                  <c:v>8.5458644888511959E-3</c:v>
                </c:pt>
                <c:pt idx="172">
                  <c:v>7.8613741297244126E-3</c:v>
                </c:pt>
                <c:pt idx="173">
                  <c:v>7.230857438982153E-3</c:v>
                </c:pt>
                <c:pt idx="174">
                  <c:v>6.6501730887545832E-3</c:v>
                </c:pt>
                <c:pt idx="175">
                  <c:v>6.1154830429114614E-3</c:v>
                </c:pt>
                <c:pt idx="176">
                  <c:v>5.6232321253342618E-3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5CF-4F43-9B34-9E22C4FEB052}"/>
            </c:ext>
          </c:extLst>
        </c:ser>
        <c:ser>
          <c:idx val="0"/>
          <c:order val="1"/>
          <c:tx>
            <c:strRef>
              <c:f>'New_cases - LNorm'!#REF!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LNorm'!#REF!</c:f>
            </c:numRef>
          </c:xVal>
          <c:yVal>
            <c:numRef>
              <c:f>'New_cases - LNorm'!#REF!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5CF-4F43-9B34-9E22C4FEB052}"/>
            </c:ext>
          </c:extLst>
        </c:ser>
        <c:ser>
          <c:idx val="1"/>
          <c:order val="2"/>
          <c:tx>
            <c:strRef>
              <c:f>'New_cases - LNorm'!$B$6</c:f>
              <c:strCache>
                <c:ptCount val="1"/>
                <c:pt idx="0">
                  <c:v>30/04/2020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LNorm'!#REF!</c:f>
            </c:numRef>
          </c:xVal>
          <c:yVal>
            <c:numRef>
              <c:f>'New_cases - LNorm'!#REF!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5CF-4F43-9B34-9E22C4FE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cases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cases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Lombardy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trajectory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LNorm'!$R$7</c:f>
              <c:strCache>
                <c:ptCount val="1"/>
                <c:pt idx="0">
                  <c:v>Lombardy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LNorm'!$P$8:$P$184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5.1729510898877396E-38</c:v>
                </c:pt>
                <c:pt idx="32">
                  <c:v>1.1474710704863941E-25</c:v>
                </c:pt>
                <c:pt idx="33">
                  <c:v>4.6686177873608025E-20</c:v>
                </c:pt>
                <c:pt idx="34">
                  <c:v>1.2721300272521045E-16</c:v>
                </c:pt>
                <c:pt idx="35">
                  <c:v>3.1106593121102147E-14</c:v>
                </c:pt>
                <c:pt idx="36">
                  <c:v>1.8911249153795285E-12</c:v>
                </c:pt>
                <c:pt idx="37">
                  <c:v>4.7037786451666155E-11</c:v>
                </c:pt>
                <c:pt idx="38">
                  <c:v>6.3196191525916934E-10</c:v>
                </c:pt>
                <c:pt idx="39">
                  <c:v>5.4331656225899009E-9</c:v>
                </c:pt>
                <c:pt idx="40">
                  <c:v>3.3376453913896467E-8</c:v>
                </c:pt>
                <c:pt idx="41">
                  <c:v>1.5798478170240956E-7</c:v>
                </c:pt>
                <c:pt idx="42">
                  <c:v>6.079573788163007E-7</c:v>
                </c:pt>
                <c:pt idx="43">
                  <c:v>1.978368440754093E-6</c:v>
                </c:pt>
                <c:pt idx="44">
                  <c:v>5.6077785352009989E-6</c:v>
                </c:pt>
                <c:pt idx="45">
                  <c:v>1.4165569669443461E-5</c:v>
                </c:pt>
                <c:pt idx="46">
                  <c:v>3.2464518642524143E-5</c:v>
                </c:pt>
                <c:pt idx="47">
                  <c:v>6.8471569921306846E-5</c:v>
                </c:pt>
                <c:pt idx="48">
                  <c:v>1.3444515315462133E-4</c:v>
                </c:pt>
                <c:pt idx="49">
                  <c:v>2.4809110493359912E-4</c:v>
                </c:pt>
                <c:pt idx="50">
                  <c:v>4.3360941451000542E-4</c:v>
                </c:pt>
                <c:pt idx="51">
                  <c:v>7.2250412340279645E-4</c:v>
                </c:pt>
                <c:pt idx="52">
                  <c:v>1.1540476125236317E-3</c:v>
                </c:pt>
                <c:pt idx="53">
                  <c:v>1.7753235845442768E-3</c:v>
                </c:pt>
                <c:pt idx="54" formatCode="General">
                  <c:v>2.640813911732689E-3</c:v>
                </c:pt>
                <c:pt idx="55" formatCode="General">
                  <c:v>3.8115366463837958E-3</c:v>
                </c:pt>
                <c:pt idx="56" formatCode="General">
                  <c:v>5.3537803948915507E-3</c:v>
                </c:pt>
                <c:pt idx="57" formatCode="General">
                  <c:v>7.337510122333633E-3</c:v>
                </c:pt>
                <c:pt idx="58" formatCode="General">
                  <c:v>9.8345392918355121E-3</c:v>
                </c:pt>
                <c:pt idx="59" formatCode="General">
                  <c:v>1.2916572695127186E-2</c:v>
                </c:pt>
                <c:pt idx="60" formatCode="General">
                  <c:v>1.6653224292438172E-2</c:v>
                </c:pt>
                <c:pt idx="61" formatCode="General">
                  <c:v>2.1110106554278668E-2</c:v>
                </c:pt>
                <c:pt idx="62" formatCode="General">
                  <c:v>2.6347074280811521E-2</c:v>
                </c:pt>
                <c:pt idx="63" formatCode="General">
                  <c:v>3.2416688818869381E-2</c:v>
                </c:pt>
                <c:pt idx="64" formatCode="General">
                  <c:v>3.9362949971779082E-2</c:v>
                </c:pt>
                <c:pt idx="65" formatCode="General">
                  <c:v>4.7220324345221783E-2</c:v>
                </c:pt>
                <c:pt idx="66" formatCode="General">
                  <c:v>5.6013081643629344E-2</c:v>
                </c:pt>
                <c:pt idx="67" formatCode="General">
                  <c:v>6.5754935379803023E-2</c:v>
                </c:pt>
                <c:pt idx="68" formatCode="General">
                  <c:v>7.6448972078266828E-2</c:v>
                </c:pt>
                <c:pt idx="69" formatCode="General">
                  <c:v>8.8087843530300636E-2</c:v>
                </c:pt>
                <c:pt idx="70" formatCode="General">
                  <c:v>0.10065418995032674</c:v>
                </c:pt>
                <c:pt idx="71" formatCode="General">
                  <c:v>0.11412125777568694</c:v>
                </c:pt>
                <c:pt idx="72" formatCode="General">
                  <c:v>0.12845367402347885</c:v>
                </c:pt>
                <c:pt idx="73" formatCode="General">
                  <c:v>0.14360833919058671</c:v>
                </c:pt>
                <c:pt idx="74" formatCode="General">
                  <c:v>0.15953540226094065</c:v>
                </c:pt>
                <c:pt idx="75" formatCode="General">
                  <c:v>0.17617928408417319</c:v>
                </c:pt>
                <c:pt idx="76" formatCode="General">
                  <c:v>0.1934797188611834</c:v>
                </c:pt>
                <c:pt idx="77" formatCode="General">
                  <c:v>0.21137278740765325</c:v>
                </c:pt>
                <c:pt idx="78" formatCode="General">
                  <c:v>0.22979192000889478</c:v>
                </c:pt>
                <c:pt idx="79" formatCode="General">
                  <c:v>0.24866885082173842</c:v>
                </c:pt>
                <c:pt idx="80" formatCode="General">
                  <c:v>0.26793450976282523</c:v>
                </c:pt>
                <c:pt idx="81" formatCode="General">
                  <c:v>0.28751984153279075</c:v>
                </c:pt>
                <c:pt idx="82" formatCode="General">
                  <c:v>0.30735654478546393</c:v>
                </c:pt>
                <c:pt idx="83" formatCode="General">
                  <c:v>0.32737772741556326</c:v>
                </c:pt>
                <c:pt idx="84" formatCode="General">
                  <c:v>0.34751847648830858</c:v>
                </c:pt>
                <c:pt idx="85" formatCode="General">
                  <c:v>0.36771634347108939</c:v>
                </c:pt>
                <c:pt idx="86" formatCode="General">
                  <c:v>0.38791174716698107</c:v>
                </c:pt>
                <c:pt idx="87" formatCode="General">
                  <c:v>0.40804829811930488</c:v>
                </c:pt>
                <c:pt idx="88" formatCode="General">
                  <c:v>0.42807304928924622</c:v>
                </c:pt>
                <c:pt idx="89" formatCode="General">
                  <c:v>0.44793667854236757</c:v>
                </c:pt>
                <c:pt idx="90" formatCode="General">
                  <c:v>0.46759360895372309</c:v>
                </c:pt>
                <c:pt idx="91" formatCode="General">
                  <c:v>0.4870020731938961</c:v>
                </c:pt>
                <c:pt idx="92" formatCode="General">
                  <c:v>0.50612412832679954</c:v>
                </c:pt>
                <c:pt idx="93" formatCode="General">
                  <c:v>0.52492562726893632</c:v>
                </c:pt>
                <c:pt idx="94" formatCode="General">
                  <c:v>0.54337615296055775</c:v>
                </c:pt>
                <c:pt idx="95" formatCode="General">
                  <c:v>0.56144892100971022</c:v>
                </c:pt>
                <c:pt idx="96" formatCode="General">
                  <c:v>0.5791206562150053</c:v>
                </c:pt>
                <c:pt idx="97" formatCode="General">
                  <c:v>0.59637144797323849</c:v>
                </c:pt>
                <c:pt idx="98" formatCode="General">
                  <c:v>0.61318458915123419</c:v>
                </c:pt>
                <c:pt idx="99" formatCode="General">
                  <c:v>0.62954640256241567</c:v>
                </c:pt>
                <c:pt idx="100" formatCode="General">
                  <c:v>0.64544605874924277</c:v>
                </c:pt>
                <c:pt idx="101" formatCode="General">
                  <c:v>0.66087538834236215</c:v>
                </c:pt>
                <c:pt idx="102" formatCode="General">
                  <c:v>0.67582869185322869</c:v>
                </c:pt>
                <c:pt idx="103" formatCode="General">
                  <c:v>0.69030254936438507</c:v>
                </c:pt>
                <c:pt idx="104" formatCode="General">
                  <c:v>0.70429563221428926</c:v>
                </c:pt>
                <c:pt idx="105" formatCode="General">
                  <c:v>0.71780851843393678</c:v>
                </c:pt>
                <c:pt idx="106" formatCode="General">
                  <c:v>0.73084351338176712</c:v>
                </c:pt>
                <c:pt idx="107" formatCode="General">
                  <c:v>0.74340447674199717</c:v>
                </c:pt>
                <c:pt idx="108" formatCode="General">
                  <c:v>0.75549665679907174</c:v>
                </c:pt>
                <c:pt idx="109" formatCode="General">
                  <c:v>0.76712653267676434</c:v>
                </c:pt>
                <c:pt idx="110" formatCode="General">
                  <c:v>0.77830166503314158</c:v>
                </c:pt>
                <c:pt idx="111" formatCode="General">
                  <c:v>0.78903055553071222</c:v>
                </c:pt>
                <c:pt idx="112" formatCode="General">
                  <c:v>0.79932251525281373</c:v>
                </c:pt>
                <c:pt idx="113" formatCode="General">
                  <c:v>0.80918754211088528</c:v>
                </c:pt>
                <c:pt idx="114" formatCode="General">
                  <c:v>0.81863620718075603</c:v>
                </c:pt>
                <c:pt idx="115" formatCode="General">
                  <c:v>0.82767954981763581</c:v>
                </c:pt>
                <c:pt idx="116" formatCode="General">
                  <c:v>0.83632898132725264</c:v>
                </c:pt>
                <c:pt idx="117" formatCode="General">
                  <c:v>0.84459619691275811</c:v>
                </c:pt>
                <c:pt idx="118" formatCode="General">
                  <c:v>0.8524930955719644</c:v>
                </c:pt>
                <c:pt idx="119" formatCode="General">
                  <c:v>0.86003170758556091</c:v>
                </c:pt>
                <c:pt idx="120" formatCode="General">
                  <c:v>0.86722412921279135</c:v>
                </c:pt>
                <c:pt idx="121" formatCode="General">
                  <c:v>0.87408246419521951</c:v>
                </c:pt>
                <c:pt idx="122" formatCode="General">
                  <c:v>0.88061877166051827</c:v>
                </c:pt>
                <c:pt idx="123" formatCode="General">
                  <c:v>0.88684502001554188</c:v>
                </c:pt>
                <c:pt idx="124" formatCode="General">
                  <c:v>0.89277304642029032</c:v>
                </c:pt>
                <c:pt idx="125" formatCode="General">
                  <c:v>0.89841452144086464</c:v>
                </c:pt>
                <c:pt idx="126" formatCode="General">
                  <c:v>0.90378091848934361</c:v>
                </c:pt>
                <c:pt idx="127" formatCode="General">
                  <c:v>0.90888348767102822</c:v>
                </c:pt>
                <c:pt idx="128" formatCode="General">
                  <c:v>0.91373323367404746</c:v>
                </c:pt>
                <c:pt idx="129" formatCode="General">
                  <c:v>0.91834089735242452</c:v>
                </c:pt>
                <c:pt idx="130" formatCode="General">
                  <c:v>0.92271694067087051</c:v>
                </c:pt>
                <c:pt idx="131" formatCode="General">
                  <c:v>0.92687153469747574</c:v>
                </c:pt>
                <c:pt idx="132" formatCode="General">
                  <c:v>0.93081455034870142</c:v>
                </c:pt>
                <c:pt idx="133" formatCode="General">
                  <c:v>0.93455555160947101</c:v>
                </c:pt>
                <c:pt idx="134" formatCode="General">
                  <c:v>0.93810379096939145</c:v>
                </c:pt>
                <c:pt idx="135" formatCode="General">
                  <c:v>0.9414682068340875</c:v>
                </c:pt>
                <c:pt idx="136" formatCode="General">
                  <c:v>0.94465742268813679</c:v>
                </c:pt>
                <c:pt idx="137" formatCode="General">
                  <c:v>0.947679747803022</c:v>
                </c:pt>
                <c:pt idx="138" formatCode="General">
                  <c:v>0.95054317929980903</c:v>
                </c:pt>
                <c:pt idx="139" formatCode="General">
                  <c:v>0.95325540539181663</c:v>
                </c:pt>
                <c:pt idx="140" formatCode="General">
                  <c:v>0.95582380964735325</c:v>
                </c:pt>
                <c:pt idx="141" formatCode="General">
                  <c:v>0.95825547612659856</c:v>
                </c:pt>
                <c:pt idx="142" formatCode="General">
                  <c:v>0.96055719525992267</c:v>
                </c:pt>
                <c:pt idx="143" formatCode="General">
                  <c:v>0.96273547034732121</c:v>
                </c:pt>
                <c:pt idx="144" formatCode="General">
                  <c:v>0.96479652457024312</c:v>
                </c:pt>
                <c:pt idx="145" formatCode="General">
                  <c:v>0.96674630841789244</c:v>
                </c:pt>
                <c:pt idx="146" formatCode="General">
                  <c:v>0.96859050744012232</c:v>
                </c:pt>
                <c:pt idx="147" formatCode="General">
                  <c:v>0.97033455024833992</c:v>
                </c:pt>
                <c:pt idx="148" formatCode="General">
                  <c:v>0.97198361669442745</c:v>
                </c:pt>
                <c:pt idx="149" formatCode="General">
                  <c:v>0.97354264616558306</c:v>
                </c:pt>
                <c:pt idx="150" formatCode="General">
                  <c:v>0.97501634594025732</c:v>
                </c:pt>
                <c:pt idx="151" formatCode="General">
                  <c:v>0.97640919955699612</c:v>
                </c:pt>
                <c:pt idx="152" formatCode="General">
                  <c:v>0.97772547515408181</c:v>
                </c:pt>
                <c:pt idx="153" formatCode="General">
                  <c:v>0.97896923374339018</c:v>
                </c:pt>
                <c:pt idx="154" formatCode="General">
                  <c:v>0.98014433738690598</c:v>
                </c:pt>
                <c:pt idx="155" formatCode="General">
                  <c:v>0.98125445724889315</c:v>
                </c:pt>
                <c:pt idx="156" formatCode="General">
                  <c:v>0.98230308150082557</c:v>
                </c:pt>
                <c:pt idx="157" formatCode="General">
                  <c:v>0.98329352305989459</c:v>
                </c:pt>
                <c:pt idx="158" formatCode="General">
                  <c:v>0.98422892714523302</c:v>
                </c:pt>
                <c:pt idx="159" formatCode="General">
                  <c:v>0.98511227863898299</c:v>
                </c:pt>
                <c:pt idx="160" formatCode="General">
                  <c:v>0.98594640924199439</c:v>
                </c:pt>
                <c:pt idx="161" formatCode="General">
                  <c:v>0.98673400441630843</c:v>
                </c:pt>
                <c:pt idx="162" formatCode="General">
                  <c:v>0.98747761010868829</c:v>
                </c:pt>
                <c:pt idx="163" formatCode="General">
                  <c:v>0.98817963925130392</c:v>
                </c:pt>
                <c:pt idx="164" formatCode="General">
                  <c:v>0.988842378037322</c:v>
                </c:pt>
                <c:pt idx="165" formatCode="General">
                  <c:v>0.98946799197057111</c:v>
                </c:pt>
                <c:pt idx="166" formatCode="General">
                  <c:v>0.99005853168970093</c:v>
                </c:pt>
                <c:pt idx="167" formatCode="General">
                  <c:v>0.99061593856833174</c:v>
                </c:pt>
                <c:pt idx="168" formatCode="General">
                  <c:v>0.99114205009361345</c:v>
                </c:pt>
                <c:pt idx="169" formatCode="General">
                  <c:v>0.99163860502641099</c:v>
                </c:pt>
                <c:pt idx="170" formatCode="General">
                  <c:v>0.99210724834699071</c:v>
                </c:pt>
                <c:pt idx="171" formatCode="General">
                  <c:v>0.99254953599065232</c:v>
                </c:pt>
                <c:pt idx="172" formatCode="General">
                  <c:v>0.99296693937820713</c:v>
                </c:pt>
                <c:pt idx="173" formatCode="General">
                  <c:v>0.99336084974657102</c:v>
                </c:pt>
                <c:pt idx="174" formatCode="General">
                  <c:v>0.9937325822850529</c:v>
                </c:pt>
                <c:pt idx="175" formatCode="General">
                  <c:v>0.99408338008312669</c:v>
                </c:pt>
                <c:pt idx="176" formatCode="General">
                  <c:v>0.99441441789566143</c:v>
                </c:pt>
              </c:numCache>
            </c:numRef>
          </c:xVal>
          <c:yVal>
            <c:numRef>
              <c:f>'New_cases - LNorm'!$R$8:$R$184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1.2484848886770623E-34</c:v>
                </c:pt>
                <c:pt idx="32">
                  <c:v>9.8539784143264793E-23</c:v>
                </c:pt>
                <c:pt idx="33">
                  <c:v>2.2487726085718856E-17</c:v>
                </c:pt>
                <c:pt idx="34">
                  <c:v>4.0689140388510025E-14</c:v>
                </c:pt>
                <c:pt idx="35">
                  <c:v>7.2238005532520164E-12</c:v>
                </c:pt>
                <c:pt idx="36">
                  <c:v>3.3705659722539776E-10</c:v>
                </c:pt>
                <c:pt idx="37">
                  <c:v>6.6829033790805378E-9</c:v>
                </c:pt>
                <c:pt idx="38">
                  <c:v>7.3573112649916895E-8</c:v>
                </c:pt>
                <c:pt idx="39">
                  <c:v>5.2929092926188933E-7</c:v>
                </c:pt>
                <c:pt idx="40">
                  <c:v>2.7659853458014782E-6</c:v>
                </c:pt>
                <c:pt idx="41">
                  <c:v>1.1286613131793827E-5</c:v>
                </c:pt>
                <c:pt idx="42">
                  <c:v>3.7853940268851547E-5</c:v>
                </c:pt>
                <c:pt idx="43">
                  <c:v>1.0834586346691974E-4</c:v>
                </c:pt>
                <c:pt idx="44">
                  <c:v>2.722326247426205E-4</c:v>
                </c:pt>
                <c:pt idx="45">
                  <c:v>6.1366071030839481E-4</c:v>
                </c:pt>
                <c:pt idx="46">
                  <c:v>1.2623069554703235E-3</c:v>
                </c:pt>
                <c:pt idx="47">
                  <c:v>2.401764543382074E-3</c:v>
                </c:pt>
                <c:pt idx="48">
                  <c:v>4.2733760253569715E-3</c:v>
                </c:pt>
                <c:pt idx="49">
                  <c:v>7.1740751960957675E-3</c:v>
                </c:pt>
                <c:pt idx="50">
                  <c:v>1.1447741138204837E-2</c:v>
                </c:pt>
                <c:pt idx="51">
                  <c:v>1.7470561412565856E-2</c:v>
                </c:pt>
                <c:pt idx="52">
                  <c:v>2.5631738867097312E-2</c:v>
                </c:pt>
                <c:pt idx="53">
                  <c:v>3.6311427207125213E-2</c:v>
                </c:pt>
                <c:pt idx="54">
                  <c:v>4.9857999906161077E-2</c:v>
                </c:pt>
                <c:pt idx="55">
                  <c:v>6.65666717663395E-2</c:v>
                </c:pt>
                <c:pt idx="56">
                  <c:v>8.6661173922984766E-2</c:v>
                </c:pt>
                <c:pt idx="57">
                  <c:v>0.11027972133834184</c:v>
                </c:pt>
                <c:pt idx="58">
                  <c:v>0.13746599460582204</c:v>
                </c:pt>
                <c:pt idx="59">
                  <c:v>0.16816535756138568</c:v>
                </c:pt>
                <c:pt idx="60">
                  <c:v>0.20222609981347636</c:v>
                </c:pt>
                <c:pt idx="61">
                  <c:v>0.23940515808144194</c:v>
                </c:pt>
                <c:pt idx="62">
                  <c:v>0.27937754252393154</c:v>
                </c:pt>
                <c:pt idx="63">
                  <c:v>0.32174857009286417</c:v>
                </c:pt>
                <c:pt idx="64">
                  <c:v>0.36606797300629362</c:v>
                </c:pt>
                <c:pt idx="65">
                  <c:v>0.41184498831487776</c:v>
                </c:pt>
                <c:pt idx="66">
                  <c:v>0.45856362432066533</c:v>
                </c:pt>
                <c:pt idx="67">
                  <c:v>0.50569742229547543</c:v>
                </c:pt>
                <c:pt idx="68">
                  <c:v>0.55272317099048163</c:v>
                </c:pt>
                <c:pt idx="69">
                  <c:v>0.599133173484931</c:v>
                </c:pt>
                <c:pt idx="70">
                  <c:v>0.64444580103709381</c:v>
                </c:pt>
                <c:pt idx="71">
                  <c:v>0.68821419001391582</c:v>
                </c:pt>
                <c:pt idx="72">
                  <c:v>0.73003304169839311</c:v>
                </c:pt>
                <c:pt idx="73">
                  <c:v>0.76954356906360222</c:v>
                </c:pt>
                <c:pt idx="74">
                  <c:v>0.80643669942533025</c:v>
                </c:pt>
                <c:pt idx="75">
                  <c:v>0.84045468841233317</c:v>
                </c:pt>
                <c:pt idx="76">
                  <c:v>0.8713913308673531</c:v>
                </c:pt>
                <c:pt idx="77">
                  <c:v>0.89909097047587938</c:v>
                </c:pt>
                <c:pt idx="78">
                  <c:v>0.92344651462497263</c:v>
                </c:pt>
                <c:pt idx="79">
                  <c:v>0.94439665668674477</c:v>
                </c:pt>
                <c:pt idx="80">
                  <c:v>0.96192249688720433</c:v>
                </c:pt>
                <c:pt idx="81">
                  <c:v>0.97604373719145676</c:v>
                </c:pt>
                <c:pt idx="82">
                  <c:v>0.98681460694436962</c:v>
                </c:pt>
                <c:pt idx="83">
                  <c:v>0.99431965578069259</c:v>
                </c:pt>
                <c:pt idx="84">
                  <c:v>0.99866952969540956</c:v>
                </c:pt>
                <c:pt idx="85">
                  <c:v>0.99999682600981332</c:v>
                </c:pt>
                <c:pt idx="86">
                  <c:v>0.99845210391077921</c:v>
                </c:pt>
                <c:pt idx="87">
                  <c:v>0.99420010970712158</c:v>
                </c:pt>
                <c:pt idx="88">
                  <c:v>0.98741626019876394</c:v>
                </c:pt>
                <c:pt idx="89">
                  <c:v>0.97828341371910621</c:v>
                </c:pt>
                <c:pt idx="90">
                  <c:v>0.96698894651300582</c:v>
                </c:pt>
                <c:pt idx="91">
                  <c:v>0.95372214209986883</c:v>
                </c:pt>
                <c:pt idx="92">
                  <c:v>0.9386718930368142</c:v>
                </c:pt>
                <c:pt idx="93">
                  <c:v>0.92202470789824931</c:v>
                </c:pt>
                <c:pt idx="94">
                  <c:v>0.90396301116179345</c:v>
                </c:pt>
                <c:pt idx="95">
                  <c:v>0.88466371986332581</c:v>
                </c:pt>
                <c:pt idx="96">
                  <c:v>0.86429707818221002</c:v>
                </c:pt>
                <c:pt idx="97">
                  <c:v>0.843025729373299</c:v>
                </c:pt>
                <c:pt idx="98">
                  <c:v>0.82100400351732106</c:v>
                </c:pt>
                <c:pt idx="99">
                  <c:v>0.79837739927031059</c:v>
                </c:pt>
                <c:pt idx="100">
                  <c:v>0.7752822380255473</c:v>
                </c:pt>
                <c:pt idx="101">
                  <c:v>0.75184546954230158</c:v>
                </c:pt>
                <c:pt idx="102">
                  <c:v>0.72818460904410265</c:v>
                </c:pt>
                <c:pt idx="103">
                  <c:v>0.70440778695933515</c:v>
                </c:pt>
                <c:pt idx="104">
                  <c:v>0.68061389379604398</c:v>
                </c:pt>
                <c:pt idx="105">
                  <c:v>0.65689280405087114</c:v>
                </c:pt>
                <c:pt idx="106">
                  <c:v>0.63332566450003491</c:v>
                </c:pt>
                <c:pt idx="107">
                  <c:v>0.60998523366895918</c:v>
                </c:pt>
                <c:pt idx="108">
                  <c:v>0.58693626069623295</c:v>
                </c:pt>
                <c:pt idx="109">
                  <c:v>0.56423589317357126</c:v>
                </c:pt>
                <c:pt idx="110">
                  <c:v>0.54193410483970605</c:v>
                </c:pt>
                <c:pt idx="111">
                  <c:v>0.5200741352208772</c:v>
                </c:pt>
                <c:pt idx="112">
                  <c:v>0.49869293443655227</c:v>
                </c:pt>
                <c:pt idx="113">
                  <c:v>0.47782160742223873</c:v>
                </c:pt>
                <c:pt idx="114">
                  <c:v>0.4574858527609082</c:v>
                </c:pt>
                <c:pt idx="115">
                  <c:v>0.43770639216159918</c:v>
                </c:pt>
                <c:pt idx="116">
                  <c:v>0.41849938738116504</c:v>
                </c:pt>
                <c:pt idx="117">
                  <c:v>0.39987684205681695</c:v>
                </c:pt>
                <c:pt idx="118">
                  <c:v>0.38184698650803595</c:v>
                </c:pt>
                <c:pt idx="119">
                  <c:v>0.36441464408204455</c:v>
                </c:pt>
                <c:pt idx="120">
                  <c:v>0.34758157806303758</c:v>
                </c:pt>
                <c:pt idx="121">
                  <c:v>0.33134681854776321</c:v>
                </c:pt>
                <c:pt idx="122">
                  <c:v>0.31570696901464751</c:v>
                </c:pt>
                <c:pt idx="123">
                  <c:v>0.30065649258610833</c:v>
                </c:pt>
                <c:pt idx="124">
                  <c:v>0.28618797820965974</c:v>
                </c:pt>
                <c:pt idx="125">
                  <c:v>0.27229238716793436</c:v>
                </c:pt>
                <c:pt idx="126">
                  <c:v>0.25895928047581485</c:v>
                </c:pt>
                <c:pt idx="127">
                  <c:v>0.24617702783892856</c:v>
                </c:pt>
                <c:pt idx="128">
                  <c:v>0.23393299893605896</c:v>
                </c:pt>
                <c:pt idx="129">
                  <c:v>0.22221373785228632</c:v>
                </c:pt>
                <c:pt idx="130">
                  <c:v>0.21100512153342132</c:v>
                </c:pt>
                <c:pt idx="131">
                  <c:v>0.20029250315852462</c:v>
                </c:pt>
                <c:pt idx="132">
                  <c:v>0.19006084133892312</c:v>
                </c:pt>
                <c:pt idx="133">
                  <c:v>0.18029481605145983</c:v>
                </c:pt>
                <c:pt idx="134">
                  <c:v>0.17097893220305138</c:v>
                </c:pt>
                <c:pt idx="135">
                  <c:v>0.1620976117047947</c:v>
                </c:pt>
                <c:pt idx="136">
                  <c:v>0.15363527490856374</c:v>
                </c:pt>
                <c:pt idx="137">
                  <c:v>0.14557641222875201</c:v>
                </c:pt>
                <c:pt idx="138">
                  <c:v>0.13790564673769362</c:v>
                </c:pt>
                <c:pt idx="139">
                  <c:v>0.13060778848651294</c:v>
                </c:pt>
                <c:pt idx="140">
                  <c:v>0.12366788126454929</c:v>
                </c:pt>
                <c:pt idx="141">
                  <c:v>0.11707124247084573</c:v>
                </c:pt>
                <c:pt idx="142">
                  <c:v>0.11080349673113099</c:v>
                </c:pt>
                <c:pt idx="143">
                  <c:v>0.10485060385379406</c:v>
                </c:pt>
                <c:pt idx="144">
                  <c:v>9.9198881678948622E-2</c:v>
                </c:pt>
                <c:pt idx="145">
                  <c:v>9.3835024336181933E-2</c:v>
                </c:pt>
                <c:pt idx="146">
                  <c:v>8.874611638923971E-2</c:v>
                </c:pt>
                <c:pt idx="147">
                  <c:v>8.3919643309913028E-2</c:v>
                </c:pt>
                <c:pt idx="148">
                  <c:v>7.9343498688933534E-2</c:v>
                </c:pt>
                <c:pt idx="149">
                  <c:v>7.5005988558867906E-2</c:v>
                </c:pt>
                <c:pt idx="150">
                  <c:v>7.0895833172845507E-2</c:v>
                </c:pt>
                <c:pt idx="151">
                  <c:v>6.7002166553577658E-2</c:v>
                </c:pt>
                <c:pt idx="152">
                  <c:v>6.3314534099466552E-2</c:v>
                </c:pt>
                <c:pt idx="153">
                  <c:v>5.982288850869262E-2</c:v>
                </c:pt>
                <c:pt idx="154">
                  <c:v>5.6517584257958338E-2</c:v>
                </c:pt>
                <c:pt idx="155">
                  <c:v>5.3389370850029857E-2</c:v>
                </c:pt>
                <c:pt idx="156">
                  <c:v>5.0429385023286817E-2</c:v>
                </c:pt>
                <c:pt idx="157">
                  <c:v>4.7629142097109049E-2</c:v>
                </c:pt>
                <c:pt idx="158">
                  <c:v>4.4980526609038791E-2</c:v>
                </c:pt>
                <c:pt idx="159">
                  <c:v>4.2475782383165288E-2</c:v>
                </c:pt>
                <c:pt idx="160">
                  <c:v>4.0107502154031319E-2</c:v>
                </c:pt>
                <c:pt idx="161">
                  <c:v>3.7868616856482719E-2</c:v>
                </c:pt>
                <c:pt idx="162">
                  <c:v>3.5752384679168782E-2</c:v>
                </c:pt>
                <c:pt idx="163">
                  <c:v>3.3752379967823667E-2</c:v>
                </c:pt>
                <c:pt idx="164">
                  <c:v>3.1862482053900763E-2</c:v>
                </c:pt>
                <c:pt idx="165">
                  <c:v>3.0076864074552848E-2</c:v>
                </c:pt>
                <c:pt idx="166">
                  <c:v>2.8389981841264227E-2</c:v>
                </c:pt>
                <c:pt idx="167">
                  <c:v>2.6796562806585707E-2</c:v>
                </c:pt>
                <c:pt idx="168">
                  <c:v>2.5291595171345573E-2</c:v>
                </c:pt>
                <c:pt idx="169">
                  <c:v>2.3870317168324141E-2</c:v>
                </c:pt>
                <c:pt idx="170">
                  <c:v>2.2528206552671504E-2</c:v>
                </c:pt>
                <c:pt idx="171">
                  <c:v>2.1260970324211936E-2</c:v>
                </c:pt>
                <c:pt idx="172">
                  <c:v>2.0064534702214056E-2</c:v>
                </c:pt>
                <c:pt idx="173">
                  <c:v>1.8935035369128977E-2</c:v>
                </c:pt>
                <c:pt idx="174">
                  <c:v>1.7868807996185187E-2</c:v>
                </c:pt>
                <c:pt idx="175">
                  <c:v>1.6862379060534335E-2</c:v>
                </c:pt>
                <c:pt idx="176">
                  <c:v>1.591245696082081E-2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6D-4D17-8F76-9434177CC5C1}"/>
            </c:ext>
          </c:extLst>
        </c:ser>
        <c:ser>
          <c:idx val="0"/>
          <c:order val="1"/>
          <c:tx>
            <c:strRef>
              <c:f>'New_cases - LNorm'!$B$6</c:f>
              <c:strCache>
                <c:ptCount val="1"/>
                <c:pt idx="0">
                  <c:v>30/04/2020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LNorm'!$P$6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'New_cases - LNorm'!$Q$6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6D-4D17-8F76-9434177C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cases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 of Italy regions outside Lombardy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trajectory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LNorm'!$AB$7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LNorm'!$Z$8:$Z$184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1.3180628156728576E-61</c:v>
                </c:pt>
                <c:pt idx="38">
                  <c:v>1.6390776448532252E-32</c:v>
                </c:pt>
                <c:pt idx="39">
                  <c:v>6.1223748848828497E-24</c:v>
                </c:pt>
                <c:pt idx="40">
                  <c:v>3.0142820147028492E-19</c:v>
                </c:pt>
                <c:pt idx="41">
                  <c:v>3.6819465010871482E-16</c:v>
                </c:pt>
                <c:pt idx="42">
                  <c:v>6.2415149593381372E-14</c:v>
                </c:pt>
                <c:pt idx="43">
                  <c:v>3.1590390830133224E-12</c:v>
                </c:pt>
                <c:pt idx="44">
                  <c:v>7.1414820134062305E-11</c:v>
                </c:pt>
                <c:pt idx="45">
                  <c:v>9.1279270713420225E-10</c:v>
                </c:pt>
                <c:pt idx="46">
                  <c:v>7.6549171799662131E-9</c:v>
                </c:pt>
                <c:pt idx="47">
                  <c:v>4.6522334844307022E-8</c:v>
                </c:pt>
                <c:pt idx="48">
                  <c:v>2.19610918868169E-7</c:v>
                </c:pt>
                <c:pt idx="49">
                  <c:v>8.4660038048141327E-7</c:v>
                </c:pt>
                <c:pt idx="50">
                  <c:v>2.7663856709008015E-6</c:v>
                </c:pt>
                <c:pt idx="51">
                  <c:v>7.8826764854701008E-6</c:v>
                </c:pt>
                <c:pt idx="52">
                  <c:v>2.0023047831381367E-5</c:v>
                </c:pt>
                <c:pt idx="53">
                  <c:v>4.6136627128129388E-5</c:v>
                </c:pt>
                <c:pt idx="54">
                  <c:v>9.7788984765757959E-5</c:v>
                </c:pt>
                <c:pt idx="55">
                  <c:v>1.9284001754075368E-4</c:v>
                </c:pt>
                <c:pt idx="56">
                  <c:v>3.5713030261611206E-4</c:v>
                </c:pt>
                <c:pt idx="57">
                  <c:v>6.2596830521094242E-4</c:v>
                </c:pt>
                <c:pt idx="58">
                  <c:v>1.0452119522191591E-3</c:v>
                </c:pt>
                <c:pt idx="59">
                  <c:v>1.6717720164874626E-3</c:v>
                </c:pt>
                <c:pt idx="60">
                  <c:v>2.5734234770628532E-3</c:v>
                </c:pt>
                <c:pt idx="61">
                  <c:v>3.827882977670739E-3</c:v>
                </c:pt>
                <c:pt idx="62">
                  <c:v>5.5211836992927251E-3</c:v>
                </c:pt>
                <c:pt idx="63">
                  <c:v>7.7454432904541801E-3</c:v>
                </c:pt>
                <c:pt idx="64">
                  <c:v>1.0596169063619012E-2</c:v>
                </c:pt>
                <c:pt idx="65">
                  <c:v>1.4169274112885499E-2</c:v>
                </c:pt>
                <c:pt idx="66">
                  <c:v>1.8557988147569836E-2</c:v>
                </c:pt>
                <c:pt idx="67">
                  <c:v>2.3849839865441275E-2</c:v>
                </c:pt>
                <c:pt idx="68">
                  <c:v>3.0123867282530494E-2</c:v>
                </c:pt>
                <c:pt idx="69">
                  <c:v>3.7448182897835865E-2</c:v>
                </c:pt>
                <c:pt idx="70">
                  <c:v>4.5877986160131265E-2</c:v>
                </c:pt>
                <c:pt idx="71">
                  <c:v>5.5454080171070688E-2</c:v>
                </c:pt>
                <c:pt idx="72">
                  <c:v>6.6201915885809995E-2</c:v>
                </c:pt>
                <c:pt idx="73">
                  <c:v>7.8131157380613422E-2</c:v>
                </c:pt>
                <c:pt idx="74">
                  <c:v>9.1235737337426057E-2</c:v>
                </c:pt>
                <c:pt idx="75">
                  <c:v>0.10549435331702446</c:v>
                </c:pt>
                <c:pt idx="76">
                  <c:v>0.1208713426487483</c:v>
                </c:pt>
                <c:pt idx="77">
                  <c:v>0.13731786643157598</c:v>
                </c:pt>
                <c:pt idx="78">
                  <c:v>0.15477333052344602</c:v>
                </c:pt>
                <c:pt idx="79">
                  <c:v>0.17316697265429842</c:v>
                </c:pt>
                <c:pt idx="80">
                  <c:v>0.1924195490508514</c:v>
                </c:pt>
                <c:pt idx="81">
                  <c:v>0.21244506035553287</c:v>
                </c:pt>
                <c:pt idx="82">
                  <c:v>0.23315246438589535</c:v>
                </c:pt>
                <c:pt idx="83">
                  <c:v>0.25444733175057355</c:v>
                </c:pt>
                <c:pt idx="84">
                  <c:v>0.27623340897070586</c:v>
                </c:pt>
                <c:pt idx="85">
                  <c:v>0.29841406213068317</c:v>
                </c:pt>
                <c:pt idx="86">
                  <c:v>0.32089358189180295</c:v>
                </c:pt>
                <c:pt idx="87">
                  <c:v>0.34357833774051322</c:v>
                </c:pt>
                <c:pt idx="88">
                  <c:v>0.36637777548862505</c:v>
                </c:pt>
                <c:pt idx="89">
                  <c:v>0.38920525724472965</c:v>
                </c:pt>
                <c:pt idx="90">
                  <c:v>0.41197874733662709</c:v>
                </c:pt>
                <c:pt idx="91">
                  <c:v>0.43462135102604393</c:v>
                </c:pt>
                <c:pt idx="92">
                  <c:v>0.45706171538900836</c:v>
                </c:pt>
                <c:pt idx="93">
                  <c:v>0.47923430352469865</c:v>
                </c:pt>
                <c:pt idx="94">
                  <c:v>0.50107955439801466</c:v>
                </c:pt>
                <c:pt idx="95">
                  <c:v>0.52254394121453029</c:v>
                </c:pt>
                <c:pt idx="96">
                  <c:v>0.54357994136639032</c:v>
                </c:pt>
                <c:pt idx="97">
                  <c:v>0.56414593076409814</c:v>
                </c:pt>
                <c:pt idx="98">
                  <c:v>0.58420601486379575</c:v>
                </c:pt>
                <c:pt idx="99">
                  <c:v>0.60372980798553511</c:v>
                </c:pt>
                <c:pt idx="100">
                  <c:v>0.62269217165816571</c:v>
                </c:pt>
                <c:pt idx="101">
                  <c:v>0.64107292177466202</c:v>
                </c:pt>
                <c:pt idx="102">
                  <c:v>0.65885651334202677</c:v>
                </c:pt>
                <c:pt idx="103">
                  <c:v>0.67603171059866962</c:v>
                </c:pt>
                <c:pt idx="104">
                  <c:v>0.69259124927722804</c:v>
                </c:pt>
                <c:pt idx="105">
                  <c:v>0.70853149683397509</c:v>
                </c:pt>
                <c:pt idx="106">
                  <c:v>0.72385211556274742</c:v>
                </c:pt>
                <c:pt idx="107">
                  <c:v>0.73855573267252705</c:v>
                </c:pt>
                <c:pt idx="108">
                  <c:v>0.75264762064005308</c:v>
                </c:pt>
                <c:pt idx="109">
                  <c:v>0.76613539045546086</c:v>
                </c:pt>
                <c:pt idx="110">
                  <c:v>0.77902869976056432</c:v>
                </c:pt>
                <c:pt idx="111">
                  <c:v>0.79133897733472647</c:v>
                </c:pt>
                <c:pt idx="112">
                  <c:v>0.80307916490933173</c:v>
                </c:pt>
                <c:pt idx="113">
                  <c:v>0.81426347688472356</c:v>
                </c:pt>
                <c:pt idx="114">
                  <c:v>0.82490717817839743</c:v>
                </c:pt>
                <c:pt idx="115">
                  <c:v>0.83502638014502351</c:v>
                </c:pt>
                <c:pt idx="116">
                  <c:v>0.8446378542722276</c:v>
                </c:pt>
                <c:pt idx="117">
                  <c:v>0.85375886316552219</c:v>
                </c:pt>
                <c:pt idx="118">
                  <c:v>0.86240700818612259</c:v>
                </c:pt>
                <c:pt idx="119">
                  <c:v>0.87060009299155927</c:v>
                </c:pt>
                <c:pt idx="120">
                  <c:v>0.87835600214625331</c:v>
                </c:pt>
                <c:pt idx="121">
                  <c:v>0.88569259391310018</c:v>
                </c:pt>
                <c:pt idx="122">
                  <c:v>0.89262760630364535</c:v>
                </c:pt>
                <c:pt idx="123">
                  <c:v>0.89917857544988045</c:v>
                </c:pt>
                <c:pt idx="124">
                  <c:v>0.90536276536180271</c:v>
                </c:pt>
                <c:pt idx="125">
                  <c:v>0.91119710814870625</c:v>
                </c:pt>
                <c:pt idx="126">
                  <c:v>0.91669815380616992</c:v>
                </c:pt>
                <c:pt idx="127">
                  <c:v>0.92188202870258951</c:v>
                </c:pt>
                <c:pt idx="128">
                  <c:v>0.92676440193694198</c:v>
                </c:pt>
                <c:pt idx="129">
                  <c:v>0.93136045878163576</c:v>
                </c:pt>
                <c:pt idx="130">
                  <c:v>0.9356848804693243</c:v>
                </c:pt>
                <c:pt idx="131">
                  <c:v>0.93975182962930925</c:v>
                </c:pt>
                <c:pt idx="132">
                  <c:v>0.94357494072662651</c:v>
                </c:pt>
                <c:pt idx="133">
                  <c:v>0.94716731490430628</c:v>
                </c:pt>
                <c:pt idx="134">
                  <c:v>0.95054151867595937</c:v>
                </c:pt>
                <c:pt idx="135">
                  <c:v>0.95370958596129374</c:v>
                </c:pt>
                <c:pt idx="136">
                  <c:v>0.9566830230009683</c:v>
                </c:pt>
                <c:pt idx="137">
                  <c:v>0.95947281572909648</c:v>
                </c:pt>
                <c:pt idx="138">
                  <c:v>0.96208943922147394</c:v>
                </c:pt>
                <c:pt idx="139">
                  <c:v>0.96454286887511786</c:v>
                </c:pt>
                <c:pt idx="140">
                  <c:v>0.96684259300986797</c:v>
                </c:pt>
                <c:pt idx="141">
                  <c:v>0.96899762661558864</c:v>
                </c:pt>
                <c:pt idx="142">
                  <c:v>0.97101652599894672</c:v>
                </c:pt>
                <c:pt idx="143">
                  <c:v>0.97290740411184418</c:v>
                </c:pt>
                <c:pt idx="144">
                  <c:v>0.97467794636943816</c:v>
                </c:pt>
                <c:pt idx="145">
                  <c:v>0.97633542678935681</c:v>
                </c:pt>
                <c:pt idx="146">
                  <c:v>0.97788672430532642</c:v>
                </c:pt>
                <c:pt idx="147">
                  <c:v>0.97933833912805224</c:v>
                </c:pt>
                <c:pt idx="148">
                  <c:v>0.98069640904398159</c:v>
                </c:pt>
                <c:pt idx="149">
                  <c:v>0.98196672555860842</c:v>
                </c:pt>
                <c:pt idx="150">
                  <c:v>0.98315474980540063</c:v>
                </c:pt>
                <c:pt idx="151">
                  <c:v>0.98426562815434027</c:v>
                </c:pt>
                <c:pt idx="152">
                  <c:v>0.98530420746558134</c:v>
                </c:pt>
                <c:pt idx="153">
                  <c:v>0.98627504994397563</c:v>
                </c:pt>
                <c:pt idx="154">
                  <c:v>0.98718244755926798</c:v>
                </c:pt>
                <c:pt idx="155">
                  <c:v>0.9880304360047607</c:v>
                </c:pt>
                <c:pt idx="156">
                  <c:v>0.9888228081742495</c:v>
                </c:pt>
                <c:pt idx="157">
                  <c:v>0.98956312714315886</c:v>
                </c:pt>
                <c:pt idx="158">
                  <c:v>0.99025473864512303</c:v>
                </c:pt>
                <c:pt idx="159">
                  <c:v>0.99090078303985252</c:v>
                </c:pt>
                <c:pt idx="160">
                  <c:v>0.99150420677207118</c:v>
                </c:pt>
                <c:pt idx="161">
                  <c:v>0.99206777332466545</c:v>
                </c:pt>
                <c:pt idx="162">
                  <c:v>0.9925940736720309</c:v>
                </c:pt>
                <c:pt idx="163">
                  <c:v>0.99308553624196627</c:v>
                </c:pt>
                <c:pt idx="164">
                  <c:v>0.99354443639643919</c:v>
                </c:pt>
                <c:pt idx="165">
                  <c:v>0.9939729054431351</c:v>
                </c:pt>
                <c:pt idx="166">
                  <c:v>0.99437293919098246</c:v>
                </c:pt>
                <c:pt idx="167">
                  <c:v>0.99474640606384201</c:v>
                </c:pt>
                <c:pt idx="168">
                  <c:v>0.99509505478729432</c:v>
                </c:pt>
                <c:pt idx="169">
                  <c:v>0.99542052166399675</c:v>
                </c:pt>
                <c:pt idx="170">
                  <c:v>0.99572433745342881</c:v>
                </c:pt>
                <c:pt idx="171">
                  <c:v>0.9960079338720309</c:v>
                </c:pt>
                <c:pt idx="172">
                  <c:v>0.99627264972979601</c:v>
                </c:pt>
                <c:pt idx="173">
                  <c:v>0.99651973671931438</c:v>
                </c:pt>
                <c:pt idx="174">
                  <c:v>0.99675036487309376</c:v>
                </c:pt>
                <c:pt idx="175">
                  <c:v>0.99696562770475383</c:v>
                </c:pt>
                <c:pt idx="176">
                  <c:v>0.99716654704936336</c:v>
                </c:pt>
              </c:numCache>
            </c:numRef>
          </c:xVal>
          <c:yVal>
            <c:numRef>
              <c:f>'New_cases - LNorm'!$AB$8:$AB$184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1.0536116348636391E-57</c:v>
                </c:pt>
                <c:pt idx="38">
                  <c:v>2.0715138207012283E-29</c:v>
                </c:pt>
                <c:pt idx="39">
                  <c:v>3.6978321649612088E-21</c:v>
                </c:pt>
                <c:pt idx="40">
                  <c:v>1.1260714030799286E-16</c:v>
                </c:pt>
                <c:pt idx="41">
                  <c:v>9.5867503933198887E-14</c:v>
                </c:pt>
                <c:pt idx="42">
                  <c:v>1.2140044353822251E-11</c:v>
                </c:pt>
                <c:pt idx="43">
                  <c:v>4.8035639751327864E-10</c:v>
                </c:pt>
                <c:pt idx="44">
                  <c:v>8.7665816455491957E-9</c:v>
                </c:pt>
                <c:pt idx="45">
                  <c:v>9.2648719670589272E-8</c:v>
                </c:pt>
                <c:pt idx="46">
                  <c:v>6.5444343408368224E-7</c:v>
                </c:pt>
                <c:pt idx="47">
                  <c:v>3.3998481136853737E-6</c:v>
                </c:pt>
                <c:pt idx="48">
                  <c:v>1.3884635421984643E-5</c:v>
                </c:pt>
                <c:pt idx="49">
                  <c:v>4.6770324550697645E-5</c:v>
                </c:pt>
                <c:pt idx="50">
                  <c:v>1.3466761237168861E-4</c:v>
                </c:pt>
                <c:pt idx="51">
                  <c:v>3.4056057447592918E-4</c:v>
                </c:pt>
                <c:pt idx="52">
                  <c:v>7.7251042319938083E-4</c:v>
                </c:pt>
                <c:pt idx="53">
                  <c:v>1.5981161422336009E-3</c:v>
                </c:pt>
                <c:pt idx="54">
                  <c:v>3.0555421343554639E-3</c:v>
                </c:pt>
                <c:pt idx="55">
                  <c:v>5.4580685800845073E-3</c:v>
                </c:pt>
                <c:pt idx="56">
                  <c:v>9.1900363142673851E-3</c:v>
                </c:pt>
                <c:pt idx="57">
                  <c:v>1.4693467024773227E-2</c:v>
                </c:pt>
                <c:pt idx="58">
                  <c:v>2.2446165017451222E-2</c:v>
                </c:pt>
                <c:pt idx="59">
                  <c:v>3.2933405782750738E-2</c:v>
                </c:pt>
                <c:pt idx="60">
                  <c:v>4.6616163158377188E-2</c:v>
                </c:pt>
                <c:pt idx="61">
                  <c:v>6.3899137101033149E-2</c:v>
                </c:pt>
                <c:pt idx="62">
                  <c:v>8.5101656831823955E-2</c:v>
                </c:pt>
                <c:pt idx="63">
                  <c:v>0.11043396888126476</c:v>
                </c:pt>
                <c:pt idx="64">
                  <c:v>0.13998063040741374</c:v>
                </c:pt>
                <c:pt idx="65">
                  <c:v>0.17369186605038633</c:v>
                </c:pt>
                <c:pt idx="66">
                  <c:v>0.21138293495323146</c:v>
                </c:pt>
                <c:pt idx="67">
                  <c:v>0.25274087815264679</c:v>
                </c:pt>
                <c:pt idx="68">
                  <c:v>0.29733752049446532</c:v>
                </c:pt>
                <c:pt idx="69">
                  <c:v>0.3446472968840178</c:v>
                </c:pt>
                <c:pt idx="70">
                  <c:v>0.39406834634868981</c:v>
                </c:pt>
                <c:pt idx="71">
                  <c:v>0.44494533971518646</c:v>
                </c:pt>
                <c:pt idx="72">
                  <c:v>0.49659264093752842</c:v>
                </c:pt>
                <c:pt idx="73">
                  <c:v>0.54831661050221836</c:v>
                </c:pt>
                <c:pt idx="74">
                  <c:v>0.59943610747690868</c:v>
                </c:pt>
                <c:pt idx="75">
                  <c:v>0.6493005060818291</c:v>
                </c:pt>
                <c:pt idx="76">
                  <c:v>0.69730479140914425</c:v>
                </c:pt>
                <c:pt idx="77">
                  <c:v>0.74290152213607175</c:v>
                </c:pt>
                <c:pt idx="78">
                  <c:v>0.78560963687453489</c:v>
                </c:pt>
                <c:pt idx="79">
                  <c:v>0.82502023126514579</c:v>
                </c:pt>
                <c:pt idx="80">
                  <c:v>0.8607995449575927</c:v>
                </c:pt>
                <c:pt idx="81">
                  <c:v>0.8926894738007104</c:v>
                </c:pt>
                <c:pt idx="82">
                  <c:v>0.92050596715391286</c:v>
                </c:pt>
                <c:pt idx="83">
                  <c:v>0.94413568836052175</c:v>
                </c:pt>
                <c:pt idx="84">
                  <c:v>0.96353131347967036</c:v>
                </c:pt>
                <c:pt idx="85">
                  <c:v>0.978705824558046</c:v>
                </c:pt>
                <c:pt idx="86">
                  <c:v>0.98972612376466806</c:v>
                </c:pt>
                <c:pt idx="87">
                  <c:v>0.99670625770582633</c:v>
                </c:pt>
                <c:pt idx="88">
                  <c:v>0.99980050057693282</c:v>
                </c:pt>
                <c:pt idx="89">
                  <c:v>0.99919650318623932</c:v>
                </c:pt>
                <c:pt idx="90">
                  <c:v>0.99510867434049977</c:v>
                </c:pt>
                <c:pt idx="91">
                  <c:v>0.98777192307115103</c:v>
                </c:pt>
                <c:pt idx="92">
                  <c:v>0.977435855661974</c:v>
                </c:pt>
                <c:pt idx="93">
                  <c:v>0.96435949096906048</c:v>
                </c:pt>
                <c:pt idx="94">
                  <c:v>0.9488065313335633</c:v>
                </c:pt>
                <c:pt idx="95">
                  <c:v>0.93104120446564742</c:v>
                </c:pt>
                <c:pt idx="96">
                  <c:v>0.91132467383684856</c:v>
                </c:pt>
                <c:pt idx="97">
                  <c:v>0.88991200105119439</c:v>
                </c:pt>
                <c:pt idx="98">
                  <c:v>0.86704963299372373</c:v>
                </c:pt>
                <c:pt idx="99">
                  <c:v>0.8429733788625805</c:v>
                </c:pt>
                <c:pt idx="100">
                  <c:v>0.81790683705344136</c:v>
                </c:pt>
                <c:pt idx="101">
                  <c:v>0.79206022886889615</c:v>
                </c:pt>
                <c:pt idx="102">
                  <c:v>0.76562959478285719</c:v>
                </c:pt>
                <c:pt idx="103">
                  <c:v>0.73879630914595074</c:v>
                </c:pt>
                <c:pt idx="104">
                  <c:v>0.71172687045695016</c:v>
                </c:pt>
                <c:pt idx="105">
                  <c:v>0.68457292637154921</c:v>
                </c:pt>
                <c:pt idx="106">
                  <c:v>0.6574714952382017</c:v>
                </c:pt>
                <c:pt idx="107">
                  <c:v>0.63054534894380987</c:v>
                </c:pt>
                <c:pt idx="108">
                  <c:v>0.60390352505798028</c:v>
                </c:pt>
                <c:pt idx="109">
                  <c:v>0.57764193955313148</c:v>
                </c:pt>
                <c:pt idx="110">
                  <c:v>0.55184407464708396</c:v>
                </c:pt>
                <c:pt idx="111">
                  <c:v>0.52658171948719934</c:v>
                </c:pt>
                <c:pt idx="112">
                  <c:v>0.50191574441382936</c:v>
                </c:pt>
                <c:pt idx="113">
                  <c:v>0.47789689236641886</c:v>
                </c:pt>
                <c:pt idx="114">
                  <c:v>0.45456657360269159</c:v>
                </c:pt>
                <c:pt idx="115">
                  <c:v>0.43195765227648003</c:v>
                </c:pt>
                <c:pt idx="116">
                  <c:v>0.41009521555813216</c:v>
                </c:pt>
                <c:pt idx="117">
                  <c:v>0.38899731788568531</c:v>
                </c:pt>
                <c:pt idx="118">
                  <c:v>0.36867569461269206</c:v>
                </c:pt>
                <c:pt idx="119">
                  <c:v>0.34913644078123157</c:v>
                </c:pt>
                <c:pt idx="120">
                  <c:v>0.33038065201028494</c:v>
                </c:pt>
                <c:pt idx="121">
                  <c:v>0.31240502556587862</c:v>
                </c:pt>
                <c:pt idx="122">
                  <c:v>0.29520242058664792</c:v>
                </c:pt>
                <c:pt idx="123">
                  <c:v>0.27876237719328567</c:v>
                </c:pt>
                <c:pt idx="124">
                  <c:v>0.26307159482916925</c:v>
                </c:pt>
                <c:pt idx="125">
                  <c:v>0.24811437067791298</c:v>
                </c:pt>
                <c:pt idx="126">
                  <c:v>0.23387299939664719</c:v>
                </c:pt>
                <c:pt idx="127">
                  <c:v>0.22032813570530974</c:v>
                </c:pt>
                <c:pt idx="128">
                  <c:v>0.20745912159502775</c:v>
                </c:pt>
                <c:pt idx="129">
                  <c:v>0.19524428007427327</c:v>
                </c:pt>
                <c:pt idx="130">
                  <c:v>0.18366117747055147</c:v>
                </c:pt>
                <c:pt idx="131">
                  <c:v>0.17268685635728045</c:v>
                </c:pt>
                <c:pt idx="132">
                  <c:v>0.16229804118846988</c:v>
                </c:pt>
                <c:pt idx="133">
                  <c:v>0.15247131870531652</c:v>
                </c:pt>
                <c:pt idx="134">
                  <c:v>0.1431832951350962</c:v>
                </c:pt>
                <c:pt idx="135">
                  <c:v>0.13441073213940066</c:v>
                </c:pt>
                <c:pt idx="136">
                  <c:v>0.12613066339050091</c:v>
                </c:pt>
                <c:pt idx="137">
                  <c:v>0.11832049356550814</c:v>
                </c:pt>
                <c:pt idx="138">
                  <c:v>0.11095808145137252</c:v>
                </c:pt>
                <c:pt idx="139">
                  <c:v>0.10402180875252867</c:v>
                </c:pt>
                <c:pt idx="140">
                  <c:v>9.749063608944393E-2</c:v>
                </c:pt>
                <c:pt idx="141">
                  <c:v>9.1344147572388304E-2</c:v>
                </c:pt>
                <c:pt idx="142">
                  <c:v>8.5562585231955757E-2</c:v>
                </c:pt>
                <c:pt idx="143">
                  <c:v>8.0126874487458685E-2</c:v>
                </c:pt>
                <c:pt idx="144">
                  <c:v>7.5018641737163785E-2</c:v>
                </c:pt>
                <c:pt idx="145">
                  <c:v>7.022022506123575E-2</c:v>
                </c:pt>
                <c:pt idx="146">
                  <c:v>6.5714678939604934E-2</c:v>
                </c:pt>
                <c:pt idx="147">
                  <c:v>6.148577380321104E-2</c:v>
                </c:pt>
                <c:pt idx="148">
                  <c:v>5.7517991158302903E-2</c:v>
                </c:pt>
                <c:pt idx="149">
                  <c:v>5.3796514949880581E-2</c:v>
                </c:pt>
                <c:pt idx="150">
                  <c:v>5.0307219761860617E-2</c:v>
                </c:pt>
                <c:pt idx="151">
                  <c:v>4.7036656388106168E-2</c:v>
                </c:pt>
                <c:pt idx="152">
                  <c:v>4.3972035249967206E-2</c:v>
                </c:pt>
                <c:pt idx="153">
                  <c:v>4.1101208082193794E-2</c:v>
                </c:pt>
                <c:pt idx="154">
                  <c:v>3.8412648259882637E-2</c:v>
                </c:pt>
                <c:pt idx="155">
                  <c:v>3.5895430094212567E-2</c:v>
                </c:pt>
                <c:pt idx="156">
                  <c:v>3.3539207383909878E-2</c:v>
                </c:pt>
                <c:pt idx="157">
                  <c:v>3.1334191472397986E-2</c:v>
                </c:pt>
                <c:pt idx="158">
                  <c:v>2.9271129027165901E-2</c:v>
                </c:pt>
                <c:pt idx="159">
                  <c:v>2.7341279727817722E-2</c:v>
                </c:pt>
                <c:pt idx="160">
                  <c:v>2.5536394022252103E-2</c:v>
                </c:pt>
                <c:pt idx="161">
                  <c:v>2.3848691086265746E-2</c:v>
                </c:pt>
                <c:pt idx="162">
                  <c:v>2.2270837100327741E-2</c:v>
                </c:pt>
                <c:pt idx="163">
                  <c:v>2.0795923938114254E-2</c:v>
                </c:pt>
                <c:pt idx="164">
                  <c:v>1.9417448344427636E-2</c:v>
                </c:pt>
                <c:pt idx="165">
                  <c:v>1.8129291665143536E-2</c:v>
                </c:pt>
                <c:pt idx="166">
                  <c:v>1.6925700178658954E-2</c:v>
                </c:pt>
                <c:pt idx="167">
                  <c:v>1.5801266066774292E-2</c:v>
                </c:pt>
                <c:pt idx="168">
                  <c:v>1.4750909052879339E-2</c:v>
                </c:pt>
                <c:pt idx="169">
                  <c:v>1.3769858726579348E-2</c:v>
                </c:pt>
                <c:pt idx="170">
                  <c:v>1.2853637566350152E-2</c:v>
                </c:pt>
                <c:pt idx="171">
                  <c:v>1.1998044665337907E-2</c:v>
                </c:pt>
                <c:pt idx="172">
                  <c:v>1.1199140159889806E-2</c:v>
                </c:pt>
                <c:pt idx="173">
                  <c:v>1.0453230355726109E-2</c:v>
                </c:pt>
                <c:pt idx="174">
                  <c:v>9.7568535427363656E-3</c:v>
                </c:pt>
                <c:pt idx="175">
                  <c:v>9.106766486122209E-3</c:v>
                </c:pt>
                <c:pt idx="176">
                  <c:v>8.4999315789351295E-3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68-4D96-9AD9-471CC8070874}"/>
            </c:ext>
          </c:extLst>
        </c:ser>
        <c:ser>
          <c:idx val="0"/>
          <c:order val="1"/>
          <c:tx>
            <c:strRef>
              <c:f>'New_cases - LNorm'!$B$6</c:f>
              <c:strCache>
                <c:ptCount val="1"/>
                <c:pt idx="0">
                  <c:v>30/04/2020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LNorm'!$Z$6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'New_cases - LNorm'!$AA$6</c:f>
              <c:numCache>
                <c:formatCode>General</c:formatCode>
                <c:ptCount val="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68-4D96-9AD9-471CC8070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cases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 sz="1400" b="0" i="0" u="none" strike="noStrike" baseline="0">
                <a:solidFill>
                  <a:srgbClr val="0070C0"/>
                </a:solidFill>
                <a:effectLst/>
              </a:rPr>
              <a:t>Accumulative cases (displacement) - Lognormal </a:t>
            </a:r>
            <a:endParaRPr lang="it-IT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LNorm'!$D$7</c:f>
              <c:strCache>
                <c:ptCount val="1"/>
                <c:pt idx="0">
                  <c:v>Spain cumul. Cases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LNorm'!$D$8:$D$184</c:f>
              <c:numCache>
                <c:formatCode>0</c:formatCode>
                <c:ptCount val="177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6</c:v>
                </c:pt>
                <c:pt idx="56">
                  <c:v>13</c:v>
                </c:pt>
                <c:pt idx="57">
                  <c:v>15</c:v>
                </c:pt>
                <c:pt idx="58">
                  <c:v>32</c:v>
                </c:pt>
                <c:pt idx="59">
                  <c:v>45</c:v>
                </c:pt>
                <c:pt idx="60">
                  <c:v>84</c:v>
                </c:pt>
                <c:pt idx="61">
                  <c:v>120</c:v>
                </c:pt>
                <c:pt idx="62">
                  <c:v>165</c:v>
                </c:pt>
                <c:pt idx="63">
                  <c:v>222</c:v>
                </c:pt>
                <c:pt idx="64">
                  <c:v>259</c:v>
                </c:pt>
                <c:pt idx="65">
                  <c:v>400</c:v>
                </c:pt>
                <c:pt idx="66">
                  <c:v>500</c:v>
                </c:pt>
                <c:pt idx="67">
                  <c:v>673</c:v>
                </c:pt>
                <c:pt idx="68">
                  <c:v>1073</c:v>
                </c:pt>
                <c:pt idx="69">
                  <c:v>1695</c:v>
                </c:pt>
                <c:pt idx="70">
                  <c:v>2277</c:v>
                </c:pt>
                <c:pt idx="71">
                  <c:v>2277</c:v>
                </c:pt>
                <c:pt idx="72">
                  <c:v>5232</c:v>
                </c:pt>
                <c:pt idx="73">
                  <c:v>6391</c:v>
                </c:pt>
                <c:pt idx="74">
                  <c:v>7798</c:v>
                </c:pt>
                <c:pt idx="75">
                  <c:v>9942</c:v>
                </c:pt>
                <c:pt idx="76">
                  <c:v>11748</c:v>
                </c:pt>
                <c:pt idx="77">
                  <c:v>13910</c:v>
                </c:pt>
                <c:pt idx="78">
                  <c:v>17963</c:v>
                </c:pt>
                <c:pt idx="79">
                  <c:v>20410</c:v>
                </c:pt>
                <c:pt idx="80">
                  <c:v>25374</c:v>
                </c:pt>
                <c:pt idx="81">
                  <c:v>28768</c:v>
                </c:pt>
                <c:pt idx="82">
                  <c:v>35136</c:v>
                </c:pt>
                <c:pt idx="83">
                  <c:v>39885</c:v>
                </c:pt>
                <c:pt idx="84">
                  <c:v>49515</c:v>
                </c:pt>
                <c:pt idx="85">
                  <c:v>57786</c:v>
                </c:pt>
                <c:pt idx="86">
                  <c:v>65719</c:v>
                </c:pt>
                <c:pt idx="87">
                  <c:v>73235</c:v>
                </c:pt>
                <c:pt idx="88">
                  <c:v>80110</c:v>
                </c:pt>
                <c:pt idx="89">
                  <c:v>87956</c:v>
                </c:pt>
                <c:pt idx="90">
                  <c:v>95923</c:v>
                </c:pt>
                <c:pt idx="91">
                  <c:v>104118</c:v>
                </c:pt>
                <c:pt idx="92">
                  <c:v>112065</c:v>
                </c:pt>
                <c:pt idx="93">
                  <c:v>119199</c:v>
                </c:pt>
                <c:pt idx="94">
                  <c:v>126168</c:v>
                </c:pt>
                <c:pt idx="95">
                  <c:v>131646</c:v>
                </c:pt>
                <c:pt idx="96">
                  <c:v>136675</c:v>
                </c:pt>
                <c:pt idx="97">
                  <c:v>141942</c:v>
                </c:pt>
                <c:pt idx="98">
                  <c:v>148220</c:v>
                </c:pt>
                <c:pt idx="99">
                  <c:v>153222</c:v>
                </c:pt>
                <c:pt idx="100">
                  <c:v>158273</c:v>
                </c:pt>
                <c:pt idx="101">
                  <c:v>163027</c:v>
                </c:pt>
                <c:pt idx="102">
                  <c:v>166831</c:v>
                </c:pt>
                <c:pt idx="103">
                  <c:v>170099</c:v>
                </c:pt>
                <c:pt idx="104">
                  <c:v>172541</c:v>
                </c:pt>
                <c:pt idx="105">
                  <c:v>177644</c:v>
                </c:pt>
                <c:pt idx="106">
                  <c:v>184948</c:v>
                </c:pt>
                <c:pt idx="107">
                  <c:v>190839</c:v>
                </c:pt>
                <c:pt idx="108">
                  <c:v>191726</c:v>
                </c:pt>
                <c:pt idx="109">
                  <c:v>198674</c:v>
                </c:pt>
                <c:pt idx="110">
                  <c:v>200210</c:v>
                </c:pt>
                <c:pt idx="111">
                  <c:v>204178</c:v>
                </c:pt>
                <c:pt idx="112">
                  <c:v>208389</c:v>
                </c:pt>
                <c:pt idx="113">
                  <c:v>213024</c:v>
                </c:pt>
                <c:pt idx="114">
                  <c:v>219764</c:v>
                </c:pt>
                <c:pt idx="115">
                  <c:v>223759</c:v>
                </c:pt>
                <c:pt idx="116">
                  <c:v>226629</c:v>
                </c:pt>
                <c:pt idx="117">
                  <c:v>229422</c:v>
                </c:pt>
                <c:pt idx="118">
                  <c:v>232128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29-4763-8D31-F39940B2B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29-4763-8D31-F39940B2BA58}"/>
            </c:ext>
          </c:extLst>
        </c:ser>
        <c:ser>
          <c:idx val="2"/>
          <c:order val="2"/>
          <c:tx>
            <c:strRef>
              <c:f>'Cumul_cases - LNorm'!#REF!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LNorm'!$C$44:$C$184</c:f>
              <c:numCache>
                <c:formatCode>General</c:formatCode>
                <c:ptCount val="141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137</c:v>
                </c:pt>
                <c:pt idx="101">
                  <c:v>138</c:v>
                </c:pt>
                <c:pt idx="102">
                  <c:v>139</c:v>
                </c:pt>
                <c:pt idx="103">
                  <c:v>140</c:v>
                </c:pt>
                <c:pt idx="104">
                  <c:v>141</c:v>
                </c:pt>
                <c:pt idx="105">
                  <c:v>142</c:v>
                </c:pt>
                <c:pt idx="106">
                  <c:v>143</c:v>
                </c:pt>
                <c:pt idx="107">
                  <c:v>144</c:v>
                </c:pt>
                <c:pt idx="108">
                  <c:v>145</c:v>
                </c:pt>
                <c:pt idx="109">
                  <c:v>146</c:v>
                </c:pt>
                <c:pt idx="110">
                  <c:v>147</c:v>
                </c:pt>
                <c:pt idx="111">
                  <c:v>148</c:v>
                </c:pt>
                <c:pt idx="112">
                  <c:v>149</c:v>
                </c:pt>
                <c:pt idx="113">
                  <c:v>150</c:v>
                </c:pt>
                <c:pt idx="114">
                  <c:v>151</c:v>
                </c:pt>
                <c:pt idx="115">
                  <c:v>152</c:v>
                </c:pt>
                <c:pt idx="116">
                  <c:v>153</c:v>
                </c:pt>
                <c:pt idx="117">
                  <c:v>154</c:v>
                </c:pt>
                <c:pt idx="118">
                  <c:v>155</c:v>
                </c:pt>
                <c:pt idx="119">
                  <c:v>156</c:v>
                </c:pt>
                <c:pt idx="120">
                  <c:v>157</c:v>
                </c:pt>
                <c:pt idx="121">
                  <c:v>158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162</c:v>
                </c:pt>
                <c:pt idx="126">
                  <c:v>163</c:v>
                </c:pt>
                <c:pt idx="127">
                  <c:v>164</c:v>
                </c:pt>
                <c:pt idx="128">
                  <c:v>165</c:v>
                </c:pt>
                <c:pt idx="129">
                  <c:v>166</c:v>
                </c:pt>
                <c:pt idx="130">
                  <c:v>167</c:v>
                </c:pt>
                <c:pt idx="131">
                  <c:v>168</c:v>
                </c:pt>
                <c:pt idx="132">
                  <c:v>169</c:v>
                </c:pt>
                <c:pt idx="133">
                  <c:v>170</c:v>
                </c:pt>
                <c:pt idx="134">
                  <c:v>171</c:v>
                </c:pt>
                <c:pt idx="135">
                  <c:v>172</c:v>
                </c:pt>
                <c:pt idx="136">
                  <c:v>173</c:v>
                </c:pt>
                <c:pt idx="137">
                  <c:v>174</c:v>
                </c:pt>
                <c:pt idx="138">
                  <c:v>175</c:v>
                </c:pt>
                <c:pt idx="139">
                  <c:v>176</c:v>
                </c:pt>
                <c:pt idx="140">
                  <c:v>177</c:v>
                </c:pt>
              </c:numCache>
            </c:numRef>
          </c:xVal>
          <c:yVal>
            <c:numRef>
              <c:f>'Cumul_cases - LNorm'!#REF!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89-485B-94E8-12F79C292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Spain - Daily new cases (velocity)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LNorm'!$E$7</c:f>
              <c:strCache>
                <c:ptCount val="1"/>
                <c:pt idx="0">
                  <c:v>Spain daily cases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LNorm'!$E$8:$E$281</c:f>
              <c:numCache>
                <c:formatCode>General</c:formatCode>
                <c:ptCount val="274"/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</c:v>
                </c:pt>
                <c:pt idx="56">
                  <c:v>7</c:v>
                </c:pt>
                <c:pt idx="57">
                  <c:v>2</c:v>
                </c:pt>
                <c:pt idx="58">
                  <c:v>17</c:v>
                </c:pt>
                <c:pt idx="59">
                  <c:v>13</c:v>
                </c:pt>
                <c:pt idx="60">
                  <c:v>39</c:v>
                </c:pt>
                <c:pt idx="61">
                  <c:v>36</c:v>
                </c:pt>
                <c:pt idx="62">
                  <c:v>45</c:v>
                </c:pt>
                <c:pt idx="63">
                  <c:v>57</c:v>
                </c:pt>
                <c:pt idx="64">
                  <c:v>37</c:v>
                </c:pt>
                <c:pt idx="65">
                  <c:v>141</c:v>
                </c:pt>
                <c:pt idx="66">
                  <c:v>100</c:v>
                </c:pt>
                <c:pt idx="67">
                  <c:v>173</c:v>
                </c:pt>
                <c:pt idx="68">
                  <c:v>400</c:v>
                </c:pt>
                <c:pt idx="69">
                  <c:v>622</c:v>
                </c:pt>
                <c:pt idx="70">
                  <c:v>582</c:v>
                </c:pt>
                <c:pt idx="71">
                  <c:v>0</c:v>
                </c:pt>
                <c:pt idx="72">
                  <c:v>2955</c:v>
                </c:pt>
                <c:pt idx="73">
                  <c:v>1159</c:v>
                </c:pt>
                <c:pt idx="74">
                  <c:v>1407</c:v>
                </c:pt>
                <c:pt idx="75">
                  <c:v>2144</c:v>
                </c:pt>
                <c:pt idx="76">
                  <c:v>1806</c:v>
                </c:pt>
                <c:pt idx="77">
                  <c:v>2162</c:v>
                </c:pt>
                <c:pt idx="78">
                  <c:v>4053</c:v>
                </c:pt>
                <c:pt idx="79">
                  <c:v>2447</c:v>
                </c:pt>
                <c:pt idx="80">
                  <c:v>4964</c:v>
                </c:pt>
                <c:pt idx="81">
                  <c:v>3394</c:v>
                </c:pt>
                <c:pt idx="82">
                  <c:v>6368</c:v>
                </c:pt>
                <c:pt idx="83">
                  <c:v>4749</c:v>
                </c:pt>
                <c:pt idx="84">
                  <c:v>9630</c:v>
                </c:pt>
                <c:pt idx="85">
                  <c:v>8271</c:v>
                </c:pt>
                <c:pt idx="86">
                  <c:v>7933</c:v>
                </c:pt>
                <c:pt idx="87">
                  <c:v>7516</c:v>
                </c:pt>
                <c:pt idx="88">
                  <c:v>6875</c:v>
                </c:pt>
                <c:pt idx="89">
                  <c:v>7846</c:v>
                </c:pt>
                <c:pt idx="90">
                  <c:v>7967</c:v>
                </c:pt>
                <c:pt idx="91">
                  <c:v>8195</c:v>
                </c:pt>
                <c:pt idx="92">
                  <c:v>7947</c:v>
                </c:pt>
                <c:pt idx="93">
                  <c:v>7134</c:v>
                </c:pt>
                <c:pt idx="94">
                  <c:v>6969</c:v>
                </c:pt>
                <c:pt idx="95">
                  <c:v>5478</c:v>
                </c:pt>
                <c:pt idx="96">
                  <c:v>5029</c:v>
                </c:pt>
                <c:pt idx="97">
                  <c:v>5267</c:v>
                </c:pt>
                <c:pt idx="98">
                  <c:v>6278</c:v>
                </c:pt>
                <c:pt idx="99">
                  <c:v>5002</c:v>
                </c:pt>
                <c:pt idx="100">
                  <c:v>5051</c:v>
                </c:pt>
                <c:pt idx="101">
                  <c:v>4754</c:v>
                </c:pt>
                <c:pt idx="102">
                  <c:v>3804</c:v>
                </c:pt>
                <c:pt idx="103">
                  <c:v>3268</c:v>
                </c:pt>
                <c:pt idx="104">
                  <c:v>2442</c:v>
                </c:pt>
                <c:pt idx="105">
                  <c:v>5103</c:v>
                </c:pt>
                <c:pt idx="106">
                  <c:v>7304</c:v>
                </c:pt>
                <c:pt idx="107">
                  <c:v>5891</c:v>
                </c:pt>
                <c:pt idx="108">
                  <c:v>887</c:v>
                </c:pt>
                <c:pt idx="109">
                  <c:v>6948</c:v>
                </c:pt>
                <c:pt idx="110">
                  <c:v>1536</c:v>
                </c:pt>
                <c:pt idx="111">
                  <c:v>3968</c:v>
                </c:pt>
                <c:pt idx="112">
                  <c:v>4211</c:v>
                </c:pt>
                <c:pt idx="113">
                  <c:v>4635</c:v>
                </c:pt>
                <c:pt idx="114">
                  <c:v>6740</c:v>
                </c:pt>
                <c:pt idx="115">
                  <c:v>3995</c:v>
                </c:pt>
                <c:pt idx="116">
                  <c:v>2870</c:v>
                </c:pt>
                <c:pt idx="117">
                  <c:v>2793</c:v>
                </c:pt>
                <c:pt idx="118">
                  <c:v>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LNorm'!$G$7</c:f>
              <c:strCache>
                <c:ptCount val="1"/>
                <c:pt idx="0">
                  <c:v>Spain daily cases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LNorm'!$G$8:$G$281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7.9678609483227346E-58</c:v>
                </c:pt>
                <c:pt idx="35">
                  <c:v>1.5205728985505733E-35</c:v>
                </c:pt>
                <c:pt idx="36">
                  <c:v>4.4768553032989256E-26</c:v>
                </c:pt>
                <c:pt idx="37">
                  <c:v>2.0492760335062298E-20</c:v>
                </c:pt>
                <c:pt idx="38">
                  <c:v>1.557676539120464E-16</c:v>
                </c:pt>
                <c:pt idx="39">
                  <c:v>1.1554187824201693E-13</c:v>
                </c:pt>
                <c:pt idx="40">
                  <c:v>1.9542580576720066E-11</c:v>
                </c:pt>
                <c:pt idx="41">
                  <c:v>1.2027162744515017E-9</c:v>
                </c:pt>
                <c:pt idx="42">
                  <c:v>3.5722475603691846E-8</c:v>
                </c:pt>
                <c:pt idx="43">
                  <c:v>6.1460170659573527E-7</c:v>
                </c:pt>
                <c:pt idx="44">
                  <c:v>6.9347676308816645E-6</c:v>
                </c:pt>
                <c:pt idx="45">
                  <c:v>5.6028997754196503E-5</c:v>
                </c:pt>
                <c:pt idx="46">
                  <c:v>3.4564246692707845E-4</c:v>
                </c:pt>
                <c:pt idx="47">
                  <c:v>1.7084807858180932E-3</c:v>
                </c:pt>
                <c:pt idx="48">
                  <c:v>7.0215187056150118E-3</c:v>
                </c:pt>
                <c:pt idx="49">
                  <c:v>2.4697925493090144E-2</c:v>
                </c:pt>
                <c:pt idx="50">
                  <c:v>7.6084153698577198E-2</c:v>
                </c:pt>
                <c:pt idx="51">
                  <c:v>0.20911970476723316</c:v>
                </c:pt>
                <c:pt idx="52">
                  <c:v>0.52065268396359088</c:v>
                </c:pt>
                <c:pt idx="53">
                  <c:v>1.1890292674842853</c:v>
                </c:pt>
                <c:pt idx="54">
                  <c:v>2.5168940446355834</c:v>
                </c:pt>
                <c:pt idx="55">
                  <c:v>4.9817649672577309</c:v>
                </c:pt>
                <c:pt idx="56">
                  <c:v>9.2893743357339726</c:v>
                </c:pt>
                <c:pt idx="57">
                  <c:v>16.422625492289285</c:v>
                </c:pt>
                <c:pt idx="58">
                  <c:v>27.677878686693333</c:v>
                </c:pt>
                <c:pt idx="59">
                  <c:v>44.680503675591723</c:v>
                </c:pt>
                <c:pt idx="60">
                  <c:v>69.373268163815382</c:v>
                </c:pt>
                <c:pt idx="61">
                  <c:v>103.97391632122363</c:v>
                </c:pt>
                <c:pt idx="62">
                  <c:v>150.90175809924156</c:v>
                </c:pt>
                <c:pt idx="63">
                  <c:v>212.67666974944026</c:v>
                </c:pt>
                <c:pt idx="64">
                  <c:v>291.79705816051205</c:v>
                </c:pt>
                <c:pt idx="65">
                  <c:v>390.60564885777359</c:v>
                </c:pt>
                <c:pt idx="66">
                  <c:v>511.15317857873885</c:v>
                </c:pt>
                <c:pt idx="67">
                  <c:v>655.07015345726802</c:v>
                </c:pt>
                <c:pt idx="68">
                  <c:v>823.45588019314073</c:v>
                </c:pt>
                <c:pt idx="69">
                  <c:v>1016.7922136968056</c:v>
                </c:pt>
                <c:pt idx="70">
                  <c:v>1234.8871771580743</c:v>
                </c:pt>
                <c:pt idx="71">
                  <c:v>1476.851098703266</c:v>
                </c:pt>
                <c:pt idx="72">
                  <c:v>1741.1054449915209</c:v>
                </c:pt>
                <c:pt idx="73">
                  <c:v>2025.422334616442</c:v>
                </c:pt>
                <c:pt idx="74">
                  <c:v>2326.9909343419145</c:v>
                </c:pt>
                <c:pt idx="75">
                  <c:v>2642.5056616012921</c:v>
                </c:pt>
                <c:pt idx="76">
                  <c:v>2968.2703579724789</c:v>
                </c:pt>
                <c:pt idx="77">
                  <c:v>3300.312331208881</c:v>
                </c:pt>
                <c:pt idx="78">
                  <c:v>3634.5003228955043</c:v>
                </c:pt>
                <c:pt idx="79">
                  <c:v>3966.6609585455972</c:v>
                </c:pt>
                <c:pt idx="80">
                  <c:v>4292.6889818532982</c:v>
                </c:pt>
                <c:pt idx="81">
                  <c:v>4608.6474712069685</c:v>
                </c:pt>
                <c:pt idx="82">
                  <c:v>4910.8551995771786</c:v>
                </c:pt>
                <c:pt idx="83">
                  <c:v>5195.9592570829636</c:v>
                </c:pt>
                <c:pt idx="84">
                  <c:v>5460.9919531422902</c:v>
                </c:pt>
                <c:pt idx="85">
                  <c:v>5703.4118123852231</c:v>
                </c:pt>
                <c:pt idx="86">
                  <c:v>5921.1291506987436</c:v>
                </c:pt>
                <c:pt idx="87">
                  <c:v>6112.5172531984645</c:v>
                </c:pt>
                <c:pt idx="88">
                  <c:v>6276.4105735788644</c:v>
                </c:pt>
                <c:pt idx="89">
                  <c:v>6412.0916413164368</c:v>
                </c:pt>
                <c:pt idx="90">
                  <c:v>6519.2685124315667</c:v>
                </c:pt>
                <c:pt idx="91">
                  <c:v>6598.0446473270104</c:v>
                </c:pt>
                <c:pt idx="92">
                  <c:v>6648.8830636789098</c:v>
                </c:pt>
                <c:pt idx="93">
                  <c:v>6672.5665117635563</c:v>
                </c:pt>
                <c:pt idx="94">
                  <c:v>6670.1552714164445</c:v>
                </c:pt>
                <c:pt idx="95">
                  <c:v>6642.9439899023255</c:v>
                </c:pt>
                <c:pt idx="96">
                  <c:v>6592.4187821421056</c:v>
                </c:pt>
                <c:pt idx="97">
                  <c:v>6520.2156105477125</c:v>
                </c:pt>
                <c:pt idx="98">
                  <c:v>6428.0807604193878</c:v>
                </c:pt>
                <c:pt idx="99">
                  <c:v>6317.8340355287664</c:v>
                </c:pt>
                <c:pt idx="100">
                  <c:v>6191.3351222170459</c:v>
                </c:pt>
                <c:pt idx="101">
                  <c:v>6050.4534124004522</c:v>
                </c:pt>
                <c:pt idx="102">
                  <c:v>5897.0414381368118</c:v>
                </c:pt>
                <c:pt idx="103">
                  <c:v>5732.9119535054133</c:v>
                </c:pt>
                <c:pt idx="104">
                  <c:v>5559.8186031841678</c:v>
                </c:pt>
                <c:pt idx="105">
                  <c:v>5379.440040265582</c:v>
                </c:pt>
                <c:pt idx="106">
                  <c:v>5193.3672970394437</c:v>
                </c:pt>
                <c:pt idx="107">
                  <c:v>5003.0941698685765</c:v>
                </c:pt>
                <c:pt idx="108">
                  <c:v>4810.0103509165019</c:v>
                </c:pt>
                <c:pt idx="109">
                  <c:v>4615.3970233170312</c:v>
                </c:pt>
                <c:pt idx="110">
                  <c:v>4420.424630412911</c:v>
                </c:pt>
                <c:pt idx="111">
                  <c:v>4226.1525320402661</c:v>
                </c:pt>
                <c:pt idx="112">
                  <c:v>4033.5302697535976</c:v>
                </c:pt>
                <c:pt idx="113">
                  <c:v>3843.4001768018152</c:v>
                </c:pt>
                <c:pt idx="114">
                  <c:v>3656.5010861965984</c:v>
                </c:pt>
                <c:pt idx="115">
                  <c:v>3473.472910170015</c:v>
                </c:pt>
                <c:pt idx="116">
                  <c:v>3294.8618856933795</c:v>
                </c:pt>
                <c:pt idx="117">
                  <c:v>3121.1263026961396</c:v>
                </c:pt>
                <c:pt idx="118">
                  <c:v>2952.6425535153221</c:v>
                </c:pt>
                <c:pt idx="119">
                  <c:v>2789.7113634011248</c:v>
                </c:pt>
                <c:pt idx="120">
                  <c:v>2632.5640822113255</c:v>
                </c:pt>
                <c:pt idx="121">
                  <c:v>2481.3689364615088</c:v>
                </c:pt>
                <c:pt idx="122">
                  <c:v>2336.2371584737839</c:v>
                </c:pt>
                <c:pt idx="123">
                  <c:v>2197.228925371332</c:v>
                </c:pt>
                <c:pt idx="124">
                  <c:v>2064.359055053093</c:v>
                </c:pt>
                <c:pt idx="125">
                  <c:v>1937.6024190554631</c:v>
                </c:pt>
                <c:pt idx="126">
                  <c:v>1816.8990434080113</c:v>
                </c:pt>
                <c:pt idx="127">
                  <c:v>1702.1588782887195</c:v>
                </c:pt>
                <c:pt idx="128">
                  <c:v>1593.2662255735843</c:v>
                </c:pt>
                <c:pt idx="129">
                  <c:v>1490.0838203600817</c:v>
                </c:pt>
                <c:pt idx="130">
                  <c:v>1392.4565683377853</c:v>
                </c:pt>
                <c:pt idx="131">
                  <c:v>1300.2149455988288</c:v>
                </c:pt>
                <c:pt idx="132">
                  <c:v>1213.178071241771</c:v>
                </c:pt>
                <c:pt idx="133">
                  <c:v>1131.1564660377999</c:v>
                </c:pt>
                <c:pt idx="134">
                  <c:v>1053.954512606248</c:v>
                </c:pt>
                <c:pt idx="135">
                  <c:v>981.37263408792944</c:v>
                </c:pt>
                <c:pt idx="136">
                  <c:v>913.20920930354146</c:v>
                </c:pt>
                <c:pt idx="137">
                  <c:v>849.26224292655047</c:v>
                </c:pt>
                <c:pt idx="138">
                  <c:v>789.33080936189947</c:v>
                </c:pt>
                <c:pt idx="139">
                  <c:v>733.21628887403631</c:v>
                </c:pt>
                <c:pt idx="140">
                  <c:v>680.72341411044317</c:v>
                </c:pt>
                <c:pt idx="141">
                  <c:v>631.6611445741903</c:v>
                </c:pt>
                <c:pt idx="142">
                  <c:v>585.8433858577198</c:v>
                </c:pt>
                <c:pt idx="143">
                  <c:v>543.08956959988836</c:v>
                </c:pt>
                <c:pt idx="144">
                  <c:v>503.2251092033336</c:v>
                </c:pt>
                <c:pt idx="145">
                  <c:v>466.08174537853199</c:v>
                </c:pt>
                <c:pt idx="146">
                  <c:v>431.49779458743478</c:v>
                </c:pt>
                <c:pt idx="147">
                  <c:v>399.31831246371695</c:v>
                </c:pt>
                <c:pt idx="148">
                  <c:v>369.39518330330452</c:v>
                </c:pt>
                <c:pt idx="149">
                  <c:v>341.5871457608398</c:v>
                </c:pt>
                <c:pt idx="150">
                  <c:v>315.75976396446225</c:v>
                </c:pt>
                <c:pt idx="151">
                  <c:v>291.7853523798405</c:v>
                </c:pt>
                <c:pt idx="152">
                  <c:v>269.54286191969862</c:v>
                </c:pt>
                <c:pt idx="153">
                  <c:v>248.91773401072231</c:v>
                </c:pt>
                <c:pt idx="154">
                  <c:v>229.80172859720099</c:v>
                </c:pt>
                <c:pt idx="155">
                  <c:v>212.09273138111331</c:v>
                </c:pt>
                <c:pt idx="156">
                  <c:v>195.69454497095879</c:v>
                </c:pt>
                <c:pt idx="157">
                  <c:v>180.51666803584135</c:v>
                </c:pt>
                <c:pt idx="158">
                  <c:v>166.47406603522003</c:v>
                </c:pt>
                <c:pt idx="159">
                  <c:v>153.48693661645916</c:v>
                </c:pt>
                <c:pt idx="160">
                  <c:v>141.48047233951266</c:v>
                </c:pt>
                <c:pt idx="161">
                  <c:v>130.38462299810527</c:v>
                </c:pt>
                <c:pt idx="162">
                  <c:v>120.13385945695818</c:v>
                </c:pt>
                <c:pt idx="163">
                  <c:v>110.66694061226849</c:v>
                </c:pt>
                <c:pt idx="164">
                  <c:v>101.92668480488577</c:v>
                </c:pt>
                <c:pt idx="165">
                  <c:v>93.859746769834203</c:v>
                </c:pt>
                <c:pt idx="166">
                  <c:v>86.416400989262044</c:v>
                </c:pt>
                <c:pt idx="167">
                  <c:v>79.550332126057015</c:v>
                </c:pt>
                <c:pt idx="168">
                  <c:v>73.218433049791741</c:v>
                </c:pt>
                <c:pt idx="169">
                  <c:v>67.380610823037827</c:v>
                </c:pt>
                <c:pt idx="170">
                  <c:v>61.999600892245162</c:v>
                </c:pt>
                <c:pt idx="171">
                  <c:v>57.040789621333126</c:v>
                </c:pt>
                <c:pt idx="172">
                  <c:v>52.472045215928894</c:v>
                </c:pt>
                <c:pt idx="173">
                  <c:v>48.263557010167148</c:v>
                </c:pt>
                <c:pt idx="174">
                  <c:v>44.387683024458305</c:v>
                </c:pt>
                <c:pt idx="175">
                  <c:v>40.818805650221073</c:v>
                </c:pt>
                <c:pt idx="176">
                  <c:v>37.533195274926697</c:v>
                </c:pt>
                <c:pt idx="177">
                  <c:v>34.508881626683475</c:v>
                </c:pt>
                <c:pt idx="178">
                  <c:v>31.725532590928758</c:v>
                </c:pt>
                <c:pt idx="179">
                  <c:v>29.164340231596746</c:v>
                </c:pt>
                <c:pt idx="180">
                  <c:v>26.807913734515296</c:v>
                </c:pt>
                <c:pt idx="181">
                  <c:v>24.64017898095635</c:v>
                </c:pt>
                <c:pt idx="182">
                  <c:v>22.646284453518664</c:v>
                </c:pt>
                <c:pt idx="183">
                  <c:v>20.812513174238678</c:v>
                </c:pt>
                <c:pt idx="184">
                  <c:v>19.126200375442231</c:v>
                </c:pt>
                <c:pt idx="185">
                  <c:v>17.575656606881193</c:v>
                </c:pt>
                <c:pt idx="186">
                  <c:v>16.150095987721723</c:v>
                </c:pt>
                <c:pt idx="187">
                  <c:v>14.839569318573334</c:v>
                </c:pt>
                <c:pt idx="188">
                  <c:v>13.634901776663769</c:v>
                </c:pt>
                <c:pt idx="189">
                  <c:v>12.527634926173684</c:v>
                </c:pt>
                <c:pt idx="190">
                  <c:v>11.509972785401223</c:v>
                </c:pt>
                <c:pt idx="191">
                  <c:v>10.574731702644117</c:v>
                </c:pt>
                <c:pt idx="192">
                  <c:v>9.7152938032395078</c:v>
                </c:pt>
                <c:pt idx="193">
                  <c:v>8.9255637809932011</c:v>
                </c:pt>
                <c:pt idx="194">
                  <c:v>8.199928818077872</c:v>
                </c:pt>
                <c:pt idx="195">
                  <c:v>7.5332214283182486</c:v>
                </c:pt>
                <c:pt idx="196">
                  <c:v>6.9206850294960836</c:v>
                </c:pt>
                <c:pt idx="197">
                  <c:v>6.3579420608342323</c:v>
                </c:pt>
                <c:pt idx="198">
                  <c:v>5.8409644721038276</c:v>
                </c:pt>
                <c:pt idx="199">
                  <c:v>5.3660464207833511</c:v>
                </c:pt>
                <c:pt idx="200">
                  <c:v>4.9297790233600685</c:v>
                </c:pt>
                <c:pt idx="201">
                  <c:v>4.5290270161628454</c:v>
                </c:pt>
                <c:pt idx="202">
                  <c:v>4.1609071900478725</c:v>
                </c:pt>
                <c:pt idx="203">
                  <c:v>3.8227684717934807</c:v>
                </c:pt>
                <c:pt idx="204">
                  <c:v>3.5121735332095523</c:v>
                </c:pt>
                <c:pt idx="205">
                  <c:v>3.2268818167133615</c:v>
                </c:pt>
                <c:pt idx="206">
                  <c:v>2.9648338734785433</c:v>
                </c:pt>
                <c:pt idx="207">
                  <c:v>2.7241369172273018</c:v>
                </c:pt>
                <c:pt idx="208">
                  <c:v>2.5030515033167084</c:v>
                </c:pt>
                <c:pt idx="209">
                  <c:v>2.2999792489783486</c:v>
                </c:pt>
                <c:pt idx="210">
                  <c:v>2.1134515164166685</c:v>
                </c:pt>
                <c:pt idx="211">
                  <c:v>1.9421189859676919</c:v>
                </c:pt>
                <c:pt idx="212">
                  <c:v>1.7847420516804255</c:v>
                </c:pt>
                <c:pt idx="213">
                  <c:v>1.6401819765220238</c:v>
                </c:pt>
                <c:pt idx="214">
                  <c:v>1.5073927489377104</c:v>
                </c:pt>
                <c:pt idx="215">
                  <c:v>1.3854135867341484</c:v>
                </c:pt>
                <c:pt idx="216">
                  <c:v>1.2733620382137607</c:v>
                </c:pt>
                <c:pt idx="217">
                  <c:v>1.170427634181652</c:v>
                </c:pt>
                <c:pt idx="218">
                  <c:v>1.0758660478917694</c:v>
                </c:pt>
                <c:pt idx="219" formatCode="0.000000000">
                  <c:v>0.98899372320751844</c:v>
                </c:pt>
                <c:pt idx="220">
                  <c:v>0.90918293423861296</c:v>
                </c:pt>
                <c:pt idx="221">
                  <c:v>0.83585724249322391</c:v>
                </c:pt>
                <c:pt idx="222">
                  <c:v>0.76848732016495958</c:v>
                </c:pt>
                <c:pt idx="223">
                  <c:v>0.70658711057125556</c:v>
                </c:pt>
                <c:pt idx="224">
                  <c:v>0.64971029898300414</c:v>
                </c:pt>
                <c:pt idx="225">
                  <c:v>0.59744706914801915</c:v>
                </c:pt>
                <c:pt idx="226">
                  <c:v>0.54942112272177901</c:v>
                </c:pt>
                <c:pt idx="227">
                  <c:v>0.50528694058973833</c:v>
                </c:pt>
                <c:pt idx="228">
                  <c:v>0.46472726670408215</c:v>
                </c:pt>
                <c:pt idx="229">
                  <c:v>0.42745079657445401</c:v>
                </c:pt>
                <c:pt idx="230">
                  <c:v>0.39319005395464368</c:v>
                </c:pt>
                <c:pt idx="231">
                  <c:v>0.36169944056370762</c:v>
                </c:pt>
                <c:pt idx="232">
                  <c:v>0.33275344487782954</c:v>
                </c:pt>
                <c:pt idx="233">
                  <c:v>0.30614499713581039</c:v>
                </c:pt>
                <c:pt idx="234">
                  <c:v>0.28168395872239677</c:v>
                </c:pt>
                <c:pt idx="235">
                  <c:v>0.2591957350365251</c:v>
                </c:pt>
                <c:pt idx="236">
                  <c:v>0.2385200018212025</c:v>
                </c:pt>
                <c:pt idx="237">
                  <c:v>0.21950953573395698</c:v>
                </c:pt>
                <c:pt idx="238">
                  <c:v>0.20202914067618258</c:v>
                </c:pt>
                <c:pt idx="239">
                  <c:v>0.18595466208146982</c:v>
                </c:pt>
                <c:pt idx="240">
                  <c:v>0.17117208199087416</c:v>
                </c:pt>
                <c:pt idx="241">
                  <c:v>0.15757668832173449</c:v>
                </c:pt>
                <c:pt idx="242">
                  <c:v>0.14507231226931672</c:v>
                </c:pt>
                <c:pt idx="243">
                  <c:v>0.13357062827114596</c:v>
                </c:pt>
                <c:pt idx="244">
                  <c:v>0.12299051141529249</c:v>
                </c:pt>
                <c:pt idx="245">
                  <c:v>0.11325744758948496</c:v>
                </c:pt>
                <c:pt idx="246">
                  <c:v>0.10430299205011626</c:v>
                </c:pt>
                <c:pt idx="247">
                  <c:v>9.6064272441913623E-2</c:v>
                </c:pt>
                <c:pt idx="248">
                  <c:v>8.8483532622466665E-2</c:v>
                </c:pt>
                <c:pt idx="249">
                  <c:v>8.1507713943152163E-2</c:v>
                </c:pt>
                <c:pt idx="250">
                  <c:v>7.5088070911514079E-2</c:v>
                </c:pt>
                <c:pt idx="251">
                  <c:v>6.9179818411394076E-2</c:v>
                </c:pt>
                <c:pt idx="252">
                  <c:v>6.3741807888183788E-2</c:v>
                </c:pt>
                <c:pt idx="253">
                  <c:v>5.8736230118841451E-2</c:v>
                </c:pt>
                <c:pt idx="254">
                  <c:v>5.4128342381332982E-2</c:v>
                </c:pt>
                <c:pt idx="255">
                  <c:v>4.9886218017413941E-2</c:v>
                </c:pt>
                <c:pt idx="256">
                  <c:v>4.5980516547241605E-2</c:v>
                </c:pt>
                <c:pt idx="257">
                  <c:v>4.238427264552283E-2</c:v>
                </c:pt>
                <c:pt idx="258">
                  <c:v>3.9072702427752778E-2</c:v>
                </c:pt>
                <c:pt idx="259">
                  <c:v>3.6023025622639489E-2</c:v>
                </c:pt>
                <c:pt idx="260">
                  <c:v>3.321430232386656E-2</c:v>
                </c:pt>
                <c:pt idx="261">
                  <c:v>3.0627283121882207E-2</c:v>
                </c:pt>
                <c:pt idx="262">
                  <c:v>2.8244271515071286E-2</c:v>
                </c:pt>
                <c:pt idx="263">
                  <c:v>2.6048997590300632E-2</c:v>
                </c:pt>
                <c:pt idx="264">
                  <c:v>2.4026502045961358E-2</c:v>
                </c:pt>
                <c:pt idx="265">
                  <c:v>2.2163029707005188E-2</c:v>
                </c:pt>
                <c:pt idx="266">
                  <c:v>2.044593175149851E-2</c:v>
                </c:pt>
                <c:pt idx="267">
                  <c:v>1.8863575932554749E-2</c:v>
                </c:pt>
                <c:pt idx="268">
                  <c:v>1.7405264138487388E-2</c:v>
                </c:pt>
                <c:pt idx="269">
                  <c:v>1.6061156688197829E-2</c:v>
                </c:pt>
                <c:pt idx="270">
                  <c:v>1.4822202808498329E-2</c:v>
                </c:pt>
                <c:pt idx="271">
                  <c:v>1.3680076785664375E-2</c:v>
                </c:pt>
                <c:pt idx="272">
                  <c:v>1.2627119325359459E-2</c:v>
                </c:pt>
                <c:pt idx="273">
                  <c:v>1.1656283693454292E-2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51-49D9-8412-5154FB7D0D89}"/>
            </c:ext>
          </c:extLst>
        </c:ser>
        <c:ser>
          <c:idx val="3"/>
          <c:order val="2"/>
          <c:tx>
            <c:strRef>
              <c:f>'New_cases - LNorm'!$J$7</c:f>
              <c:strCache>
                <c:ptCount val="1"/>
                <c:pt idx="0">
                  <c:v>Upper CI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LNorm'!$J$55:$J$281</c:f>
              <c:numCache>
                <c:formatCode>General</c:formatCode>
                <c:ptCount val="227"/>
                <c:pt idx="0">
                  <c:v>2342.6901261618787</c:v>
                </c:pt>
                <c:pt idx="1">
                  <c:v>2342.6954391997983</c:v>
                </c:pt>
                <c:pt idx="2">
                  <c:v>2342.7131156065857</c:v>
                </c:pt>
                <c:pt idx="3">
                  <c:v>2342.7645018347912</c:v>
                </c:pt>
                <c:pt idx="4">
                  <c:v>2342.8975373858598</c:v>
                </c:pt>
                <c:pt idx="5">
                  <c:v>2343.2090703650565</c:v>
                </c:pt>
                <c:pt idx="6">
                  <c:v>2343.877446948577</c:v>
                </c:pt>
                <c:pt idx="7">
                  <c:v>2345.2053117257283</c:v>
                </c:pt>
                <c:pt idx="8">
                  <c:v>2347.6701826483504</c:v>
                </c:pt>
                <c:pt idx="9">
                  <c:v>2351.9777920168267</c:v>
                </c:pt>
                <c:pt idx="10">
                  <c:v>2359.1110431733819</c:v>
                </c:pt>
                <c:pt idx="11">
                  <c:v>2370.3662963677862</c:v>
                </c:pt>
                <c:pt idx="12">
                  <c:v>2387.3689213566845</c:v>
                </c:pt>
                <c:pt idx="13">
                  <c:v>2412.061685844908</c:v>
                </c:pt>
                <c:pt idx="14">
                  <c:v>2446.6623340023161</c:v>
                </c:pt>
                <c:pt idx="15">
                  <c:v>2493.5901757803344</c:v>
                </c:pt>
                <c:pt idx="16">
                  <c:v>2555.3650874305331</c:v>
                </c:pt>
                <c:pt idx="17">
                  <c:v>2634.485475841605</c:v>
                </c:pt>
                <c:pt idx="18">
                  <c:v>2733.2940665388664</c:v>
                </c:pt>
                <c:pt idx="19">
                  <c:v>2853.8415962598315</c:v>
                </c:pt>
                <c:pt idx="20">
                  <c:v>2997.7585711383608</c:v>
                </c:pt>
                <c:pt idx="21">
                  <c:v>3166.1442978742334</c:v>
                </c:pt>
                <c:pt idx="22">
                  <c:v>3359.4806313778981</c:v>
                </c:pt>
                <c:pt idx="23">
                  <c:v>3577.575594839167</c:v>
                </c:pt>
                <c:pt idx="24">
                  <c:v>3819.5395163843586</c:v>
                </c:pt>
                <c:pt idx="25">
                  <c:v>4083.7938626726136</c:v>
                </c:pt>
                <c:pt idx="26">
                  <c:v>4368.1107522975344</c:v>
                </c:pt>
                <c:pt idx="27">
                  <c:v>4669.6793520230076</c:v>
                </c:pt>
                <c:pt idx="28">
                  <c:v>4985.1940792823843</c:v>
                </c:pt>
                <c:pt idx="29">
                  <c:v>5310.9587756535711</c:v>
                </c:pt>
                <c:pt idx="30">
                  <c:v>5643.0007488899737</c:v>
                </c:pt>
                <c:pt idx="31">
                  <c:v>5977.1887405765974</c:v>
                </c:pt>
                <c:pt idx="32">
                  <c:v>6309.3493762266899</c:v>
                </c:pt>
                <c:pt idx="33">
                  <c:v>6635.3773995343909</c:v>
                </c:pt>
                <c:pt idx="34">
                  <c:v>6951.3358888880612</c:v>
                </c:pt>
                <c:pt idx="35">
                  <c:v>7253.5436172582713</c:v>
                </c:pt>
                <c:pt idx="36">
                  <c:v>7538.6476747640563</c:v>
                </c:pt>
                <c:pt idx="37">
                  <c:v>7803.6803708233829</c:v>
                </c:pt>
                <c:pt idx="38">
                  <c:v>8046.1002300663158</c:v>
                </c:pt>
                <c:pt idx="39">
                  <c:v>8263.8175683798363</c:v>
                </c:pt>
                <c:pt idx="40">
                  <c:v>8455.2056708795571</c:v>
                </c:pt>
                <c:pt idx="41">
                  <c:v>8619.098991259958</c:v>
                </c:pt>
                <c:pt idx="42">
                  <c:v>8754.7800589975304</c:v>
                </c:pt>
                <c:pt idx="43">
                  <c:v>8861.9569301126594</c:v>
                </c:pt>
                <c:pt idx="44">
                  <c:v>8940.7330650081021</c:v>
                </c:pt>
                <c:pt idx="45">
                  <c:v>8991.5714813600025</c:v>
                </c:pt>
                <c:pt idx="46">
                  <c:v>9015.254929444649</c:v>
                </c:pt>
                <c:pt idx="47">
                  <c:v>9012.8436890975372</c:v>
                </c:pt>
                <c:pt idx="48">
                  <c:v>8985.6324075834182</c:v>
                </c:pt>
                <c:pt idx="49">
                  <c:v>8935.1071998231982</c:v>
                </c:pt>
                <c:pt idx="50">
                  <c:v>8862.9040282288042</c:v>
                </c:pt>
                <c:pt idx="51">
                  <c:v>8770.7691781004796</c:v>
                </c:pt>
                <c:pt idx="52">
                  <c:v>8660.5224532098582</c:v>
                </c:pt>
                <c:pt idx="53">
                  <c:v>8534.0235398981386</c:v>
                </c:pt>
                <c:pt idx="54">
                  <c:v>8393.1418300815458</c:v>
                </c:pt>
                <c:pt idx="55">
                  <c:v>8239.7298558179045</c:v>
                </c:pt>
                <c:pt idx="56">
                  <c:v>8075.600371186506</c:v>
                </c:pt>
                <c:pt idx="57">
                  <c:v>7902.5070208652605</c:v>
                </c:pt>
                <c:pt idx="58">
                  <c:v>7722.1284579466746</c:v>
                </c:pt>
                <c:pt idx="59">
                  <c:v>7536.0557147205363</c:v>
                </c:pt>
                <c:pt idx="60">
                  <c:v>7345.7825875496692</c:v>
                </c:pt>
                <c:pt idx="61">
                  <c:v>7152.6987685975946</c:v>
                </c:pt>
                <c:pt idx="62">
                  <c:v>6958.0854409981239</c:v>
                </c:pt>
                <c:pt idx="63">
                  <c:v>6763.1130480940037</c:v>
                </c:pt>
                <c:pt idx="64">
                  <c:v>6568.8409497213588</c:v>
                </c:pt>
                <c:pt idx="65">
                  <c:v>6376.2186874346899</c:v>
                </c:pt>
                <c:pt idx="66">
                  <c:v>6186.0885944829079</c:v>
                </c:pt>
                <c:pt idx="67">
                  <c:v>5999.1895038776911</c:v>
                </c:pt>
                <c:pt idx="68">
                  <c:v>5816.1613278511077</c:v>
                </c:pt>
                <c:pt idx="69">
                  <c:v>5637.5503033744717</c:v>
                </c:pt>
                <c:pt idx="70">
                  <c:v>5463.8147203772323</c:v>
                </c:pt>
                <c:pt idx="71">
                  <c:v>5295.3309711964148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51-49D9-8412-5154FB7D0D89}"/>
            </c:ext>
          </c:extLst>
        </c:ser>
        <c:ser>
          <c:idx val="2"/>
          <c:order val="3"/>
          <c:tx>
            <c:strRef>
              <c:f>'New_cases - LNorm'!$K$7</c:f>
              <c:strCache>
                <c:ptCount val="1"/>
                <c:pt idx="0">
                  <c:v>Lower CI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LNorm'!$K$55:$K$281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299.81724392019942</c:v>
                </c:pt>
                <c:pt idx="29">
                  <c:v>625.58194029138622</c:v>
                </c:pt>
                <c:pt idx="30">
                  <c:v>957.62391352778832</c:v>
                </c:pt>
                <c:pt idx="31">
                  <c:v>1291.8119052144116</c:v>
                </c:pt>
                <c:pt idx="32">
                  <c:v>1623.9725408645045</c:v>
                </c:pt>
                <c:pt idx="33">
                  <c:v>1950.0005641722055</c:v>
                </c:pt>
                <c:pt idx="34">
                  <c:v>2265.9590535258758</c:v>
                </c:pt>
                <c:pt idx="35">
                  <c:v>2568.1667818960859</c:v>
                </c:pt>
                <c:pt idx="36">
                  <c:v>2853.2708394018709</c:v>
                </c:pt>
                <c:pt idx="37">
                  <c:v>3118.3035354611975</c:v>
                </c:pt>
                <c:pt idx="38">
                  <c:v>3360.7233947041304</c:v>
                </c:pt>
                <c:pt idx="39">
                  <c:v>3578.4407330176509</c:v>
                </c:pt>
                <c:pt idx="40">
                  <c:v>3769.8288355173718</c:v>
                </c:pt>
                <c:pt idx="41">
                  <c:v>3933.7221558977717</c:v>
                </c:pt>
                <c:pt idx="42">
                  <c:v>4069.4032236353441</c:v>
                </c:pt>
                <c:pt idx="43">
                  <c:v>4176.580094750474</c:v>
                </c:pt>
                <c:pt idx="44">
                  <c:v>4255.3562296459177</c:v>
                </c:pt>
                <c:pt idx="45">
                  <c:v>4306.1946459978171</c:v>
                </c:pt>
                <c:pt idx="46">
                  <c:v>4329.8780940824636</c:v>
                </c:pt>
                <c:pt idx="47">
                  <c:v>4327.4668537353518</c:v>
                </c:pt>
                <c:pt idx="48">
                  <c:v>4300.2555722212328</c:v>
                </c:pt>
                <c:pt idx="49">
                  <c:v>4249.7303644610129</c:v>
                </c:pt>
                <c:pt idx="50">
                  <c:v>4177.5271928666198</c:v>
                </c:pt>
                <c:pt idx="51">
                  <c:v>4085.3923427382952</c:v>
                </c:pt>
                <c:pt idx="52">
                  <c:v>3975.1456178476737</c:v>
                </c:pt>
                <c:pt idx="53">
                  <c:v>3848.6467045359532</c:v>
                </c:pt>
                <c:pt idx="54">
                  <c:v>3707.7649947193595</c:v>
                </c:pt>
                <c:pt idx="55">
                  <c:v>3554.3530204557192</c:v>
                </c:pt>
                <c:pt idx="56">
                  <c:v>3390.2235358243206</c:v>
                </c:pt>
                <c:pt idx="57">
                  <c:v>3217.1301855030752</c:v>
                </c:pt>
                <c:pt idx="58">
                  <c:v>3036.7516225844893</c:v>
                </c:pt>
                <c:pt idx="59">
                  <c:v>2850.678879358351</c:v>
                </c:pt>
                <c:pt idx="60">
                  <c:v>2660.4057521874838</c:v>
                </c:pt>
                <c:pt idx="61">
                  <c:v>2467.3219332354092</c:v>
                </c:pt>
                <c:pt idx="62">
                  <c:v>2272.7086056359385</c:v>
                </c:pt>
                <c:pt idx="63">
                  <c:v>2077.7362127318183</c:v>
                </c:pt>
                <c:pt idx="64">
                  <c:v>1883.4641143591734</c:v>
                </c:pt>
                <c:pt idx="65">
                  <c:v>1690.8418520725049</c:v>
                </c:pt>
                <c:pt idx="66">
                  <c:v>1500.7117591207225</c:v>
                </c:pt>
                <c:pt idx="67">
                  <c:v>1313.8126685155057</c:v>
                </c:pt>
                <c:pt idx="68">
                  <c:v>1130.7844924889223</c:v>
                </c:pt>
                <c:pt idx="69">
                  <c:v>952.17346801228678</c:v>
                </c:pt>
                <c:pt idx="70">
                  <c:v>778.43788501504696</c:v>
                </c:pt>
                <c:pt idx="71">
                  <c:v>609.95413583422942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779890344030938"/>
          <c:y val="0.20573317041562389"/>
          <c:w val="0.32687529757652334"/>
          <c:h val="0.3337666398904302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Lombardy -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Accumulative cases (displacement)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LNorm'!$V$7</c:f>
              <c:strCache>
                <c:ptCount val="1"/>
                <c:pt idx="0">
                  <c:v>rest of Italy cum.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LNorm'!$V$8:$V$184</c:f>
              <c:numCache>
                <c:formatCode>0</c:formatCode>
                <c:ptCount val="177"/>
                <c:pt idx="54">
                  <c:v>2</c:v>
                </c:pt>
                <c:pt idx="55">
                  <c:v>6</c:v>
                </c:pt>
                <c:pt idx="56">
                  <c:v>13</c:v>
                </c:pt>
                <c:pt idx="57">
                  <c:v>15</c:v>
                </c:pt>
                <c:pt idx="58">
                  <c:v>32</c:v>
                </c:pt>
                <c:pt idx="59">
                  <c:v>45</c:v>
                </c:pt>
                <c:pt idx="60">
                  <c:v>84</c:v>
                </c:pt>
                <c:pt idx="61">
                  <c:v>120</c:v>
                </c:pt>
                <c:pt idx="62">
                  <c:v>165</c:v>
                </c:pt>
                <c:pt idx="63">
                  <c:v>222</c:v>
                </c:pt>
                <c:pt idx="64">
                  <c:v>259</c:v>
                </c:pt>
                <c:pt idx="65">
                  <c:v>400</c:v>
                </c:pt>
                <c:pt idx="66">
                  <c:v>500</c:v>
                </c:pt>
                <c:pt idx="67">
                  <c:v>673</c:v>
                </c:pt>
                <c:pt idx="68">
                  <c:v>1073</c:v>
                </c:pt>
                <c:pt idx="69">
                  <c:v>1695</c:v>
                </c:pt>
                <c:pt idx="70">
                  <c:v>2277</c:v>
                </c:pt>
                <c:pt idx="71">
                  <c:v>2277</c:v>
                </c:pt>
                <c:pt idx="72">
                  <c:v>5232</c:v>
                </c:pt>
                <c:pt idx="73">
                  <c:v>6391</c:v>
                </c:pt>
                <c:pt idx="74">
                  <c:v>7798</c:v>
                </c:pt>
                <c:pt idx="75">
                  <c:v>9942</c:v>
                </c:pt>
                <c:pt idx="76">
                  <c:v>11748</c:v>
                </c:pt>
                <c:pt idx="77">
                  <c:v>13910</c:v>
                </c:pt>
                <c:pt idx="78">
                  <c:v>17963</c:v>
                </c:pt>
                <c:pt idx="79">
                  <c:v>20410</c:v>
                </c:pt>
                <c:pt idx="80">
                  <c:v>25374</c:v>
                </c:pt>
                <c:pt idx="81">
                  <c:v>28768</c:v>
                </c:pt>
                <c:pt idx="82">
                  <c:v>35136</c:v>
                </c:pt>
                <c:pt idx="83">
                  <c:v>39885</c:v>
                </c:pt>
                <c:pt idx="84">
                  <c:v>49515</c:v>
                </c:pt>
                <c:pt idx="85">
                  <c:v>57786</c:v>
                </c:pt>
                <c:pt idx="86">
                  <c:v>65719</c:v>
                </c:pt>
                <c:pt idx="87">
                  <c:v>73235</c:v>
                </c:pt>
                <c:pt idx="88">
                  <c:v>80110</c:v>
                </c:pt>
                <c:pt idx="89">
                  <c:v>87956</c:v>
                </c:pt>
                <c:pt idx="90">
                  <c:v>95923</c:v>
                </c:pt>
                <c:pt idx="91">
                  <c:v>104118</c:v>
                </c:pt>
                <c:pt idx="92">
                  <c:v>112065</c:v>
                </c:pt>
                <c:pt idx="93">
                  <c:v>119199</c:v>
                </c:pt>
                <c:pt idx="94">
                  <c:v>126168</c:v>
                </c:pt>
                <c:pt idx="95">
                  <c:v>131646</c:v>
                </c:pt>
                <c:pt idx="96">
                  <c:v>136675</c:v>
                </c:pt>
                <c:pt idx="97">
                  <c:v>141942</c:v>
                </c:pt>
                <c:pt idx="98">
                  <c:v>148220</c:v>
                </c:pt>
                <c:pt idx="99">
                  <c:v>153222</c:v>
                </c:pt>
                <c:pt idx="100">
                  <c:v>158273</c:v>
                </c:pt>
                <c:pt idx="101">
                  <c:v>163027</c:v>
                </c:pt>
                <c:pt idx="102">
                  <c:v>166831</c:v>
                </c:pt>
                <c:pt idx="103">
                  <c:v>170099</c:v>
                </c:pt>
                <c:pt idx="104">
                  <c:v>172541</c:v>
                </c:pt>
                <c:pt idx="105">
                  <c:v>177644</c:v>
                </c:pt>
                <c:pt idx="106">
                  <c:v>184948</c:v>
                </c:pt>
                <c:pt idx="107">
                  <c:v>190839</c:v>
                </c:pt>
                <c:pt idx="108">
                  <c:v>191726</c:v>
                </c:pt>
                <c:pt idx="109">
                  <c:v>198674</c:v>
                </c:pt>
                <c:pt idx="110">
                  <c:v>200210</c:v>
                </c:pt>
                <c:pt idx="111">
                  <c:v>204178</c:v>
                </c:pt>
                <c:pt idx="112">
                  <c:v>208389</c:v>
                </c:pt>
                <c:pt idx="113">
                  <c:v>213024</c:v>
                </c:pt>
                <c:pt idx="114">
                  <c:v>219764</c:v>
                </c:pt>
                <c:pt idx="115">
                  <c:v>223759</c:v>
                </c:pt>
                <c:pt idx="116">
                  <c:v>226629</c:v>
                </c:pt>
                <c:pt idx="117">
                  <c:v>229422</c:v>
                </c:pt>
                <c:pt idx="118">
                  <c:v>232128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LNorm'!$Y$7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LNorm'!$Y$8:$Y$184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 formatCode="General">
                  <c:v>14.472768060535266</c:v>
                </c:pt>
                <c:pt idx="55" formatCode="General">
                  <c:v>28.540319273609629</c:v>
                </c:pt>
                <c:pt idx="56" formatCode="General">
                  <c:v>52.855278634221321</c:v>
                </c:pt>
                <c:pt idx="57" formatCode="General">
                  <c:v>92.643298386472409</c:v>
                </c:pt>
                <c:pt idx="58" formatCode="General">
                  <c:v>154.69135092058042</c:v>
                </c:pt>
                <c:pt idx="59" formatCode="General">
                  <c:v>247.42222963734693</c:v>
                </c:pt>
                <c:pt idx="60" formatCode="General">
                  <c:v>380.86663026803939</c:v>
                </c:pt>
                <c:pt idx="61" formatCode="General">
                  <c:v>566.52661474504566</c:v>
                </c:pt>
                <c:pt idx="62" formatCode="General">
                  <c:v>817.13509237138612</c:v>
                </c:pt>
                <c:pt idx="63" formatCode="General">
                  <c:v>1146.3254735417293</c:v>
                </c:pt>
                <c:pt idx="64" formatCode="General">
                  <c:v>1568.2328388552471</c:v>
                </c:pt>
                <c:pt idx="65" formatCode="General">
                  <c:v>2097.0523245860077</c:v>
                </c:pt>
                <c:pt idx="66" formatCode="General">
                  <c:v>2746.5819261065622</c:v>
                </c:pt>
                <c:pt idx="67" formatCode="General">
                  <c:v>3529.7758891787362</c:v>
                </c:pt>
                <c:pt idx="68" formatCode="General">
                  <c:v>4458.3318388133321</c:v>
                </c:pt>
                <c:pt idx="69" formatCode="General">
                  <c:v>5542.3304236886052</c:v>
                </c:pt>
                <c:pt idx="70" formatCode="General">
                  <c:v>6789.9411612720642</c:v>
                </c:pt>
                <c:pt idx="71" formatCode="General">
                  <c:v>8207.2029099055053</c:v>
                </c:pt>
                <c:pt idx="72" formatCode="General">
                  <c:v>9797.8824105135063</c:v>
                </c:pt>
                <c:pt idx="73" formatCode="General">
                  <c:v>11563.409946216672</c:v>
                </c:pt>
                <c:pt idx="74" formatCode="General">
                  <c:v>13502.887554047407</c:v>
                </c:pt>
                <c:pt idx="75" formatCode="General">
                  <c:v>15613.162473367664</c:v>
                </c:pt>
                <c:pt idx="76" formatCode="General">
                  <c:v>17888.956629534136</c:v>
                </c:pt>
                <c:pt idx="77" formatCode="General">
                  <c:v>20323.041866037074</c:v>
                </c:pt>
                <c:pt idx="78" formatCode="General">
                  <c:v>22906.450250895345</c:v>
                </c:pt>
                <c:pt idx="79" formatCode="General">
                  <c:v>25628.708969359228</c:v>
                </c:pt>
                <c:pt idx="80" formatCode="General">
                  <c:v>28478.089944348303</c:v>
                </c:pt>
                <c:pt idx="81" formatCode="General">
                  <c:v>31441.865272423573</c:v>
                </c:pt>
                <c:pt idx="82" formatCode="General">
                  <c:v>34506.560712151368</c:v>
                </c:pt>
                <c:pt idx="83" formatCode="General">
                  <c:v>37658.20071523654</c:v>
                </c:pt>
                <c:pt idx="84" formatCode="General">
                  <c:v>40882.539768465918</c:v>
                </c:pt>
                <c:pt idx="85" formatCode="General">
                  <c:v>44165.276053994246</c:v>
                </c:pt>
                <c:pt idx="86" formatCode="General">
                  <c:v>47492.244591342511</c:v>
                </c:pt>
                <c:pt idx="87" formatCode="General">
                  <c:v>50849.58806611818</c:v>
                </c:pt>
                <c:pt idx="88" formatCode="General">
                  <c:v>54223.904460029429</c:v>
                </c:pt>
                <c:pt idx="89" formatCode="General">
                  <c:v>57602.371366640451</c:v>
                </c:pt>
                <c:pt idx="90" formatCode="General">
                  <c:v>60972.847507879022</c:v>
                </c:pt>
                <c:pt idx="91" formatCode="General">
                  <c:v>64323.952463805501</c:v>
                </c:pt>
                <c:pt idx="92" formatCode="General">
                  <c:v>67645.126002901379</c:v>
                </c:pt>
                <c:pt idx="93" formatCode="General">
                  <c:v>70926.668664974175</c:v>
                </c:pt>
                <c:pt idx="94" formatCode="General">
                  <c:v>74159.765417855233</c:v>
                </c:pt>
                <c:pt idx="95" formatCode="General">
                  <c:v>77336.494296891717</c:v>
                </c:pt>
                <c:pt idx="96" formatCode="General">
                  <c:v>80449.821956939806</c:v>
                </c:pt>
                <c:pt idx="97" formatCode="General">
                  <c:v>83493.588033471126</c:v>
                </c:pt>
                <c:pt idx="98" formatCode="General">
                  <c:v>86462.480134613143</c:v>
                </c:pt>
                <c:pt idx="99" formatCode="General">
                  <c:v>89352.001180257022</c:v>
                </c:pt>
                <c:pt idx="100" formatCode="General">
                  <c:v>92158.430677105629</c:v>
                </c:pt>
                <c:pt idx="101" formatCode="General">
                  <c:v>94878.781377666935</c:v>
                </c:pt>
                <c:pt idx="102" formatCode="General">
                  <c:v>97510.752623245149</c:v>
                </c:pt>
                <c:pt idx="103" formatCode="General">
                  <c:v>100052.68152131849</c:v>
                </c:pt>
                <c:pt idx="104" formatCode="General">
                  <c:v>102503.49296044245</c:v>
                </c:pt>
                <c:pt idx="105" formatCode="General">
                  <c:v>104862.64932420803</c:v>
                </c:pt>
                <c:pt idx="106" formatCode="General">
                  <c:v>107130.10063210889</c:v>
                </c:pt>
                <c:pt idx="107" formatCode="General">
                  <c:v>109306.23571102909</c:v>
                </c:pt>
                <c:pt idx="108" formatCode="General">
                  <c:v>111391.83488743517</c:v>
                </c:pt>
                <c:pt idx="109" formatCode="General">
                  <c:v>113388.02458773604</c:v>
                </c:pt>
                <c:pt idx="110" formatCode="General">
                  <c:v>115296.23414275379</c:v>
                </c:pt>
                <c:pt idx="111" formatCode="General">
                  <c:v>117118.15501163721</c:v>
                </c:pt>
                <c:pt idx="112" formatCode="General">
                  <c:v>118855.70257040823</c:v>
                </c:pt>
                <c:pt idx="113" formatCode="General">
                  <c:v>120510.9805500728</c:v>
                </c:pt>
                <c:pt idx="114" formatCode="General">
                  <c:v>122086.24815815724</c:v>
                </c:pt>
                <c:pt idx="115" formatCode="General">
                  <c:v>123583.88987487515</c:v>
                </c:pt>
                <c:pt idx="116" formatCode="General">
                  <c:v>125006.38788010621</c:v>
                </c:pt>
                <c:pt idx="117" formatCode="General">
                  <c:v>126356.29703916883</c:v>
                </c:pt>
                <c:pt idx="118" formatCode="General">
                  <c:v>127636.22235321964</c:v>
                </c:pt>
                <c:pt idx="119" formatCode="General">
                  <c:v>128848.7987632664</c:v>
                </c:pt>
                <c:pt idx="120" formatCode="General">
                  <c:v>129996.67318453532</c:v>
                </c:pt>
                <c:pt idx="121" formatCode="General">
                  <c:v>131082.48863962723</c:v>
                </c:pt>
                <c:pt idx="122" formatCode="General">
                  <c:v>132108.87035394527</c:v>
                </c:pt>
                <c:pt idx="123" formatCode="General">
                  <c:v>133078.41367472205</c:v>
                </c:pt>
                <c:pt idx="124" formatCode="General">
                  <c:v>133993.67367513973</c:v>
                </c:pt>
                <c:pt idx="125" formatCode="General">
                  <c:v>134857.15630708213</c:v>
                </c:pt>
                <c:pt idx="126" formatCode="General">
                  <c:v>135671.31096960977</c:v>
                </c:pt>
                <c:pt idx="127" formatCode="General">
                  <c:v>136438.52436496739</c:v>
                </c:pt>
                <c:pt idx="128" formatCode="General">
                  <c:v>137161.11551953363</c:v>
                </c:pt>
                <c:pt idx="129" formatCode="General">
                  <c:v>137841.33185336328</c:v>
                </c:pt>
                <c:pt idx="130" formatCode="General">
                  <c:v>138481.34618863615</c:v>
                </c:pt>
                <c:pt idx="131" formatCode="General">
                  <c:v>139083.25459424485</c:v>
                </c:pt>
                <c:pt idx="132" formatCode="General">
                  <c:v>139649.07497077979</c:v>
                </c:pt>
                <c:pt idx="133" formatCode="General">
                  <c:v>140180.74628718375</c:v>
                </c:pt>
                <c:pt idx="134" formatCode="General">
                  <c:v>140680.12838725458</c:v>
                </c:pt>
                <c:pt idx="135" formatCode="General">
                  <c:v>141149.00229090173</c:v>
                </c:pt>
                <c:pt idx="136" formatCode="General">
                  <c:v>141589.07092154451</c:v>
                </c:pt>
                <c:pt idx="137" formatCode="General">
                  <c:v>142001.96019724241</c:v>
                </c:pt>
                <c:pt idx="138" formatCode="General">
                  <c:v>142389.22042903272</c:v>
                </c:pt>
                <c:pt idx="139" formatCode="General">
                  <c:v>142752.32797550212</c:v>
                </c:pt>
                <c:pt idx="140" formatCode="General">
                  <c:v>143092.68710782341</c:v>
                </c:pt>
                <c:pt idx="141" formatCode="General">
                  <c:v>143411.63204434121</c:v>
                </c:pt>
                <c:pt idx="142" formatCode="General">
                  <c:v>143710.42911829479</c:v>
                </c:pt>
                <c:pt idx="143" formatCode="General">
                  <c:v>143990.27904642586</c:v>
                </c:pt>
                <c:pt idx="144" formatCode="General">
                  <c:v>144252.31927004526</c:v>
                </c:pt>
                <c:pt idx="145" formatCode="General">
                  <c:v>144497.62634363666</c:v>
                </c:pt>
                <c:pt idx="146" formatCode="General">
                  <c:v>144727.218349273</c:v>
                </c:pt>
                <c:pt idx="147" formatCode="General">
                  <c:v>144942.05731802669</c:v>
                </c:pt>
                <c:pt idx="148" formatCode="General">
                  <c:v>145143.05164218618</c:v>
                </c:pt>
                <c:pt idx="149" formatCode="General">
                  <c:v>145331.05846446479</c:v>
                </c:pt>
                <c:pt idx="150" formatCode="General">
                  <c:v>145506.8860325217</c:v>
                </c:pt>
                <c:pt idx="151" formatCode="General">
                  <c:v>145671.29600902554</c:v>
                </c:pt>
                <c:pt idx="152" formatCode="General">
                  <c:v>145825.00572919563</c:v>
                </c:pt>
                <c:pt idx="153" formatCode="General">
                  <c:v>145968.69039927144</c:v>
                </c:pt>
                <c:pt idx="154" formatCode="General">
                  <c:v>146102.98523070125</c:v>
                </c:pt>
                <c:pt idx="155" formatCode="General">
                  <c:v>146228.48750602425</c:v>
                </c:pt>
                <c:pt idx="156" formatCode="General">
                  <c:v>146345.7585734569</c:v>
                </c:pt>
                <c:pt idx="157" formatCode="General">
                  <c:v>146455.32576810059</c:v>
                </c:pt>
                <c:pt idx="158" formatCode="General">
                  <c:v>146557.68425847558</c:v>
                </c:pt>
                <c:pt idx="159" formatCode="General">
                  <c:v>146653.29881776491</c:v>
                </c:pt>
                <c:pt idx="160" formatCode="General">
                  <c:v>146742.60551973694</c:v>
                </c:pt>
                <c:pt idx="161" formatCode="General">
                  <c:v>146826.01335981127</c:v>
                </c:pt>
                <c:pt idx="162" formatCode="General">
                  <c:v>146903.90580215378</c:v>
                </c:pt>
                <c:pt idx="163" formatCode="General">
                  <c:v>146976.64225403685</c:v>
                </c:pt>
                <c:pt idx="164" formatCode="General">
                  <c:v>147044.55946899249</c:v>
                </c:pt>
                <c:pt idx="165" formatCode="General">
                  <c:v>147107.97288052144</c:v>
                </c:pt>
                <c:pt idx="166" formatCode="General">
                  <c:v>147167.17786831071</c:v>
                </c:pt>
                <c:pt idx="167" formatCode="General">
                  <c:v>147222.4509590595</c:v>
                </c:pt>
                <c:pt idx="168" formatCode="General">
                  <c:v>147274.0509641236</c:v>
                </c:pt>
                <c:pt idx="169" formatCode="General">
                  <c:v>147322.22005626812</c:v>
                </c:pt>
                <c:pt idx="170" formatCode="General">
                  <c:v>147367.18478786966</c:v>
                </c:pt>
                <c:pt idx="171" formatCode="General">
                  <c:v>147409.1570529367</c:v>
                </c:pt>
                <c:pt idx="172" formatCode="General">
                  <c:v>147448.33499532519</c:v>
                </c:pt>
                <c:pt idx="173" formatCode="General">
                  <c:v>147484.90386551686</c:v>
                </c:pt>
                <c:pt idx="174" formatCode="General">
                  <c:v>147519.03682830275</c:v>
                </c:pt>
                <c:pt idx="175" formatCode="General">
                  <c:v>147550.89572367969</c:v>
                </c:pt>
                <c:pt idx="176" formatCode="General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-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Accumulative cases (displacement)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LNorm'!$L$7</c:f>
              <c:strCache>
                <c:ptCount val="1"/>
                <c:pt idx="0">
                  <c:v>Lombardy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LNorm'!$L$8:$L$184</c:f>
              <c:numCache>
                <c:formatCode>General</c:formatCode>
                <c:ptCount val="177"/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LNorm'!$O$7</c:f>
              <c:strCache>
                <c:ptCount val="1"/>
                <c:pt idx="0">
                  <c:v>Lombardy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LNorm'!$O$8:$O$184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 formatCode="General">
                  <c:v>229.75081032074394</c:v>
                </c:pt>
                <c:pt idx="55" formatCode="General">
                  <c:v>331.60368823539022</c:v>
                </c:pt>
                <c:pt idx="56" formatCode="General">
                  <c:v>465.77889435556489</c:v>
                </c:pt>
                <c:pt idx="57" formatCode="General">
                  <c:v>638.36338064302606</c:v>
                </c:pt>
                <c:pt idx="58" formatCode="General">
                  <c:v>855.6049183896896</c:v>
                </c:pt>
                <c:pt idx="59" formatCode="General">
                  <c:v>1123.7418244760652</c:v>
                </c:pt>
                <c:pt idx="60" formatCode="General">
                  <c:v>1448.8305134421209</c:v>
                </c:pt>
                <c:pt idx="61" formatCode="General">
                  <c:v>1836.5792702222441</c:v>
                </c:pt>
                <c:pt idx="62" formatCode="General">
                  <c:v>2292.1954624306022</c:v>
                </c:pt>
                <c:pt idx="63" formatCode="General">
                  <c:v>2820.2519272416362</c:v>
                </c:pt>
                <c:pt idx="64" formatCode="General">
                  <c:v>3424.5766475447799</c:v>
                </c:pt>
                <c:pt idx="65" formatCode="General">
                  <c:v>4108.168218034295</c:v>
                </c:pt>
                <c:pt idx="66" formatCode="General">
                  <c:v>4873.1381029957529</c:v>
                </c:pt>
                <c:pt idx="67" formatCode="General">
                  <c:v>5720.6793780428634</c:v>
                </c:pt>
                <c:pt idx="68" formatCode="General">
                  <c:v>6651.0605708092144</c:v>
                </c:pt>
                <c:pt idx="69" formatCode="General">
                  <c:v>7663.6423871361549</c:v>
                </c:pt>
                <c:pt idx="70" formatCode="General">
                  <c:v>8756.9145256784268</c:v>
                </c:pt>
                <c:pt idx="71" formatCode="General">
                  <c:v>9928.5494264847639</c:v>
                </c:pt>
                <c:pt idx="72" formatCode="General">
                  <c:v>11175.46964004266</c:v>
                </c:pt>
                <c:pt idx="73" formatCode="General">
                  <c:v>12493.925509581044</c:v>
                </c:pt>
                <c:pt idx="74" formatCode="General">
                  <c:v>13879.579996701837</c:v>
                </c:pt>
                <c:pt idx="75" formatCode="General">
                  <c:v>15327.597715323067</c:v>
                </c:pt>
                <c:pt idx="76" formatCode="General">
                  <c:v>16832.735540922957</c:v>
                </c:pt>
                <c:pt idx="77" formatCode="General">
                  <c:v>18389.432504465833</c:v>
                </c:pt>
                <c:pt idx="78" formatCode="General">
                  <c:v>19991.897040773845</c:v>
                </c:pt>
                <c:pt idx="79" formatCode="General">
                  <c:v>21634.190021491242</c:v>
                </c:pt>
                <c:pt idx="80" formatCode="General">
                  <c:v>23310.302349365797</c:v>
                </c:pt>
                <c:pt idx="81" formatCode="General">
                  <c:v>25014.226213352795</c:v>
                </c:pt>
                <c:pt idx="82" formatCode="General">
                  <c:v>26740.019396335363</c:v>
                </c:pt>
                <c:pt idx="83" formatCode="General">
                  <c:v>28481.862285154002</c:v>
                </c:pt>
                <c:pt idx="84" formatCode="General">
                  <c:v>30234.107454482848</c:v>
                </c:pt>
                <c:pt idx="85" formatCode="General">
                  <c:v>31991.321881984775</c:v>
                </c:pt>
                <c:pt idx="86" formatCode="General">
                  <c:v>33748.322003527355</c:v>
                </c:pt>
                <c:pt idx="87" formatCode="General">
                  <c:v>35500.201936379526</c:v>
                </c:pt>
                <c:pt idx="88" formatCode="General">
                  <c:v>37242.355288164421</c:v>
                </c:pt>
                <c:pt idx="89" formatCode="General">
                  <c:v>38970.491033185979</c:v>
                </c:pt>
                <c:pt idx="90" formatCode="General">
                  <c:v>40680.643978973909</c:v>
                </c:pt>
                <c:pt idx="91" formatCode="General">
                  <c:v>42369.180367868961</c:v>
                </c:pt>
                <c:pt idx="92" formatCode="General">
                  <c:v>44032.799164431563</c:v>
                </c:pt>
                <c:pt idx="93" formatCode="General">
                  <c:v>45668.529572397463</c:v>
                </c:pt>
                <c:pt idx="94" formatCode="General">
                  <c:v>47273.725307568522</c:v>
                </c:pt>
                <c:pt idx="95" formatCode="General">
                  <c:v>48846.056127844786</c:v>
                </c:pt>
                <c:pt idx="96" formatCode="General">
                  <c:v>50383.497090705459</c:v>
                </c:pt>
                <c:pt idx="97" formatCode="General">
                  <c:v>51884.31597367175</c:v>
                </c:pt>
                <c:pt idx="98" formatCode="General">
                  <c:v>53347.059256157372</c:v>
                </c:pt>
                <c:pt idx="99" formatCode="General">
                  <c:v>54770.537022930162</c:v>
                </c:pt>
                <c:pt idx="100" formatCode="General">
                  <c:v>56153.80711118412</c:v>
                </c:pt>
                <c:pt idx="101" formatCode="General">
                  <c:v>57496.158785785505</c:v>
                </c:pt>
                <c:pt idx="102" formatCode="General">
                  <c:v>58797.096191230899</c:v>
                </c:pt>
                <c:pt idx="103" formatCode="General">
                  <c:v>60056.3217947015</c:v>
                </c:pt>
                <c:pt idx="104" formatCode="General">
                  <c:v>61273.720002643167</c:v>
                </c:pt>
                <c:pt idx="105" formatCode="General">
                  <c:v>62449.3411037525</c:v>
                </c:pt>
                <c:pt idx="106" formatCode="General">
                  <c:v>63583.38566421374</c:v>
                </c:pt>
                <c:pt idx="107" formatCode="General">
                  <c:v>64676.189476553751</c:v>
                </c:pt>
                <c:pt idx="108" formatCode="General">
                  <c:v>65728.209141519241</c:v>
                </c:pt>
                <c:pt idx="109" formatCode="General">
                  <c:v>66740.0083428785</c:v>
                </c:pt>
                <c:pt idx="110" formatCode="General">
                  <c:v>67712.244857883314</c:v>
                </c:pt>
                <c:pt idx="111" formatCode="General">
                  <c:v>68645.658331171959</c:v>
                </c:pt>
                <c:pt idx="112" formatCode="General">
                  <c:v>69541.058826994791</c:v>
                </c:pt>
                <c:pt idx="113" formatCode="General">
                  <c:v>70399.316163647018</c:v>
                </c:pt>
                <c:pt idx="114" formatCode="General">
                  <c:v>71221.350024725776</c:v>
                </c:pt>
                <c:pt idx="115" formatCode="General">
                  <c:v>72008.120834134315</c:v>
                </c:pt>
                <c:pt idx="116" formatCode="General">
                  <c:v>72760.621375470975</c:v>
                </c:pt>
                <c:pt idx="117" formatCode="General">
                  <c:v>73479.869131409956</c:v>
                </c:pt>
                <c:pt idx="118" formatCode="General">
                  <c:v>74166.8993147609</c:v>
                </c:pt>
                <c:pt idx="119" formatCode="General">
                  <c:v>74822.758559943803</c:v>
                </c:pt>
                <c:pt idx="120" formatCode="General">
                  <c:v>75448.499241512851</c:v>
                </c:pt>
                <c:pt idx="121" formatCode="General">
                  <c:v>76045.1743849841</c:v>
                </c:pt>
                <c:pt idx="122" formatCode="General">
                  <c:v>76613.833134465094</c:v>
                </c:pt>
                <c:pt idx="123" formatCode="General">
                  <c:v>77155.516741352141</c:v>
                </c:pt>
                <c:pt idx="124" formatCode="General">
                  <c:v>77671.255038565258</c:v>
                </c:pt>
                <c:pt idx="125" formatCode="General">
                  <c:v>78162.063365355221</c:v>
                </c:pt>
                <c:pt idx="126" formatCode="General">
                  <c:v>78628.939908572895</c:v>
                </c:pt>
                <c:pt idx="127" formatCode="General">
                  <c:v>79072.86342737946</c:v>
                </c:pt>
                <c:pt idx="128" formatCode="General">
                  <c:v>79494.791329642132</c:v>
                </c:pt>
                <c:pt idx="129" formatCode="General">
                  <c:v>79895.658069660931</c:v>
                </c:pt>
                <c:pt idx="130" formatCode="General">
                  <c:v>80276.373838365733</c:v>
                </c:pt>
                <c:pt idx="131" formatCode="General">
                  <c:v>80637.823518680394</c:v>
                </c:pt>
                <c:pt idx="132" formatCode="General">
                  <c:v>80980.86588033702</c:v>
                </c:pt>
                <c:pt idx="133" formatCode="General">
                  <c:v>81306.332990023977</c:v>
                </c:pt>
                <c:pt idx="134" formatCode="General">
                  <c:v>81615.02981433706</c:v>
                </c:pt>
                <c:pt idx="135" formatCode="General">
                  <c:v>81907.733994565613</c:v>
                </c:pt>
                <c:pt idx="136" formatCode="General">
                  <c:v>82185.195773867905</c:v>
                </c:pt>
                <c:pt idx="137" formatCode="General">
                  <c:v>82448.138058862911</c:v>
                </c:pt>
                <c:pt idx="138" formatCode="General">
                  <c:v>82697.256599083383</c:v>
                </c:pt>
                <c:pt idx="139" formatCode="General">
                  <c:v>82933.220269088051</c:v>
                </c:pt>
                <c:pt idx="140" formatCode="General">
                  <c:v>83156.671439319733</c:v>
                </c:pt>
                <c:pt idx="141" formatCode="General">
                  <c:v>83368.226423014072</c:v>
                </c:pt>
                <c:pt idx="142" formatCode="General">
                  <c:v>83568.475987613274</c:v>
                </c:pt>
                <c:pt idx="143" formatCode="General">
                  <c:v>83757.985920216946</c:v>
                </c:pt>
                <c:pt idx="144" formatCode="General">
                  <c:v>83937.297637611147</c:v>
                </c:pt>
                <c:pt idx="145" formatCode="General">
                  <c:v>84106.928832356643</c:v>
                </c:pt>
                <c:pt idx="146" formatCode="General">
                  <c:v>84267.37414729064</c:v>
                </c:pt>
                <c:pt idx="147" formatCode="General">
                  <c:v>84419.10587160557</c:v>
                </c:pt>
                <c:pt idx="148" formatCode="General">
                  <c:v>84562.574652415191</c:v>
                </c:pt>
                <c:pt idx="149" formatCode="General">
                  <c:v>84698.210216405729</c:v>
                </c:pt>
                <c:pt idx="150" formatCode="General">
                  <c:v>84826.422096802387</c:v>
                </c:pt>
                <c:pt idx="151" formatCode="General">
                  <c:v>84947.600361458666</c:v>
                </c:pt>
                <c:pt idx="152" formatCode="General">
                  <c:v>85062.116338405118</c:v>
                </c:pt>
                <c:pt idx="153" formatCode="General">
                  <c:v>85170.323335674941</c:v>
                </c:pt>
                <c:pt idx="154" formatCode="General">
                  <c:v>85272.55735266082</c:v>
                </c:pt>
                <c:pt idx="155" formatCode="General">
                  <c:v>85369.137780653706</c:v>
                </c:pt>
                <c:pt idx="156" formatCode="General">
                  <c:v>85460.368090571821</c:v>
                </c:pt>
                <c:pt idx="157" formatCode="General">
                  <c:v>85546.536506210832</c:v>
                </c:pt>
                <c:pt idx="158" formatCode="General">
                  <c:v>85627.916661635274</c:v>
                </c:pt>
                <c:pt idx="159" formatCode="General">
                  <c:v>85704.768241591519</c:v>
                </c:pt>
                <c:pt idx="160" formatCode="General">
                  <c:v>85777.337604053508</c:v>
                </c:pt>
                <c:pt idx="161" formatCode="General">
                  <c:v>85845.858384218838</c:v>
                </c:pt>
                <c:pt idx="162" formatCode="General">
                  <c:v>85910.552079455883</c:v>
                </c:pt>
                <c:pt idx="163" formatCode="General">
                  <c:v>85971.628614863439</c:v>
                </c:pt>
                <c:pt idx="164" formatCode="General">
                  <c:v>86029.286889247014</c:v>
                </c:pt>
                <c:pt idx="165" formatCode="General">
                  <c:v>86083.71530143969</c:v>
                </c:pt>
                <c:pt idx="166" formatCode="General">
                  <c:v>86135.092257003984</c:v>
                </c:pt>
                <c:pt idx="167" formatCode="General">
                  <c:v>86183.586655444858</c:v>
                </c:pt>
                <c:pt idx="168" formatCode="General">
                  <c:v>86229.358358144367</c:v>
                </c:pt>
                <c:pt idx="169" formatCode="General">
                  <c:v>86272.558637297756</c:v>
                </c:pt>
                <c:pt idx="170" formatCode="General">
                  <c:v>86313.330606188189</c:v>
                </c:pt>
                <c:pt idx="171" formatCode="General">
                  <c:v>86351.809631186756</c:v>
                </c:pt>
                <c:pt idx="172" formatCode="General">
                  <c:v>86388.123725904021</c:v>
                </c:pt>
                <c:pt idx="173" formatCode="General">
                  <c:v>86422.393927951678</c:v>
                </c:pt>
                <c:pt idx="174" formatCode="General">
                  <c:v>86454.7346587996</c:v>
                </c:pt>
                <c:pt idx="175" formatCode="General">
                  <c:v>86485.254067232017</c:v>
                </c:pt>
                <c:pt idx="176" formatCode="General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Lombardy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- Daily new cases (velocity)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LNorm'!$W$7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LNorm'!$W$8:$W$281</c:f>
              <c:numCache>
                <c:formatCode>General</c:formatCode>
                <c:ptCount val="274"/>
                <c:pt idx="55" formatCode="0">
                  <c:v>4</c:v>
                </c:pt>
                <c:pt idx="56" formatCode="0">
                  <c:v>7</c:v>
                </c:pt>
                <c:pt idx="57" formatCode="0">
                  <c:v>2</c:v>
                </c:pt>
                <c:pt idx="58" formatCode="0">
                  <c:v>17</c:v>
                </c:pt>
                <c:pt idx="59" formatCode="0">
                  <c:v>13</c:v>
                </c:pt>
                <c:pt idx="60" formatCode="0">
                  <c:v>39</c:v>
                </c:pt>
                <c:pt idx="61" formatCode="0">
                  <c:v>36</c:v>
                </c:pt>
                <c:pt idx="62" formatCode="0">
                  <c:v>45</c:v>
                </c:pt>
                <c:pt idx="63" formatCode="0">
                  <c:v>57</c:v>
                </c:pt>
                <c:pt idx="64" formatCode="0">
                  <c:v>37</c:v>
                </c:pt>
                <c:pt idx="65" formatCode="0">
                  <c:v>141</c:v>
                </c:pt>
                <c:pt idx="66" formatCode="0">
                  <c:v>100</c:v>
                </c:pt>
                <c:pt idx="67" formatCode="0">
                  <c:v>173</c:v>
                </c:pt>
                <c:pt idx="68" formatCode="0">
                  <c:v>400</c:v>
                </c:pt>
                <c:pt idx="69" formatCode="0">
                  <c:v>622</c:v>
                </c:pt>
                <c:pt idx="70" formatCode="0">
                  <c:v>582</c:v>
                </c:pt>
                <c:pt idx="71" formatCode="0">
                  <c:v>0</c:v>
                </c:pt>
                <c:pt idx="72" formatCode="0">
                  <c:v>2955</c:v>
                </c:pt>
                <c:pt idx="73" formatCode="0">
                  <c:v>1159</c:v>
                </c:pt>
                <c:pt idx="74" formatCode="0">
                  <c:v>1407</c:v>
                </c:pt>
                <c:pt idx="75" formatCode="0">
                  <c:v>2144</c:v>
                </c:pt>
                <c:pt idx="76" formatCode="0">
                  <c:v>1806</c:v>
                </c:pt>
                <c:pt idx="77" formatCode="0">
                  <c:v>2162</c:v>
                </c:pt>
                <c:pt idx="78" formatCode="0">
                  <c:v>4053</c:v>
                </c:pt>
                <c:pt idx="79" formatCode="0">
                  <c:v>2447</c:v>
                </c:pt>
                <c:pt idx="80" formatCode="0">
                  <c:v>4964</c:v>
                </c:pt>
                <c:pt idx="81" formatCode="0">
                  <c:v>3394</c:v>
                </c:pt>
                <c:pt idx="82" formatCode="0">
                  <c:v>6368</c:v>
                </c:pt>
                <c:pt idx="83" formatCode="0">
                  <c:v>4749</c:v>
                </c:pt>
                <c:pt idx="84" formatCode="0">
                  <c:v>9630</c:v>
                </c:pt>
                <c:pt idx="85" formatCode="0">
                  <c:v>8271</c:v>
                </c:pt>
                <c:pt idx="86" formatCode="0">
                  <c:v>7933</c:v>
                </c:pt>
                <c:pt idx="87" formatCode="0">
                  <c:v>7516</c:v>
                </c:pt>
                <c:pt idx="88" formatCode="0">
                  <c:v>6875</c:v>
                </c:pt>
                <c:pt idx="89" formatCode="0">
                  <c:v>7846</c:v>
                </c:pt>
                <c:pt idx="90" formatCode="0">
                  <c:v>7967</c:v>
                </c:pt>
                <c:pt idx="91" formatCode="0">
                  <c:v>8195</c:v>
                </c:pt>
                <c:pt idx="92" formatCode="0">
                  <c:v>7947</c:v>
                </c:pt>
                <c:pt idx="93" formatCode="0">
                  <c:v>7134</c:v>
                </c:pt>
                <c:pt idx="94" formatCode="0">
                  <c:v>6969</c:v>
                </c:pt>
                <c:pt idx="95" formatCode="0">
                  <c:v>5478</c:v>
                </c:pt>
                <c:pt idx="96" formatCode="0">
                  <c:v>5029</c:v>
                </c:pt>
                <c:pt idx="97" formatCode="0">
                  <c:v>5267</c:v>
                </c:pt>
                <c:pt idx="98" formatCode="0">
                  <c:v>6278</c:v>
                </c:pt>
                <c:pt idx="99" formatCode="0">
                  <c:v>5002</c:v>
                </c:pt>
                <c:pt idx="100" formatCode="0">
                  <c:v>5051</c:v>
                </c:pt>
                <c:pt idx="101" formatCode="0">
                  <c:v>4754</c:v>
                </c:pt>
                <c:pt idx="102" formatCode="0">
                  <c:v>3804</c:v>
                </c:pt>
                <c:pt idx="103" formatCode="0">
                  <c:v>3268</c:v>
                </c:pt>
                <c:pt idx="104" formatCode="0">
                  <c:v>2442</c:v>
                </c:pt>
                <c:pt idx="105" formatCode="0">
                  <c:v>5103</c:v>
                </c:pt>
                <c:pt idx="106" formatCode="0">
                  <c:v>7304</c:v>
                </c:pt>
                <c:pt idx="107" formatCode="0">
                  <c:v>5891</c:v>
                </c:pt>
                <c:pt idx="108" formatCode="0">
                  <c:v>887</c:v>
                </c:pt>
                <c:pt idx="109" formatCode="0">
                  <c:v>6948</c:v>
                </c:pt>
                <c:pt idx="110" formatCode="0">
                  <c:v>1536</c:v>
                </c:pt>
                <c:pt idx="111" formatCode="0">
                  <c:v>3968</c:v>
                </c:pt>
                <c:pt idx="112" formatCode="0">
                  <c:v>4211</c:v>
                </c:pt>
                <c:pt idx="113" formatCode="0">
                  <c:v>4635</c:v>
                </c:pt>
                <c:pt idx="114" formatCode="0">
                  <c:v>6740</c:v>
                </c:pt>
                <c:pt idx="115" formatCode="0">
                  <c:v>3995</c:v>
                </c:pt>
                <c:pt idx="116" formatCode="0">
                  <c:v>2870</c:v>
                </c:pt>
                <c:pt idx="117" formatCode="0">
                  <c:v>2793</c:v>
                </c:pt>
                <c:pt idx="118" formatCode="0">
                  <c:v>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LNorm'!$AA$7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LNorm'!$AA$8:$AA$281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3.5603108157235843E-54</c:v>
                </c:pt>
                <c:pt idx="38">
                  <c:v>6.9999540786373238E-26</c:v>
                </c:pt>
                <c:pt idx="39">
                  <c:v>1.2495526260343405E-17</c:v>
                </c:pt>
                <c:pt idx="40">
                  <c:v>3.8051631768297409E-13</c:v>
                </c:pt>
                <c:pt idx="41">
                  <c:v>3.2395059036526822E-10</c:v>
                </c:pt>
                <c:pt idx="42">
                  <c:v>4.1023020044640386E-8</c:v>
                </c:pt>
                <c:pt idx="43">
                  <c:v>1.6231958919947614E-6</c:v>
                </c:pt>
                <c:pt idx="44">
                  <c:v>2.9623586544402733E-5</c:v>
                </c:pt>
                <c:pt idx="45">
                  <c:v>3.1307383839666164E-4</c:v>
                </c:pt>
                <c:pt idx="46">
                  <c:v>2.2114619462692015E-3</c:v>
                </c:pt>
                <c:pt idx="47">
                  <c:v>1.1488593719390787E-2</c:v>
                </c:pt>
                <c:pt idx="48">
                  <c:v>4.6918253395776648E-2</c:v>
                </c:pt>
                <c:pt idx="49">
                  <c:v>0.15804390046841324</c:v>
                </c:pt>
                <c:pt idx="50">
                  <c:v>0.45506194217060519</c:v>
                </c:pt>
                <c:pt idx="51">
                  <c:v>1.1508049613296201</c:v>
                </c:pt>
                <c:pt idx="52">
                  <c:v>2.6104279071784542</c:v>
                </c:pt>
                <c:pt idx="53">
                  <c:v>5.4002727358958271</c:v>
                </c:pt>
                <c:pt idx="54">
                  <c:v>10.325132476591177</c:v>
                </c:pt>
                <c:pt idx="55">
                  <c:v>18.443627571700961</c:v>
                </c:pt>
                <c:pt idx="56">
                  <c:v>31.054503010317745</c:v>
                </c:pt>
                <c:pt idx="57">
                  <c:v>49.651415984551527</c:v>
                </c:pt>
                <c:pt idx="58">
                  <c:v>75.848938488127814</c:v>
                </c:pt>
                <c:pt idx="59">
                  <c:v>111.28688876154665</c:v>
                </c:pt>
                <c:pt idx="60">
                  <c:v>157.52296613712468</c:v>
                </c:pt>
                <c:pt idx="61">
                  <c:v>215.92471211240581</c:v>
                </c:pt>
                <c:pt idx="62">
                  <c:v>287.57118773992391</c:v>
                </c:pt>
                <c:pt idx="63">
                  <c:v>373.17284739564866</c:v>
                </c:pt>
                <c:pt idx="64">
                  <c:v>473.01542232477493</c:v>
                </c:pt>
                <c:pt idx="65">
                  <c:v>586.9307141643676</c:v>
                </c:pt>
                <c:pt idx="66">
                  <c:v>714.29445601251996</c:v>
                </c:pt>
                <c:pt idx="67">
                  <c:v>854.04911286766855</c:v>
                </c:pt>
                <c:pt idx="68">
                  <c:v>1004.7478170397067</c:v>
                </c:pt>
                <c:pt idx="69">
                  <c:v>1164.6146057079882</c:v>
                </c:pt>
                <c:pt idx="70">
                  <c:v>1331.6157009039941</c:v>
                </c:pt>
                <c:pt idx="71">
                  <c:v>1503.53664763659</c:v>
                </c:pt>
                <c:pt idx="72">
                  <c:v>1678.0605794728556</c:v>
                </c:pt>
                <c:pt idx="73">
                  <c:v>1852.8435850697485</c:v>
                </c:pt>
                <c:pt idx="74">
                  <c:v>2025.5839876535661</c:v>
                </c:pt>
                <c:pt idx="75">
                  <c:v>2194.0832257012048</c:v>
                </c:pt>
                <c:pt idx="76">
                  <c:v>2356.2968636267587</c:v>
                </c:pt>
                <c:pt idx="77">
                  <c:v>2510.3750155728749</c:v>
                </c:pt>
                <c:pt idx="78">
                  <c:v>2654.692103379326</c:v>
                </c:pt>
                <c:pt idx="79">
                  <c:v>2787.8663782449853</c:v>
                </c:pt>
                <c:pt idx="80">
                  <c:v>2908.7700141799401</c:v>
                </c:pt>
                <c:pt idx="81">
                  <c:v>3016.5308387721075</c:v>
                </c:pt>
                <c:pt idx="82">
                  <c:v>3110.5269174635955</c:v>
                </c:pt>
                <c:pt idx="83">
                  <c:v>3190.3752687921292</c:v>
                </c:pt>
                <c:pt idx="84">
                  <c:v>3255.9159781051599</c:v>
                </c:pt>
                <c:pt idx="85">
                  <c:v>3307.192913674166</c:v>
                </c:pt>
                <c:pt idx="86">
                  <c:v>3344.4321479038872</c:v>
                </c:pt>
                <c:pt idx="87">
                  <c:v>3368.0190612821943</c:v>
                </c:pt>
                <c:pt idx="88">
                  <c:v>3378.4749693188419</c:v>
                </c:pt>
                <c:pt idx="89">
                  <c:v>3376.4339720750772</c:v>
                </c:pt>
                <c:pt idx="90">
                  <c:v>3362.6205888789086</c:v>
                </c:pt>
                <c:pt idx="91">
                  <c:v>3337.828612374286</c:v>
                </c:pt>
                <c:pt idx="92">
                  <c:v>3302.901499412304</c:v>
                </c:pt>
                <c:pt idx="93">
                  <c:v>3258.7145133293802</c:v>
                </c:pt>
                <c:pt idx="94">
                  <c:v>3206.1587436562982</c:v>
                </c:pt>
                <c:pt idx="95">
                  <c:v>3146.127055224069</c:v>
                </c:pt>
                <c:pt idx="96">
                  <c:v>3079.5019583444746</c:v>
                </c:pt>
                <c:pt idx="97">
                  <c:v>3007.145344209152</c:v>
                </c:pt>
                <c:pt idx="98">
                  <c:v>2929.8899935897552</c:v>
                </c:pt>
                <c:pt idx="99">
                  <c:v>2848.5327409277602</c:v>
                </c:pt>
                <c:pt idx="100">
                  <c:v>2763.8291585423817</c:v>
                </c:pt>
                <c:pt idx="101">
                  <c:v>2676.4896155606684</c:v>
                </c:pt>
                <c:pt idx="102">
                  <c:v>2587.1765619750977</c:v>
                </c:pt>
                <c:pt idx="103">
                  <c:v>2496.5028887607327</c:v>
                </c:pt>
                <c:pt idx="104">
                  <c:v>2405.0312191711232</c:v>
                </c:pt>
                <c:pt idx="105">
                  <c:v>2313.2739932466784</c:v>
                </c:pt>
                <c:pt idx="106">
                  <c:v>2221.6942164173033</c:v>
                </c:pt>
                <c:pt idx="107">
                  <c:v>2130.7067531950643</c:v>
                </c:pt>
                <c:pt idx="108">
                  <c:v>2040.6800577859933</c:v>
                </c:pt>
                <c:pt idx="109">
                  <c:v>1951.938244562695</c:v>
                </c:pt>
                <c:pt idx="110">
                  <c:v>1864.7634123870196</c:v>
                </c:pt>
                <c:pt idx="111">
                  <c:v>1779.3981474922105</c:v>
                </c:pt>
                <c:pt idx="112">
                  <c:v>1696.0481398345469</c:v>
                </c:pt>
                <c:pt idx="113">
                  <c:v>1614.8848573725725</c:v>
                </c:pt>
                <c:pt idx="114">
                  <c:v>1536.0482315417205</c:v>
                </c:pt>
                <c:pt idx="115">
                  <c:v>1459.6493152180863</c:v>
                </c:pt>
                <c:pt idx="116">
                  <c:v>1385.7728816909639</c:v>
                </c:pt>
                <c:pt idx="117">
                  <c:v>1314.4799395985358</c:v>
                </c:pt>
                <c:pt idx="118">
                  <c:v>1245.8101444502865</c:v>
                </c:pt>
                <c:pt idx="119">
                  <c:v>1179.7840923022191</c:v>
                </c:pt>
                <c:pt idx="120">
                  <c:v>1116.4054854142355</c:v>
                </c:pt>
                <c:pt idx="121">
                  <c:v>1055.6631633557765</c:v>
                </c:pt>
                <c:pt idx="122">
                  <c:v>997.53299609153396</c:v>
                </c:pt>
                <c:pt idx="123">
                  <c:v>941.97963812968112</c:v>
                </c:pt>
                <c:pt idx="124">
                  <c:v>888.95814490617602</c:v>
                </c:pt>
                <c:pt idx="125">
                  <c:v>838.41545426304185</c:v>
                </c:pt>
                <c:pt idx="126">
                  <c:v>790.29173720672065</c:v>
                </c:pt>
                <c:pt idx="127">
                  <c:v>744.52162315135365</c:v>
                </c:pt>
                <c:pt idx="128">
                  <c:v>701.03530560469312</c:v>
                </c:pt>
                <c:pt idx="129">
                  <c:v>659.75953478016152</c:v>
                </c:pt>
                <c:pt idx="130">
                  <c:v>620.61850395336728</c:v>
                </c:pt>
                <c:pt idx="131">
                  <c:v>583.53463655676308</c:v>
                </c:pt>
                <c:pt idx="132">
                  <c:v>548.42928104988653</c:v>
                </c:pt>
                <c:pt idx="133">
                  <c:v>515.22332054014612</c:v>
                </c:pt>
                <c:pt idx="134">
                  <c:v>483.83770398131725</c:v>
                </c:pt>
                <c:pt idx="135">
                  <c:v>454.19390556290517</c:v>
                </c:pt>
                <c:pt idx="136">
                  <c:v>426.21431863905917</c:v>
                </c:pt>
                <c:pt idx="137">
                  <c:v>399.82259024460336</c:v>
                </c:pt>
                <c:pt idx="138">
                  <c:v>374.94390191921877</c:v>
                </c:pt>
                <c:pt idx="139">
                  <c:v>351.50520221873751</c:v>
                </c:pt>
                <c:pt idx="140">
                  <c:v>329.43539594258692</c:v>
                </c:pt>
                <c:pt idx="141">
                  <c:v>308.66549475520475</c:v>
                </c:pt>
                <c:pt idx="142">
                  <c:v>289.12873353190429</c:v>
                </c:pt>
                <c:pt idx="143">
                  <c:v>270.76065642037685</c:v>
                </c:pt>
                <c:pt idx="144">
                  <c:v>253.49917628072163</c:v>
                </c:pt>
                <c:pt idx="145">
                  <c:v>237.28461085228838</c:v>
                </c:pt>
                <c:pt idx="146">
                  <c:v>222.05969869605568</c:v>
                </c:pt>
                <c:pt idx="147">
                  <c:v>207.76959767821637</c:v>
                </c:pt>
                <c:pt idx="148">
                  <c:v>194.36186849445971</c:v>
                </c:pt>
                <c:pt idx="149">
                  <c:v>181.78644548575426</c:v>
                </c:pt>
                <c:pt idx="150">
                  <c:v>169.99559676494684</c:v>
                </c:pt>
                <c:pt idx="151">
                  <c:v>158.94387545912204</c:v>
                </c:pt>
                <c:pt idx="152">
                  <c:v>148.58806367499781</c:v>
                </c:pt>
                <c:pt idx="153">
                  <c:v>138.88711061289575</c:v>
                </c:pt>
                <c:pt idx="154">
                  <c:v>129.80206608856005</c:v>
                </c:pt>
                <c:pt idx="155">
                  <c:v>121.29601057036058</c:v>
                </c:pt>
                <c:pt idx="156">
                  <c:v>113.33398270149605</c:v>
                </c:pt>
                <c:pt idx="157">
                  <c:v>105.88290515183097</c:v>
                </c:pt>
                <c:pt idx="158">
                  <c:v>98.911509531068333</c:v>
                </c:pt>
                <c:pt idx="159">
                  <c:v>92.390260993342054</c:v>
                </c:pt>
                <c:pt idx="160">
                  <c:v>86.291283072030623</c:v>
                </c:pt>
                <c:pt idx="161">
                  <c:v>80.588283201970967</c:v>
                </c:pt>
                <c:pt idx="162">
                  <c:v>75.256479313439783</c:v>
                </c:pt>
                <c:pt idx="163">
                  <c:v>70.272527817534595</c:v>
                </c:pt>
                <c:pt idx="164">
                  <c:v>65.61445324525765</c:v>
                </c:pt>
                <c:pt idx="165">
                  <c:v>61.261579751984854</c:v>
                </c:pt>
                <c:pt idx="166">
                  <c:v>57.194464654495931</c:v>
                </c:pt>
                <c:pt idx="167">
                  <c:v>53.39483412874759</c:v>
                </c:pt>
                <c:pt idx="168">
                  <c:v>49.845521162565966</c:v>
                </c:pt>
                <c:pt idx="169">
                  <c:v>46.530405827922699</c:v>
                </c:pt>
                <c:pt idx="170">
                  <c:v>43.434357911955068</c:v>
                </c:pt>
                <c:pt idx="171">
                  <c:v>40.543181924016729</c:v>
                </c:pt>
                <c:pt idx="172">
                  <c:v>37.843564477361163</c:v>
                </c:pt>
                <c:pt idx="173">
                  <c:v>35.323024028259177</c:v>
                </c:pt>
                <c:pt idx="174">
                  <c:v>32.969862942080226</c:v>
                </c:pt>
                <c:pt idx="175">
                  <c:v>30.773121844849612</c:v>
                </c:pt>
                <c:pt idx="176">
                  <c:v>28.72253620975799</c:v>
                </c:pt>
                <c:pt idx="177">
                  <c:v>26.808495120800671</c:v>
                </c:pt>
                <c:pt idx="178">
                  <c:v>25.022002149969296</c:v>
                </c:pt>
                <c:pt idx="179">
                  <c:v>23.354638279968487</c:v>
                </c:pt>
                <c:pt idx="180">
                  <c:v>21.798526801170439</c:v>
                </c:pt>
                <c:pt idx="181">
                  <c:v>20.346300109235695</c:v>
                </c:pt>
                <c:pt idx="182">
                  <c:v>18.991068328425126</c:v>
                </c:pt>
                <c:pt idx="183">
                  <c:v>17.726389684947989</c:v>
                </c:pt>
                <c:pt idx="184">
                  <c:v>16.546242554653691</c:v>
                </c:pt>
                <c:pt idx="185">
                  <c:v>15.444999109857786</c:v>
                </c:pt>
                <c:pt idx="186">
                  <c:v>14.417400491022027</c:v>
                </c:pt>
                <c:pt idx="187">
                  <c:v>13.458533430308405</c:v>
                </c:pt>
                <c:pt idx="188">
                  <c:v>12.563808255622892</c:v>
                </c:pt>
                <c:pt idx="189">
                  <c:v>11.728938205609783</c:v>
                </c:pt>
                <c:pt idx="190">
                  <c:v>10.949919988086478</c:v>
                </c:pt>
                <c:pt idx="191">
                  <c:v>10.223015516586869</c:v>
                </c:pt>
                <c:pt idx="192">
                  <c:v>9.5447347619737481</c:v>
                </c:pt>
                <c:pt idx="193">
                  <c:v>8.9118196584353946</c:v>
                </c:pt>
                <c:pt idx="194">
                  <c:v>8.3212290055956153</c:v>
                </c:pt>
                <c:pt idx="195">
                  <c:v>7.7701243108940767</c:v>
                </c:pt>
                <c:pt idx="196">
                  <c:v>7.2558565188256035</c:v>
                </c:pt>
                <c:pt idx="197">
                  <c:v>6.7759535760435847</c:v>
                </c:pt>
                <c:pt idx="198">
                  <c:v>6.328108783717787</c:v>
                </c:pt>
                <c:pt idx="199">
                  <c:v>5.9101698908789926</c:v>
                </c:pt>
                <c:pt idx="200">
                  <c:v>5.5201288847735404</c:v>
                </c:pt>
                <c:pt idx="201">
                  <c:v>5.1561124364827862</c:v>
                </c:pt>
                <c:pt idx="202">
                  <c:v>4.8163729622247082</c:v>
                </c:pt>
                <c:pt idx="203">
                  <c:v>4.4992802628504176</c:v>
                </c:pt>
                <c:pt idx="204">
                  <c:v>4.2033137060657424</c:v>
                </c:pt>
                <c:pt idx="205">
                  <c:v>3.9270549178529928</c:v>
                </c:pt>
                <c:pt idx="206">
                  <c:v>3.6691809514300835</c:v>
                </c:pt>
                <c:pt idx="207">
                  <c:v>3.4284579038724243</c:v>
                </c:pt>
                <c:pt idx="208">
                  <c:v>3.2037349522287442</c:v>
                </c:pt>
                <c:pt idx="209">
                  <c:v>2.9939387825922967</c:v>
                </c:pt>
                <c:pt idx="210">
                  <c:v>2.7980683871407384</c:v>
                </c:pt>
                <c:pt idx="211">
                  <c:v>2.6151902056350362</c:v>
                </c:pt>
                <c:pt idx="212">
                  <c:v>2.4444335892707545</c:v>
                </c:pt>
                <c:pt idx="213">
                  <c:v>2.2849865661061091</c:v>
                </c:pt>
                <c:pt idx="214">
                  <c:v>2.1360918885530822</c:v>
                </c:pt>
                <c:pt idx="215">
                  <c:v>1.9970433446124605</c:v>
                </c:pt>
                <c:pt idx="216">
                  <c:v>1.8671823156621152</c:v>
                </c:pt>
                <c:pt idx="217">
                  <c:v>1.7458945646766422</c:v>
                </c:pt>
                <c:pt idx="218">
                  <c:v>1.6326072397624227</c:v>
                </c:pt>
                <c:pt idx="219">
                  <c:v>1.5267860788432863</c:v>
                </c:pt>
                <c:pt idx="220">
                  <c:v>1.4279328022269551</c:v>
                </c:pt>
                <c:pt idx="221">
                  <c:v>1.3355826806260067</c:v>
                </c:pt>
                <c:pt idx="222">
                  <c:v>1.2493022670008072</c:v>
                </c:pt>
                <c:pt idx="223">
                  <c:v>1.16868728133835</c:v>
                </c:pt>
                <c:pt idx="224">
                  <c:v>1.0933606381825307</c:v>
                </c:pt>
                <c:pt idx="225">
                  <c:v>1.022970607390824</c:v>
                </c:pt>
                <c:pt idx="226">
                  <c:v>0.95718909921094275</c:v>
                </c:pt>
                <c:pt idx="227">
                  <c:v>0.89571006535222097</c:v>
                </c:pt>
                <c:pt idx="228">
                  <c:v>0.83824800827094559</c:v>
                </c:pt>
                <c:pt idx="229">
                  <c:v>0.78453659140013077</c:v>
                </c:pt>
                <c:pt idx="230">
                  <c:v>0.7343273435325578</c:v>
                </c:pt>
                <c:pt idx="231">
                  <c:v>0.68738845101461243</c:v>
                </c:pt>
                <c:pt idx="232">
                  <c:v>0.64350363182859471</c:v>
                </c:pt>
                <c:pt idx="233">
                  <c:v>0.60247108603400246</c:v>
                </c:pt>
                <c:pt idx="234">
                  <c:v>0.56410251740668005</c:v>
                </c:pt>
                <c:pt idx="235">
                  <c:v>0.52822222145863951</c:v>
                </c:pt>
                <c:pt idx="236">
                  <c:v>0.49466623534351584</c:v>
                </c:pt>
                <c:pt idx="237">
                  <c:v>0.46328154545346967</c:v>
                </c:pt>
                <c:pt idx="238">
                  <c:v>0.43392534879496003</c:v>
                </c:pt>
                <c:pt idx="239">
                  <c:v>0.40646436449356915</c:v>
                </c:pt>
                <c:pt idx="240">
                  <c:v>0.380774192023767</c:v>
                </c:pt>
                <c:pt idx="241">
                  <c:v>0.35673871298912757</c:v>
                </c:pt>
                <c:pt idx="242">
                  <c:v>0.33424953349259295</c:v>
                </c:pt>
                <c:pt idx="243">
                  <c:v>0.31320546433671753</c:v>
                </c:pt>
                <c:pt idx="244">
                  <c:v>0.29351203648040042</c:v>
                </c:pt>
                <c:pt idx="245">
                  <c:v>0.27508104935314132</c:v>
                </c:pt>
                <c:pt idx="246">
                  <c:v>0.25783014979044461</c:v>
                </c:pt>
                <c:pt idx="247">
                  <c:v>0.24168243950584764</c:v>
                </c:pt>
                <c:pt idx="248">
                  <c:v>0.22656610915671305</c:v>
                </c:pt>
                <c:pt idx="249">
                  <c:v>0.21241409719294341</c:v>
                </c:pt>
                <c:pt idx="250">
                  <c:v>0.19916377180109829</c:v>
                </c:pt>
                <c:pt idx="251">
                  <c:v>0.18675663437118439</c:v>
                </c:pt>
                <c:pt idx="252">
                  <c:v>0.17513804302067645</c:v>
                </c:pt>
                <c:pt idx="253">
                  <c:v>0.16425695481006308</c:v>
                </c:pt>
                <c:pt idx="254">
                  <c:v>0.1540656853774465</c:v>
                </c:pt>
                <c:pt idx="255">
                  <c:v>0.14451968480654503</c:v>
                </c:pt>
                <c:pt idx="256">
                  <c:v>0.1355773286232658</c:v>
                </c:pt>
                <c:pt idx="257">
                  <c:v>0.12719972289154682</c:v>
                </c:pt>
                <c:pt idx="258">
                  <c:v>0.11935052244938478</c:v>
                </c:pt>
                <c:pt idx="259">
                  <c:v>0.11199576139147817</c:v>
                </c:pt>
                <c:pt idx="260">
                  <c:v>0.10510369496597585</c:v>
                </c:pt>
                <c:pt idx="261">
                  <c:v>9.8644652109643641E-2</c:v>
                </c:pt>
                <c:pt idx="262">
                  <c:v>9.2590897898796334E-2</c:v>
                </c:pt>
                <c:pt idx="263">
                  <c:v>8.6916505242683836E-2</c:v>
                </c:pt>
                <c:pt idx="264">
                  <c:v>8.1597235192033657E-2</c:v>
                </c:pt>
                <c:pt idx="265">
                  <c:v>7.6610425278280159E-2</c:v>
                </c:pt>
                <c:pt idx="266">
                  <c:v>7.1934885338941851E-2</c:v>
                </c:pt>
                <c:pt idx="267">
                  <c:v>6.7550800321809129E-2</c:v>
                </c:pt>
                <c:pt idx="268">
                  <c:v>6.3439639595204197E-2</c:v>
                </c:pt>
                <c:pt idx="269">
                  <c:v>5.9584072323898604E-2</c:v>
                </c:pt>
                <c:pt idx="270">
                  <c:v>5.5967888500273393E-2</c:v>
                </c:pt>
                <c:pt idx="271">
                  <c:v>5.2575925248355283E-2</c:v>
                </c:pt>
                <c:pt idx="272">
                  <c:v>4.9393998044415605E-2</c:v>
                </c:pt>
                <c:pt idx="273">
                  <c:v>4.6408836522111627E-2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8F-43A6-8F85-1987D75DEE3E}"/>
            </c:ext>
          </c:extLst>
        </c:ser>
        <c:ser>
          <c:idx val="2"/>
          <c:order val="2"/>
          <c:tx>
            <c:strRef>
              <c:f>'New_cases - LNorm'!$AD$7</c:f>
              <c:strCache>
                <c:ptCount val="1"/>
                <c:pt idx="0">
                  <c:v>Upper CI__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LNorm'!$AD$55:$AD$281</c:f>
              <c:numCache>
                <c:formatCode>General</c:formatCode>
                <c:ptCount val="227"/>
                <c:pt idx="0">
                  <c:v>5338.8509237537364</c:v>
                </c:pt>
                <c:pt idx="1">
                  <c:v>5338.8863534134134</c:v>
                </c:pt>
                <c:pt idx="2">
                  <c:v>5338.9974790604856</c:v>
                </c:pt>
                <c:pt idx="3">
                  <c:v>5339.294497102188</c:v>
                </c:pt>
                <c:pt idx="4">
                  <c:v>5339.9902401213467</c:v>
                </c:pt>
                <c:pt idx="5">
                  <c:v>5341.449863067196</c:v>
                </c:pt>
                <c:pt idx="6">
                  <c:v>5344.2397078959129</c:v>
                </c:pt>
                <c:pt idx="7">
                  <c:v>5349.1645676366088</c:v>
                </c:pt>
                <c:pt idx="8">
                  <c:v>5357.283062731718</c:v>
                </c:pt>
                <c:pt idx="9">
                  <c:v>5369.8939381703349</c:v>
                </c:pt>
                <c:pt idx="10">
                  <c:v>5388.4908511445692</c:v>
                </c:pt>
                <c:pt idx="11">
                  <c:v>5414.688373648145</c:v>
                </c:pt>
                <c:pt idx="12">
                  <c:v>5450.1263239215641</c:v>
                </c:pt>
                <c:pt idx="13">
                  <c:v>5496.3624012971422</c:v>
                </c:pt>
                <c:pt idx="14">
                  <c:v>5554.7641472724226</c:v>
                </c:pt>
                <c:pt idx="15">
                  <c:v>5626.4106228999408</c:v>
                </c:pt>
                <c:pt idx="16">
                  <c:v>5712.0122825556664</c:v>
                </c:pt>
                <c:pt idx="17">
                  <c:v>5811.8548574847919</c:v>
                </c:pt>
                <c:pt idx="18">
                  <c:v>5925.7701493243849</c:v>
                </c:pt>
                <c:pt idx="19">
                  <c:v>6053.133891172537</c:v>
                </c:pt>
                <c:pt idx="20">
                  <c:v>6192.8885480276858</c:v>
                </c:pt>
                <c:pt idx="21">
                  <c:v>6343.5872521997244</c:v>
                </c:pt>
                <c:pt idx="22">
                  <c:v>6503.4540408680059</c:v>
                </c:pt>
                <c:pt idx="23">
                  <c:v>6670.4551360640116</c:v>
                </c:pt>
                <c:pt idx="24">
                  <c:v>6842.3760827966071</c:v>
                </c:pt>
                <c:pt idx="25">
                  <c:v>7016.9000146328726</c:v>
                </c:pt>
                <c:pt idx="26">
                  <c:v>7191.683020229766</c:v>
                </c:pt>
                <c:pt idx="27">
                  <c:v>7364.4234228135829</c:v>
                </c:pt>
                <c:pt idx="28">
                  <c:v>7532.9226608612225</c:v>
                </c:pt>
                <c:pt idx="29">
                  <c:v>7695.136298786776</c:v>
                </c:pt>
                <c:pt idx="30">
                  <c:v>7849.2144507328921</c:v>
                </c:pt>
                <c:pt idx="31">
                  <c:v>7993.5315385393433</c:v>
                </c:pt>
                <c:pt idx="32">
                  <c:v>8126.7058134050021</c:v>
                </c:pt>
                <c:pt idx="33">
                  <c:v>8247.6094493399578</c:v>
                </c:pt>
                <c:pt idx="34">
                  <c:v>8355.3702739321252</c:v>
                </c:pt>
                <c:pt idx="35">
                  <c:v>8449.3663526236123</c:v>
                </c:pt>
                <c:pt idx="36">
                  <c:v>8529.214703952146</c:v>
                </c:pt>
                <c:pt idx="37">
                  <c:v>8594.7554132651767</c:v>
                </c:pt>
                <c:pt idx="38">
                  <c:v>8646.0323488341837</c:v>
                </c:pt>
                <c:pt idx="39">
                  <c:v>8683.2715830639045</c:v>
                </c:pt>
                <c:pt idx="40">
                  <c:v>8706.8584964422116</c:v>
                </c:pt>
                <c:pt idx="41">
                  <c:v>8717.3144044788587</c:v>
                </c:pt>
                <c:pt idx="42">
                  <c:v>8715.2734072350941</c:v>
                </c:pt>
                <c:pt idx="43">
                  <c:v>8701.4600240389263</c:v>
                </c:pt>
                <c:pt idx="44">
                  <c:v>8676.6680475343037</c:v>
                </c:pt>
                <c:pt idx="45">
                  <c:v>8641.7409345723208</c:v>
                </c:pt>
                <c:pt idx="46">
                  <c:v>8597.553948489398</c:v>
                </c:pt>
                <c:pt idx="47">
                  <c:v>8544.998178816315</c:v>
                </c:pt>
                <c:pt idx="48">
                  <c:v>8484.9664903840858</c:v>
                </c:pt>
                <c:pt idx="49">
                  <c:v>8418.3413935044919</c:v>
                </c:pt>
                <c:pt idx="50">
                  <c:v>8345.9847793691697</c:v>
                </c:pt>
                <c:pt idx="51">
                  <c:v>8268.7294287497716</c:v>
                </c:pt>
                <c:pt idx="52">
                  <c:v>8187.3721760877779</c:v>
                </c:pt>
                <c:pt idx="53">
                  <c:v>8102.6685937023994</c:v>
                </c:pt>
                <c:pt idx="54">
                  <c:v>8015.3290507206857</c:v>
                </c:pt>
                <c:pt idx="55">
                  <c:v>7926.015997135115</c:v>
                </c:pt>
                <c:pt idx="56">
                  <c:v>7835.3423239207495</c:v>
                </c:pt>
                <c:pt idx="57">
                  <c:v>7743.87065433114</c:v>
                </c:pt>
                <c:pt idx="58">
                  <c:v>7652.1134284066957</c:v>
                </c:pt>
                <c:pt idx="59">
                  <c:v>7560.5336515773206</c:v>
                </c:pt>
                <c:pt idx="60">
                  <c:v>7469.5461883550815</c:v>
                </c:pt>
                <c:pt idx="61">
                  <c:v>7379.5194929460104</c:v>
                </c:pt>
                <c:pt idx="62">
                  <c:v>7290.7776797227125</c:v>
                </c:pt>
                <c:pt idx="63">
                  <c:v>7203.6028475470366</c:v>
                </c:pt>
                <c:pt idx="64">
                  <c:v>7118.2375826522275</c:v>
                </c:pt>
                <c:pt idx="65">
                  <c:v>7034.8875749945637</c:v>
                </c:pt>
                <c:pt idx="66">
                  <c:v>6953.72429253259</c:v>
                </c:pt>
                <c:pt idx="67">
                  <c:v>6874.8876667017375</c:v>
                </c:pt>
                <c:pt idx="68">
                  <c:v>6798.4887503781038</c:v>
                </c:pt>
                <c:pt idx="69">
                  <c:v>6724.6123168509812</c:v>
                </c:pt>
                <c:pt idx="70">
                  <c:v>6653.3193747585528</c:v>
                </c:pt>
                <c:pt idx="71">
                  <c:v>6584.6495796103036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8F-43A6-8F85-1987D75DEE3E}"/>
            </c:ext>
          </c:extLst>
        </c:ser>
        <c:ser>
          <c:idx val="3"/>
          <c:order val="3"/>
          <c:tx>
            <c:strRef>
              <c:f>'New_cases - LNorm'!$AE$7</c:f>
              <c:strCache>
                <c:ptCount val="1"/>
                <c:pt idx="0">
                  <c:v>Lower CI__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LNorm'!$AE$55:$AE$281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- Daily new cases (velocity)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61863161004613043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'New_cases - LNorm'!$M$7</c:f>
              <c:strCache>
                <c:ptCount val="1"/>
                <c:pt idx="0">
                  <c:v>Lombardy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LNorm'!$M$8:$M$281</c:f>
              <c:numCache>
                <c:formatCode>General</c:formatCode>
                <c:ptCount val="274"/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4-42C3-AEA3-0FCF0C9EE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LNorm'!$Q$7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LNorm'!$Q$8:$Q$281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2.194779593411024E-31</c:v>
                </c:pt>
                <c:pt idx="32">
                  <c:v>1.7322845421536119E-19</c:v>
                </c:pt>
                <c:pt idx="33">
                  <c:v>3.9532398639963845E-14</c:v>
                </c:pt>
                <c:pt idx="34">
                  <c:v>7.1529656312274142E-11</c:v>
                </c:pt>
                <c:pt idx="35">
                  <c:v>1.2699112488216759E-8</c:v>
                </c:pt>
                <c:pt idx="36">
                  <c:v>5.9253015244641235E-7</c:v>
                </c:pt>
                <c:pt idx="37">
                  <c:v>1.1748239881930595E-5</c:v>
                </c:pt>
                <c:pt idx="38">
                  <c:v>1.2933818240994045E-4</c:v>
                </c:pt>
                <c:pt idx="39">
                  <c:v>9.3046935614295309E-4</c:v>
                </c:pt>
                <c:pt idx="40">
                  <c:v>4.8624763084411642E-3</c:v>
                </c:pt>
                <c:pt idx="41">
                  <c:v>1.9841352030007232E-2</c:v>
                </c:pt>
                <c:pt idx="42">
                  <c:v>6.654550358259502E-2</c:v>
                </c:pt>
                <c:pt idx="43">
                  <c:v>0.19046709521624131</c:v>
                </c:pt>
                <c:pt idx="44">
                  <c:v>0.47857256012040816</c:v>
                </c:pt>
                <c:pt idx="45">
                  <c:v>1.0787875900445603</c:v>
                </c:pt>
                <c:pt idx="46">
                  <c:v>2.2190781575440344</c:v>
                </c:pt>
                <c:pt idx="47">
                  <c:v>4.2221927199926466</c:v>
                </c:pt>
                <c:pt idx="48">
                  <c:v>7.5124004947819838</c:v>
                </c:pt>
                <c:pt idx="49">
                  <c:v>12.611697574226687</c:v>
                </c:pt>
                <c:pt idx="50">
                  <c:v>20.124607729459562</c:v>
                </c:pt>
                <c:pt idx="51">
                  <c:v>30.712451565484525</c:v>
                </c:pt>
                <c:pt idx="52">
                  <c:v>45.059429969357659</c:v>
                </c:pt>
                <c:pt idx="53">
                  <c:v>63.833835847445826</c:v>
                </c:pt>
                <c:pt idx="54">
                  <c:v>87.648093905472948</c:v>
                </c:pt>
                <c:pt idx="55">
                  <c:v>117.02117832508443</c:v>
                </c:pt>
                <c:pt idx="56">
                  <c:v>152.34639825617381</c:v>
                </c:pt>
                <c:pt idx="57">
                  <c:v>193.86672930973202</c:v>
                </c:pt>
                <c:pt idx="58">
                  <c:v>241.65895998029089</c:v>
                </c:pt>
                <c:pt idx="59">
                  <c:v>295.62704237893797</c:v>
                </c:pt>
                <c:pt idx="60">
                  <c:v>355.50427654437118</c:v>
                </c:pt>
                <c:pt idx="61">
                  <c:v>420.86336829536248</c:v>
                </c:pt>
                <c:pt idx="62">
                  <c:v>491.13300028691896</c:v>
                </c:pt>
                <c:pt idx="63">
                  <c:v>565.61933768960068</c:v>
                </c:pt>
                <c:pt idx="64">
                  <c:v>643.53083024248861</c:v>
                </c:pt>
                <c:pt idx="65">
                  <c:v>724.00473902404099</c:v>
                </c:pt>
                <c:pt idx="66">
                  <c:v>806.13397412127313</c:v>
                </c:pt>
                <c:pt idx="67">
                  <c:v>888.99304505859823</c:v>
                </c:pt>
                <c:pt idx="68">
                  <c:v>971.66217028128381</c:v>
                </c:pt>
                <c:pt idx="69">
                  <c:v>1053.2488417170159</c:v>
                </c:pt>
                <c:pt idx="70">
                  <c:v>1132.9063779653745</c:v>
                </c:pt>
                <c:pt idx="71">
                  <c:v>1209.8492131042087</c:v>
                </c:pt>
                <c:pt idx="72">
                  <c:v>1283.3648504414211</c:v>
                </c:pt>
                <c:pt idx="73">
                  <c:v>1352.822558718497</c:v>
                </c:pt>
                <c:pt idx="74">
                  <c:v>1417.679002228017</c:v>
                </c:pt>
                <c:pt idx="75">
                  <c:v>1477.4810780998919</c:v>
                </c:pt>
                <c:pt idx="76">
                  <c:v>1531.8662870557482</c:v>
                </c:pt>
                <c:pt idx="77">
                  <c:v>1580.5609923813795</c:v>
                </c:pt>
                <c:pt idx="78">
                  <c:v>1623.3769301389393</c:v>
                </c:pt>
                <c:pt idx="79">
                  <c:v>1660.2063260677619</c:v>
                </c:pt>
                <c:pt idx="80">
                  <c:v>1691.0159552256368</c:v>
                </c:pt>
                <c:pt idx="81">
                  <c:v>1715.840452770231</c:v>
                </c:pt>
                <c:pt idx="82">
                  <c:v>1734.7751514208735</c:v>
                </c:pt>
                <c:pt idx="83">
                  <c:v>1747.968685586088</c:v>
                </c:pt>
                <c:pt idx="84">
                  <c:v>1755.6155658875773</c:v>
                </c:pt>
                <c:pt idx="85">
                  <c:v>1757.9488923792978</c:v>
                </c:pt>
                <c:pt idx="86">
                  <c:v>1755.2333412571345</c:v>
                </c:pt>
                <c:pt idx="87">
                  <c:v>1747.7585290314307</c:v>
                </c:pt>
                <c:pt idx="88">
                  <c:v>1735.8328304500953</c:v>
                </c:pt>
                <c:pt idx="89">
                  <c:v>1719.7777021380912</c:v>
                </c:pt>
                <c:pt idx="90">
                  <c:v>1699.9225430030324</c:v>
                </c:pt>
                <c:pt idx="91">
                  <c:v>1676.6001048543555</c:v>
                </c:pt>
                <c:pt idx="92">
                  <c:v>1650.1424522075963</c:v>
                </c:pt>
                <c:pt idx="93">
                  <c:v>1620.8774586452207</c:v>
                </c:pt>
                <c:pt idx="94">
                  <c:v>1589.1258180934817</c:v>
                </c:pt>
                <c:pt idx="95">
                  <c:v>1555.1985426467959</c:v>
                </c:pt>
                <c:pt idx="96">
                  <c:v>1519.3949138216258</c:v>
                </c:pt>
                <c:pt idx="97">
                  <c:v>1482.0008510551986</c:v>
                </c:pt>
                <c:pt idx="98">
                  <c:v>1443.2876596031119</c:v>
                </c:pt>
                <c:pt idx="99">
                  <c:v>1403.5111194784272</c:v>
                </c:pt>
                <c:pt idx="100">
                  <c:v>1362.9108774841045</c:v>
                </c:pt>
                <c:pt idx="101">
                  <c:v>1321.7101055171868</c:v>
                </c:pt>
                <c:pt idx="102">
                  <c:v>1280.115389990418</c:v>
                </c:pt>
                <c:pt idx="103">
                  <c:v>1238.3168192739481</c:v>
                </c:pt>
                <c:pt idx="104">
                  <c:v>1196.4882383786437</c:v>
                </c:pt>
                <c:pt idx="105">
                  <c:v>1154.7876425778054</c:v>
                </c:pt>
                <c:pt idx="106">
                  <c:v>1113.3576842095831</c:v>
                </c:pt>
                <c:pt idx="107">
                  <c:v>1072.3262694491302</c:v>
                </c:pt>
                <c:pt idx="108">
                  <c:v>1031.8072243341942</c:v>
                </c:pt>
                <c:pt idx="109">
                  <c:v>991.90101172920083</c:v>
                </c:pt>
                <c:pt idx="110">
                  <c:v>952.6954831916421</c:v>
                </c:pt>
                <c:pt idx="111">
                  <c:v>914.26665184004321</c:v>
                </c:pt>
                <c:pt idx="112">
                  <c:v>876.67947430216725</c:v>
                </c:pt>
                <c:pt idx="113">
                  <c:v>839.98863163849398</c:v>
                </c:pt>
                <c:pt idx="114">
                  <c:v>804.23930078788555</c:v>
                </c:pt>
                <c:pt idx="115">
                  <c:v>769.46790957141582</c:v>
                </c:pt>
                <c:pt idx="116">
                  <c:v>735.70286962182229</c:v>
                </c:pt>
                <c:pt idx="117">
                  <c:v>702.96528278682194</c:v>
                </c:pt>
                <c:pt idx="118">
                  <c:v>671.26961759335336</c:v>
                </c:pt>
                <c:pt idx="119">
                  <c:v>640.62435326623688</c:v>
                </c:pt>
                <c:pt idx="120">
                  <c:v>611.03258957880848</c:v>
                </c:pt>
                <c:pt idx="121">
                  <c:v>582.49262148530897</c:v>
                </c:pt>
                <c:pt idx="122">
                  <c:v>554.99847805544789</c:v>
                </c:pt>
                <c:pt idx="123">
                  <c:v>528.54042571051821</c:v>
                </c:pt>
                <c:pt idx="124">
                  <c:v>503.10543615765926</c:v>
                </c:pt>
                <c:pt idx="125">
                  <c:v>478.67761974325276</c:v>
                </c:pt>
                <c:pt idx="126">
                  <c:v>455.23862520672765</c:v>
                </c:pt>
                <c:pt idx="127">
                  <c:v>432.76800702007944</c:v>
                </c:pt>
                <c:pt idx="128">
                  <c:v>411.24356165364134</c:v>
                </c:pt>
                <c:pt idx="129">
                  <c:v>390.64163422160391</c:v>
                </c:pt>
                <c:pt idx="130">
                  <c:v>370.93739703769523</c:v>
                </c:pt>
                <c:pt idx="131">
                  <c:v>352.10510165754272</c:v>
                </c:pt>
                <c:pt idx="132">
                  <c:v>334.1183060046618</c:v>
                </c:pt>
                <c:pt idx="133">
                  <c:v>316.95007817583087</c:v>
                </c:pt>
                <c:pt idx="134">
                  <c:v>300.57317850286819</c:v>
                </c:pt>
                <c:pt idx="135">
                  <c:v>284.96022141471974</c:v>
                </c:pt>
                <c:pt idx="136">
                  <c:v>270.08381859928841</c:v>
                </c:pt>
                <c:pt idx="137">
                  <c:v>255.91670491119669</c:v>
                </c:pt>
                <c:pt idx="138">
                  <c:v>242.43184841168704</c:v>
                </c:pt>
                <c:pt idx="139">
                  <c:v>229.60254586220248</c:v>
                </c:pt>
                <c:pt idx="140">
                  <c:v>217.40250492532616</c:v>
                </c:pt>
                <c:pt idx="141">
                  <c:v>205.8059142570437</c:v>
                </c:pt>
                <c:pt idx="142">
                  <c:v>194.78750260386664</c:v>
                </c:pt>
                <c:pt idx="143">
                  <c:v>184.32258794816315</c:v>
                </c:pt>
                <c:pt idx="144">
                  <c:v>174.38711767577294</c:v>
                </c:pt>
                <c:pt idx="145">
                  <c:v>164.95770067229864</c:v>
                </c:pt>
                <c:pt idx="146">
                  <c:v>156.01163218881777</c:v>
                </c:pt>
                <c:pt idx="147">
                  <c:v>147.52691225449914</c:v>
                </c:pt>
                <c:pt idx="148">
                  <c:v>139.48225835302821</c:v>
                </c:pt>
                <c:pt idx="149">
                  <c:v>131.85711302205891</c:v>
                </c:pt>
                <c:pt idx="150">
                  <c:v>124.63164698013571</c:v>
                </c:pt>
                <c:pt idx="151">
                  <c:v>117.78675833389015</c:v>
                </c:pt>
                <c:pt idx="152">
                  <c:v>111.30406836968926</c:v>
                </c:pt>
                <c:pt idx="153">
                  <c:v>105.16591438836666</c:v>
                </c:pt>
                <c:pt idx="154">
                  <c:v>99.355339999105652</c:v>
                </c:pt>
                <c:pt idx="155">
                  <c:v>93.856083248924762</c:v>
                </c:pt>
                <c:pt idx="156">
                  <c:v>88.652562927420973</c:v>
                </c:pt>
                <c:pt idx="157">
                  <c:v>83.729863352353661</c:v>
                </c:pt>
                <c:pt idx="158">
                  <c:v>79.07371791020195</c:v>
                </c:pt>
                <c:pt idx="159">
                  <c:v>74.670491596837081</c:v>
                </c:pt>
                <c:pt idx="160">
                  <c:v>70.507162776822412</c:v>
                </c:pt>
                <c:pt idx="161">
                  <c:v>66.571304355456547</c:v>
                </c:pt>
                <c:pt idx="162">
                  <c:v>62.851064535325399</c:v>
                </c:pt>
                <c:pt idx="163">
                  <c:v>59.335147308776108</c:v>
                </c:pt>
                <c:pt idx="164">
                  <c:v>56.012792819164844</c:v>
                </c:pt>
                <c:pt idx="165">
                  <c:v>52.87375770689097</c:v>
                </c:pt>
                <c:pt idx="166">
                  <c:v>49.908295540959109</c:v>
                </c:pt>
                <c:pt idx="167">
                  <c:v>47.107137423001539</c:v>
                </c:pt>
                <c:pt idx="168">
                  <c:v>44.461472838251026</c:v>
                </c:pt>
                <c:pt idx="169">
                  <c:v>41.96293081672858</c:v>
                </c:pt>
                <c:pt idx="170">
                  <c:v>39.603561457876339</c:v>
                </c:pt>
                <c:pt idx="171">
                  <c:v>37.375817862836612</c:v>
                </c:pt>
                <c:pt idx="172">
                  <c:v>35.272538510554277</c:v>
                </c:pt>
                <c:pt idx="173">
                  <c:v>33.286930106712617</c:v>
                </c:pt>
                <c:pt idx="174">
                  <c:v>31.412550928160474</c:v>
                </c:pt>
                <c:pt idx="175">
                  <c:v>29.643294679872614</c:v>
                </c:pt>
                <c:pt idx="176">
                  <c:v>27.973374876525536</c:v>
                </c:pt>
                <c:pt idx="177">
                  <c:v>26.397309756428676</c:v>
                </c:pt>
                <c:pt idx="178">
                  <c:v>24.909907731743306</c:v>
                </c:pt>
                <c:pt idx="179">
                  <c:v>23.506253375618666</c:v>
                </c:pt>
                <c:pt idx="180">
                  <c:v>22.181693944010323</c:v>
                </c:pt>
                <c:pt idx="181">
                  <c:v>20.931826427491409</c:v>
                </c:pt>
                <c:pt idx="182">
                  <c:v>19.752485126258758</c:v>
                </c:pt>
                <c:pt idx="183">
                  <c:v>18.639729739770814</c:v>
                </c:pt>
                <c:pt idx="184">
                  <c:v>17.589833960954472</c:v>
                </c:pt>
                <c:pt idx="185">
                  <c:v>16.599274563695914</c:v>
                </c:pt>
                <c:pt idx="186">
                  <c:v>15.66472097132373</c:v>
                </c:pt>
                <c:pt idx="187">
                  <c:v>14.783025292992344</c:v>
                </c:pt>
                <c:pt idx="188">
                  <c:v>13.951212814257888</c:v>
                </c:pt>
                <c:pt idx="189">
                  <c:v>13.16647292767267</c:v>
                </c:pt>
                <c:pt idx="190">
                  <c:v>12.426150488902081</c:v>
                </c:pt>
                <c:pt idx="191">
                  <c:v>11.727737583666684</c:v>
                </c:pt>
                <c:pt idx="192">
                  <c:v>11.068865690713725</c:v>
                </c:pt>
                <c:pt idx="193">
                  <c:v>10.447298226022081</c:v>
                </c:pt>
                <c:pt idx="194">
                  <c:v>9.8609234535114449</c:v>
                </c:pt>
                <c:pt idx="195">
                  <c:v>9.3077477476759363</c:v>
                </c:pt>
                <c:pt idx="196">
                  <c:v>8.7858891937561783</c:v>
                </c:pt>
                <c:pt idx="197">
                  <c:v>8.2935715113132673</c:v>
                </c:pt>
                <c:pt idx="198">
                  <c:v>7.8291182873561276</c:v>
                </c:pt>
                <c:pt idx="199">
                  <c:v>7.3909475054923606</c:v>
                </c:pt>
                <c:pt idx="200">
                  <c:v>6.9775663579236387</c:v>
                </c:pt>
                <c:pt idx="201">
                  <c:v>6.5875663274715093</c:v>
                </c:pt>
                <c:pt idx="202">
                  <c:v>6.2196185272077651</c:v>
                </c:pt>
                <c:pt idx="203">
                  <c:v>5.8724692856566794</c:v>
                </c:pt>
                <c:pt idx="204">
                  <c:v>5.544935965945478</c:v>
                </c:pt>
                <c:pt idx="205">
                  <c:v>5.2359030076835298</c:v>
                </c:pt>
                <c:pt idx="206">
                  <c:v>4.9443181807676106</c:v>
                </c:pt>
                <c:pt idx="207">
                  <c:v>4.6691890407165877</c:v>
                </c:pt>
                <c:pt idx="208">
                  <c:v>4.4095795755502216</c:v>
                </c:pt>
                <c:pt idx="209">
                  <c:v>4.1646070346273749</c:v>
                </c:pt>
                <c:pt idx="210">
                  <c:v>3.9334389302597814</c:v>
                </c:pt>
                <c:pt idx="211">
                  <c:v>3.715290203303137</c:v>
                </c:pt>
                <c:pt idx="212">
                  <c:v>3.5094205443131448</c:v>
                </c:pt>
                <c:pt idx="213">
                  <c:v>3.3151318622232631</c:v>
                </c:pt>
                <c:pt idx="214">
                  <c:v>3.1317658928650469</c:v>
                </c:pt>
                <c:pt idx="215">
                  <c:v>2.9587019400030021</c:v>
                </c:pt>
                <c:pt idx="216">
                  <c:v>2.7953547418971674</c:v>
                </c:pt>
                <c:pt idx="217">
                  <c:v>2.6411724567360562</c:v>
                </c:pt>
                <c:pt idx="218">
                  <c:v>2.4956347606012477</c:v>
                </c:pt>
                <c:pt idx="219">
                  <c:v>2.3582510519313353</c:v>
                </c:pt>
                <c:pt idx="220">
                  <c:v>2.2285587567489626</c:v>
                </c:pt>
                <c:pt idx="221">
                  <c:v>2.1061217291979557</c:v>
                </c:pt>
                <c:pt idx="222">
                  <c:v>1.9905287422103664</c:v>
                </c:pt>
                <c:pt idx="223">
                  <c:v>1.8813920633845929</c:v>
                </c:pt>
                <c:pt idx="224">
                  <c:v>1.7783461114061818</c:v>
                </c:pt>
                <c:pt idx="225">
                  <c:v>1.681046188582225</c:v>
                </c:pt>
                <c:pt idx="226">
                  <c:v>1.5891672852894634</c:v>
                </c:pt>
                <c:pt idx="227">
                  <c:v>1.5024029523548661</c:v>
                </c:pt>
                <c:pt idx="228">
                  <c:v>1.4204642375960852</c:v>
                </c:pt>
                <c:pt idx="229">
                  <c:v>1.3430786829485246</c:v>
                </c:pt>
                <c:pt idx="230">
                  <c:v>1.2699893787952741</c:v>
                </c:pt>
                <c:pt idx="231">
                  <c:v>1.2009540722966696</c:v>
                </c:pt>
                <c:pt idx="232">
                  <c:v>1.1357443266885185</c:v>
                </c:pt>
                <c:pt idx="233">
                  <c:v>1.074144728681137</c:v>
                </c:pt>
                <c:pt idx="234">
                  <c:v>1.0159521412471268</c:v>
                </c:pt>
                <c:pt idx="235">
                  <c:v>0.96097499923311935</c:v>
                </c:pt>
                <c:pt idx="236">
                  <c:v>0.90903264537120754</c:v>
                </c:pt>
                <c:pt idx="237">
                  <c:v>0.85995470439869859</c:v>
                </c:pt>
                <c:pt idx="238">
                  <c:v>0.81358049312119352</c:v>
                </c:pt>
                <c:pt idx="239">
                  <c:v>0.76975846437346696</c:v>
                </c:pt>
                <c:pt idx="240">
                  <c:v>0.72834568294645352</c:v>
                </c:pt>
                <c:pt idx="241">
                  <c:v>0.68920733165576609</c:v>
                </c:pt>
                <c:pt idx="242">
                  <c:v>0.65221624582942583</c:v>
                </c:pt>
                <c:pt idx="243">
                  <c:v>0.61725247458845545</c:v>
                </c:pt>
                <c:pt idx="244">
                  <c:v>0.58420286738576432</c:v>
                </c:pt>
                <c:pt idx="245">
                  <c:v>0.55296068435463097</c:v>
                </c:pt>
                <c:pt idx="246">
                  <c:v>0.5234252291001773</c:v>
                </c:pt>
                <c:pt idx="247">
                  <c:v>0.4955015026442452</c:v>
                </c:pt>
                <c:pt idx="248">
                  <c:v>0.46909987730729369</c:v>
                </c:pt>
                <c:pt idx="249">
                  <c:v>0.44413578937989073</c:v>
                </c:pt>
                <c:pt idx="250">
                  <c:v>0.42052944950167509</c:v>
                </c:pt>
                <c:pt idx="251">
                  <c:v>0.39820556972734578</c:v>
                </c:pt>
                <c:pt idx="252">
                  <c:v>0.37709310631732912</c:v>
                </c:pt>
                <c:pt idx="253">
                  <c:v>0.35712501734604035</c:v>
                </c:pt>
                <c:pt idx="254">
                  <c:v>0.33823803427225169</c:v>
                </c:pt>
                <c:pt idx="255">
                  <c:v>0.32037244666542969</c:v>
                </c:pt>
                <c:pt idx="256">
                  <c:v>0.30347189932791618</c:v>
                </c:pt>
                <c:pt idx="257">
                  <c:v>0.28748320109670422</c:v>
                </c:pt>
                <c:pt idx="258">
                  <c:v>0.27235614464960117</c:v>
                </c:pt>
                <c:pt idx="259">
                  <c:v>0.25804333667958684</c:v>
                </c:pt>
                <c:pt idx="260">
                  <c:v>0.24450003783773513</c:v>
                </c:pt>
                <c:pt idx="261">
                  <c:v>0.23168401187976448</c:v>
                </c:pt>
                <c:pt idx="262">
                  <c:v>0.21955538348380665</c:v>
                </c:pt>
                <c:pt idx="263">
                  <c:v>0.20807650423781732</c:v>
                </c:pt>
                <c:pt idx="264">
                  <c:v>0.19721182632402609</c:v>
                </c:pt>
                <c:pt idx="265">
                  <c:v>0.1869277834551584</c:v>
                </c:pt>
                <c:pt idx="266">
                  <c:v>0.17719267864299418</c:v>
                </c:pt>
                <c:pt idx="267">
                  <c:v>0.1679765784040359</c:v>
                </c:pt>
                <c:pt idx="268">
                  <c:v>0.15925121303004147</c:v>
                </c:pt>
                <c:pt idx="269">
                  <c:v>0.15098988257272769</c:v>
                </c:pt>
                <c:pt idx="270">
                  <c:v>0.1431673682122748</c:v>
                </c:pt>
                <c:pt idx="271">
                  <c:v>0.13575984869846613</c:v>
                </c:pt>
                <c:pt idx="272">
                  <c:v>0.12874482157130396</c:v>
                </c:pt>
                <c:pt idx="273">
                  <c:v>0.12210102888501577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74-42C3-AEA3-0FCF0C9EED54}"/>
            </c:ext>
          </c:extLst>
        </c:ser>
        <c:ser>
          <c:idx val="2"/>
          <c:order val="2"/>
          <c:tx>
            <c:strRef>
              <c:f>'New_cases - LNorm'!$T$7</c:f>
              <c:strCache>
                <c:ptCount val="1"/>
                <c:pt idx="0">
                  <c:v>Upper CI_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LNorm'!$T$55:$T$281</c:f>
              <c:numCache>
                <c:formatCode>General</c:formatCode>
                <c:ptCount val="227"/>
                <c:pt idx="0">
                  <c:v>2574.6045156364012</c:v>
                </c:pt>
                <c:pt idx="1">
                  <c:v>2577.8947234111906</c:v>
                </c:pt>
                <c:pt idx="2">
                  <c:v>2582.9940204906352</c:v>
                </c:pt>
                <c:pt idx="3">
                  <c:v>2590.5069306458681</c:v>
                </c:pt>
                <c:pt idx="4">
                  <c:v>2601.0947744818932</c:v>
                </c:pt>
                <c:pt idx="5">
                  <c:v>2615.4417528857662</c:v>
                </c:pt>
                <c:pt idx="6">
                  <c:v>2634.2161587638543</c:v>
                </c:pt>
                <c:pt idx="7">
                  <c:v>2658.0304168218818</c:v>
                </c:pt>
                <c:pt idx="8">
                  <c:v>2687.4035012414929</c:v>
                </c:pt>
                <c:pt idx="9">
                  <c:v>2722.7287211725825</c:v>
                </c:pt>
                <c:pt idx="10">
                  <c:v>2764.2490522261405</c:v>
                </c:pt>
                <c:pt idx="11">
                  <c:v>2812.0412828966996</c:v>
                </c:pt>
                <c:pt idx="12">
                  <c:v>2866.0093652953465</c:v>
                </c:pt>
                <c:pt idx="13">
                  <c:v>2925.88659946078</c:v>
                </c:pt>
                <c:pt idx="14">
                  <c:v>2991.2456912117709</c:v>
                </c:pt>
                <c:pt idx="15">
                  <c:v>3061.5153232033276</c:v>
                </c:pt>
                <c:pt idx="16">
                  <c:v>3136.0016606060094</c:v>
                </c:pt>
                <c:pt idx="17">
                  <c:v>3213.9131531588973</c:v>
                </c:pt>
                <c:pt idx="18">
                  <c:v>3294.3870619404497</c:v>
                </c:pt>
                <c:pt idx="19">
                  <c:v>3376.5162970376819</c:v>
                </c:pt>
                <c:pt idx="20">
                  <c:v>3459.3753679750071</c:v>
                </c:pt>
                <c:pt idx="21">
                  <c:v>3542.0444931976926</c:v>
                </c:pt>
                <c:pt idx="22">
                  <c:v>3623.6311646334243</c:v>
                </c:pt>
                <c:pt idx="23">
                  <c:v>3703.2887008817834</c:v>
                </c:pt>
                <c:pt idx="24">
                  <c:v>3780.2315360206176</c:v>
                </c:pt>
                <c:pt idx="25">
                  <c:v>3853.7471733578295</c:v>
                </c:pt>
                <c:pt idx="26">
                  <c:v>3923.2048816349056</c:v>
                </c:pt>
                <c:pt idx="27">
                  <c:v>3988.0613251444256</c:v>
                </c:pt>
                <c:pt idx="28">
                  <c:v>4047.8634010163005</c:v>
                </c:pt>
                <c:pt idx="29">
                  <c:v>4102.2486099721573</c:v>
                </c:pt>
                <c:pt idx="30">
                  <c:v>4150.9433152977881</c:v>
                </c:pt>
                <c:pt idx="31">
                  <c:v>4193.7592530553484</c:v>
                </c:pt>
                <c:pt idx="32">
                  <c:v>4230.5886489841705</c:v>
                </c:pt>
                <c:pt idx="33">
                  <c:v>4261.3982781420455</c:v>
                </c:pt>
                <c:pt idx="34">
                  <c:v>4286.2227756866396</c:v>
                </c:pt>
                <c:pt idx="35">
                  <c:v>4305.1574743372821</c:v>
                </c:pt>
                <c:pt idx="36">
                  <c:v>4318.3510085024964</c:v>
                </c:pt>
                <c:pt idx="37">
                  <c:v>4325.9978888039859</c:v>
                </c:pt>
                <c:pt idx="38">
                  <c:v>4328.331215295706</c:v>
                </c:pt>
                <c:pt idx="39">
                  <c:v>4325.6156641735433</c:v>
                </c:pt>
                <c:pt idx="40">
                  <c:v>4318.1408519478391</c:v>
                </c:pt>
                <c:pt idx="41">
                  <c:v>4306.2151533665037</c:v>
                </c:pt>
                <c:pt idx="42">
                  <c:v>4290.1600250544998</c:v>
                </c:pt>
                <c:pt idx="43">
                  <c:v>4270.304865919441</c:v>
                </c:pt>
                <c:pt idx="44">
                  <c:v>4246.9824277707639</c:v>
                </c:pt>
                <c:pt idx="45">
                  <c:v>4220.5247751240049</c:v>
                </c:pt>
                <c:pt idx="46">
                  <c:v>4191.2597815616291</c:v>
                </c:pt>
                <c:pt idx="47">
                  <c:v>4159.5081410098901</c:v>
                </c:pt>
                <c:pt idx="48">
                  <c:v>4125.5808655632045</c:v>
                </c:pt>
                <c:pt idx="49">
                  <c:v>4089.7772367380344</c:v>
                </c:pt>
                <c:pt idx="50">
                  <c:v>4052.383173971607</c:v>
                </c:pt>
                <c:pt idx="51">
                  <c:v>4013.6699825195205</c:v>
                </c:pt>
                <c:pt idx="52">
                  <c:v>3973.8934423948358</c:v>
                </c:pt>
                <c:pt idx="53">
                  <c:v>3933.2932004005133</c:v>
                </c:pt>
                <c:pt idx="54">
                  <c:v>3892.0924284335952</c:v>
                </c:pt>
                <c:pt idx="55">
                  <c:v>3850.4977129068266</c:v>
                </c:pt>
                <c:pt idx="56">
                  <c:v>3808.6991421903567</c:v>
                </c:pt>
                <c:pt idx="57">
                  <c:v>3766.8705612950525</c:v>
                </c:pt>
                <c:pt idx="58">
                  <c:v>3725.169965494214</c:v>
                </c:pt>
                <c:pt idx="59">
                  <c:v>3683.7400071259917</c:v>
                </c:pt>
                <c:pt idx="60">
                  <c:v>3642.7085923655386</c:v>
                </c:pt>
                <c:pt idx="61">
                  <c:v>3602.189547250603</c:v>
                </c:pt>
                <c:pt idx="62">
                  <c:v>3562.2833346456096</c:v>
                </c:pt>
                <c:pt idx="63">
                  <c:v>3523.0778061080509</c:v>
                </c:pt>
                <c:pt idx="64">
                  <c:v>3484.6489747564519</c:v>
                </c:pt>
                <c:pt idx="65">
                  <c:v>3447.061797218576</c:v>
                </c:pt>
                <c:pt idx="66">
                  <c:v>3410.3709545549027</c:v>
                </c:pt>
                <c:pt idx="67">
                  <c:v>3374.6216237042941</c:v>
                </c:pt>
                <c:pt idx="68">
                  <c:v>3339.8502324878245</c:v>
                </c:pt>
                <c:pt idx="69">
                  <c:v>3306.0851925382308</c:v>
                </c:pt>
                <c:pt idx="70">
                  <c:v>3273.3476057032303</c:v>
                </c:pt>
                <c:pt idx="71">
                  <c:v>3241.651940509762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74-42C3-AEA3-0FCF0C9EED54}"/>
            </c:ext>
          </c:extLst>
        </c:ser>
        <c:ser>
          <c:idx val="3"/>
          <c:order val="3"/>
          <c:tx>
            <c:strRef>
              <c:f>'New_cases - LNorm'!$U$7</c:f>
              <c:strCache>
                <c:ptCount val="1"/>
                <c:pt idx="0">
                  <c:v>Lower CI_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LNorm'!$U$55:$U$281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74-42C3-AEA3-0FCF0C9EE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Spain - Daily new cases (velocity)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LNorm'!$E$7</c:f>
              <c:strCache>
                <c:ptCount val="1"/>
                <c:pt idx="0">
                  <c:v>Spain daily cases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LNorm'!$E$55:$E$281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7</c:v>
                </c:pt>
                <c:pt idx="10">
                  <c:v>2</c:v>
                </c:pt>
                <c:pt idx="11">
                  <c:v>17</c:v>
                </c:pt>
                <c:pt idx="12">
                  <c:v>13</c:v>
                </c:pt>
                <c:pt idx="13">
                  <c:v>39</c:v>
                </c:pt>
                <c:pt idx="14">
                  <c:v>36</c:v>
                </c:pt>
                <c:pt idx="15">
                  <c:v>45</c:v>
                </c:pt>
                <c:pt idx="16">
                  <c:v>57</c:v>
                </c:pt>
                <c:pt idx="17">
                  <c:v>37</c:v>
                </c:pt>
                <c:pt idx="18">
                  <c:v>141</c:v>
                </c:pt>
                <c:pt idx="19">
                  <c:v>100</c:v>
                </c:pt>
                <c:pt idx="20">
                  <c:v>173</c:v>
                </c:pt>
                <c:pt idx="21">
                  <c:v>400</c:v>
                </c:pt>
                <c:pt idx="22">
                  <c:v>622</c:v>
                </c:pt>
                <c:pt idx="23">
                  <c:v>582</c:v>
                </c:pt>
                <c:pt idx="24">
                  <c:v>0</c:v>
                </c:pt>
                <c:pt idx="25">
                  <c:v>2955</c:v>
                </c:pt>
                <c:pt idx="26">
                  <c:v>1159</c:v>
                </c:pt>
                <c:pt idx="27">
                  <c:v>1407</c:v>
                </c:pt>
                <c:pt idx="28">
                  <c:v>2144</c:v>
                </c:pt>
                <c:pt idx="29">
                  <c:v>1806</c:v>
                </c:pt>
                <c:pt idx="30">
                  <c:v>2162</c:v>
                </c:pt>
                <c:pt idx="31">
                  <c:v>4053</c:v>
                </c:pt>
                <c:pt idx="32">
                  <c:v>2447</c:v>
                </c:pt>
                <c:pt idx="33">
                  <c:v>4964</c:v>
                </c:pt>
                <c:pt idx="34">
                  <c:v>3394</c:v>
                </c:pt>
                <c:pt idx="35">
                  <c:v>6368</c:v>
                </c:pt>
                <c:pt idx="36">
                  <c:v>4749</c:v>
                </c:pt>
                <c:pt idx="37">
                  <c:v>9630</c:v>
                </c:pt>
                <c:pt idx="38">
                  <c:v>8271</c:v>
                </c:pt>
                <c:pt idx="39">
                  <c:v>7933</c:v>
                </c:pt>
                <c:pt idx="40">
                  <c:v>7516</c:v>
                </c:pt>
                <c:pt idx="41">
                  <c:v>6875</c:v>
                </c:pt>
                <c:pt idx="42">
                  <c:v>7846</c:v>
                </c:pt>
                <c:pt idx="43">
                  <c:v>7967</c:v>
                </c:pt>
                <c:pt idx="44">
                  <c:v>8195</c:v>
                </c:pt>
                <c:pt idx="45">
                  <c:v>7947</c:v>
                </c:pt>
                <c:pt idx="46">
                  <c:v>7134</c:v>
                </c:pt>
                <c:pt idx="47">
                  <c:v>6969</c:v>
                </c:pt>
                <c:pt idx="48">
                  <c:v>5478</c:v>
                </c:pt>
                <c:pt idx="49">
                  <c:v>5029</c:v>
                </c:pt>
                <c:pt idx="50">
                  <c:v>5267</c:v>
                </c:pt>
                <c:pt idx="51">
                  <c:v>6278</c:v>
                </c:pt>
                <c:pt idx="52">
                  <c:v>5002</c:v>
                </c:pt>
                <c:pt idx="53">
                  <c:v>5051</c:v>
                </c:pt>
                <c:pt idx="54">
                  <c:v>4754</c:v>
                </c:pt>
                <c:pt idx="55">
                  <c:v>3804</c:v>
                </c:pt>
                <c:pt idx="56">
                  <c:v>3268</c:v>
                </c:pt>
                <c:pt idx="57">
                  <c:v>2442</c:v>
                </c:pt>
                <c:pt idx="58">
                  <c:v>5103</c:v>
                </c:pt>
                <c:pt idx="59">
                  <c:v>7304</c:v>
                </c:pt>
                <c:pt idx="60">
                  <c:v>5891</c:v>
                </c:pt>
                <c:pt idx="61">
                  <c:v>887</c:v>
                </c:pt>
                <c:pt idx="62">
                  <c:v>6948</c:v>
                </c:pt>
                <c:pt idx="63">
                  <c:v>1536</c:v>
                </c:pt>
                <c:pt idx="64">
                  <c:v>3968</c:v>
                </c:pt>
                <c:pt idx="65">
                  <c:v>4211</c:v>
                </c:pt>
                <c:pt idx="66">
                  <c:v>4635</c:v>
                </c:pt>
                <c:pt idx="67">
                  <c:v>6740</c:v>
                </c:pt>
                <c:pt idx="68">
                  <c:v>3995</c:v>
                </c:pt>
                <c:pt idx="69">
                  <c:v>2870</c:v>
                </c:pt>
                <c:pt idx="70">
                  <c:v>2793</c:v>
                </c:pt>
                <c:pt idx="71">
                  <c:v>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LNorm'!$G$7</c:f>
              <c:strCache>
                <c:ptCount val="1"/>
                <c:pt idx="0">
                  <c:v>Spain daily cases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LNorm'!$G$55:$G$281</c:f>
              <c:numCache>
                <c:formatCode>General</c:formatCode>
                <c:ptCount val="227"/>
                <c:pt idx="0">
                  <c:v>1.7084807858180932E-3</c:v>
                </c:pt>
                <c:pt idx="1">
                  <c:v>7.0215187056150118E-3</c:v>
                </c:pt>
                <c:pt idx="2">
                  <c:v>2.4697925493090144E-2</c:v>
                </c:pt>
                <c:pt idx="3">
                  <c:v>7.6084153698577198E-2</c:v>
                </c:pt>
                <c:pt idx="4">
                  <c:v>0.20911970476723316</c:v>
                </c:pt>
                <c:pt idx="5">
                  <c:v>0.52065268396359088</c:v>
                </c:pt>
                <c:pt idx="6">
                  <c:v>1.1890292674842853</c:v>
                </c:pt>
                <c:pt idx="7">
                  <c:v>2.5168940446355834</c:v>
                </c:pt>
                <c:pt idx="8">
                  <c:v>4.9817649672577309</c:v>
                </c:pt>
                <c:pt idx="9">
                  <c:v>9.2893743357339726</c:v>
                </c:pt>
                <c:pt idx="10">
                  <c:v>16.422625492289285</c:v>
                </c:pt>
                <c:pt idx="11">
                  <c:v>27.677878686693333</c:v>
                </c:pt>
                <c:pt idx="12">
                  <c:v>44.680503675591723</c:v>
                </c:pt>
                <c:pt idx="13">
                  <c:v>69.373268163815382</c:v>
                </c:pt>
                <c:pt idx="14">
                  <c:v>103.97391632122363</c:v>
                </c:pt>
                <c:pt idx="15">
                  <c:v>150.90175809924156</c:v>
                </c:pt>
                <c:pt idx="16">
                  <c:v>212.67666974944026</c:v>
                </c:pt>
                <c:pt idx="17">
                  <c:v>291.79705816051205</c:v>
                </c:pt>
                <c:pt idx="18">
                  <c:v>390.60564885777359</c:v>
                </c:pt>
                <c:pt idx="19">
                  <c:v>511.15317857873885</c:v>
                </c:pt>
                <c:pt idx="20">
                  <c:v>655.07015345726802</c:v>
                </c:pt>
                <c:pt idx="21">
                  <c:v>823.45588019314073</c:v>
                </c:pt>
                <c:pt idx="22">
                  <c:v>1016.7922136968056</c:v>
                </c:pt>
                <c:pt idx="23">
                  <c:v>1234.8871771580743</c:v>
                </c:pt>
                <c:pt idx="24">
                  <c:v>1476.851098703266</c:v>
                </c:pt>
                <c:pt idx="25">
                  <c:v>1741.1054449915209</c:v>
                </c:pt>
                <c:pt idx="26">
                  <c:v>2025.422334616442</c:v>
                </c:pt>
                <c:pt idx="27">
                  <c:v>2326.9909343419145</c:v>
                </c:pt>
                <c:pt idx="28">
                  <c:v>2642.5056616012921</c:v>
                </c:pt>
                <c:pt idx="29">
                  <c:v>2968.2703579724789</c:v>
                </c:pt>
                <c:pt idx="30">
                  <c:v>3300.312331208881</c:v>
                </c:pt>
                <c:pt idx="31">
                  <c:v>3634.5003228955043</c:v>
                </c:pt>
                <c:pt idx="32">
                  <c:v>3966.6609585455972</c:v>
                </c:pt>
                <c:pt idx="33">
                  <c:v>4292.6889818532982</c:v>
                </c:pt>
                <c:pt idx="34">
                  <c:v>4608.6474712069685</c:v>
                </c:pt>
                <c:pt idx="35">
                  <c:v>4910.8551995771786</c:v>
                </c:pt>
                <c:pt idx="36">
                  <c:v>5195.9592570829636</c:v>
                </c:pt>
                <c:pt idx="37">
                  <c:v>5460.9919531422902</c:v>
                </c:pt>
                <c:pt idx="38">
                  <c:v>5703.4118123852231</c:v>
                </c:pt>
                <c:pt idx="39">
                  <c:v>5921.1291506987436</c:v>
                </c:pt>
                <c:pt idx="40">
                  <c:v>6112.5172531984645</c:v>
                </c:pt>
                <c:pt idx="41">
                  <c:v>6276.4105735788644</c:v>
                </c:pt>
                <c:pt idx="42">
                  <c:v>6412.0916413164368</c:v>
                </c:pt>
                <c:pt idx="43">
                  <c:v>6519.2685124315667</c:v>
                </c:pt>
                <c:pt idx="44">
                  <c:v>6598.0446473270104</c:v>
                </c:pt>
                <c:pt idx="45">
                  <c:v>6648.8830636789098</c:v>
                </c:pt>
                <c:pt idx="46">
                  <c:v>6672.5665117635563</c:v>
                </c:pt>
                <c:pt idx="47">
                  <c:v>6670.1552714164445</c:v>
                </c:pt>
                <c:pt idx="48">
                  <c:v>6642.9439899023255</c:v>
                </c:pt>
                <c:pt idx="49">
                  <c:v>6592.4187821421056</c:v>
                </c:pt>
                <c:pt idx="50">
                  <c:v>6520.2156105477125</c:v>
                </c:pt>
                <c:pt idx="51">
                  <c:v>6428.0807604193878</c:v>
                </c:pt>
                <c:pt idx="52">
                  <c:v>6317.8340355287664</c:v>
                </c:pt>
                <c:pt idx="53">
                  <c:v>6191.3351222170459</c:v>
                </c:pt>
                <c:pt idx="54">
                  <c:v>6050.4534124004522</c:v>
                </c:pt>
                <c:pt idx="55">
                  <c:v>5897.0414381368118</c:v>
                </c:pt>
                <c:pt idx="56">
                  <c:v>5732.9119535054133</c:v>
                </c:pt>
                <c:pt idx="57">
                  <c:v>5559.8186031841678</c:v>
                </c:pt>
                <c:pt idx="58">
                  <c:v>5379.440040265582</c:v>
                </c:pt>
                <c:pt idx="59">
                  <c:v>5193.3672970394437</c:v>
                </c:pt>
                <c:pt idx="60">
                  <c:v>5003.0941698685765</c:v>
                </c:pt>
                <c:pt idx="61">
                  <c:v>4810.0103509165019</c:v>
                </c:pt>
                <c:pt idx="62">
                  <c:v>4615.3970233170312</c:v>
                </c:pt>
                <c:pt idx="63">
                  <c:v>4420.424630412911</c:v>
                </c:pt>
                <c:pt idx="64">
                  <c:v>4226.1525320402661</c:v>
                </c:pt>
                <c:pt idx="65">
                  <c:v>4033.5302697535976</c:v>
                </c:pt>
                <c:pt idx="66">
                  <c:v>3843.4001768018152</c:v>
                </c:pt>
                <c:pt idx="67">
                  <c:v>3656.5010861965984</c:v>
                </c:pt>
                <c:pt idx="68">
                  <c:v>3473.472910170015</c:v>
                </c:pt>
                <c:pt idx="69">
                  <c:v>3294.8618856933795</c:v>
                </c:pt>
                <c:pt idx="70">
                  <c:v>3121.1263026961396</c:v>
                </c:pt>
                <c:pt idx="71">
                  <c:v>2952.6425535153221</c:v>
                </c:pt>
                <c:pt idx="72">
                  <c:v>2789.7113634011248</c:v>
                </c:pt>
                <c:pt idx="73">
                  <c:v>2632.5640822113255</c:v>
                </c:pt>
                <c:pt idx="74">
                  <c:v>2481.3689364615088</c:v>
                </c:pt>
                <c:pt idx="75">
                  <c:v>2336.2371584737839</c:v>
                </c:pt>
                <c:pt idx="76">
                  <c:v>2197.228925371332</c:v>
                </c:pt>
                <c:pt idx="77">
                  <c:v>2064.359055053093</c:v>
                </c:pt>
                <c:pt idx="78">
                  <c:v>1937.6024190554631</c:v>
                </c:pt>
                <c:pt idx="79">
                  <c:v>1816.8990434080113</c:v>
                </c:pt>
                <c:pt idx="80">
                  <c:v>1702.1588782887195</c:v>
                </c:pt>
                <c:pt idx="81">
                  <c:v>1593.2662255735843</c:v>
                </c:pt>
                <c:pt idx="82">
                  <c:v>1490.0838203600817</c:v>
                </c:pt>
                <c:pt idx="83">
                  <c:v>1392.4565683377853</c:v>
                </c:pt>
                <c:pt idx="84">
                  <c:v>1300.2149455988288</c:v>
                </c:pt>
                <c:pt idx="85">
                  <c:v>1213.178071241771</c:v>
                </c:pt>
                <c:pt idx="86">
                  <c:v>1131.1564660377999</c:v>
                </c:pt>
                <c:pt idx="87">
                  <c:v>1053.954512606248</c:v>
                </c:pt>
                <c:pt idx="88">
                  <c:v>981.37263408792944</c:v>
                </c:pt>
                <c:pt idx="89">
                  <c:v>913.20920930354146</c:v>
                </c:pt>
                <c:pt idx="90">
                  <c:v>849.26224292655047</c:v>
                </c:pt>
                <c:pt idx="91">
                  <c:v>789.33080936189947</c:v>
                </c:pt>
                <c:pt idx="92">
                  <c:v>733.21628887403631</c:v>
                </c:pt>
                <c:pt idx="93">
                  <c:v>680.72341411044317</c:v>
                </c:pt>
                <c:pt idx="94">
                  <c:v>631.6611445741903</c:v>
                </c:pt>
                <c:pt idx="95">
                  <c:v>585.8433858577198</c:v>
                </c:pt>
                <c:pt idx="96">
                  <c:v>543.08956959988836</c:v>
                </c:pt>
                <c:pt idx="97">
                  <c:v>503.2251092033336</c:v>
                </c:pt>
                <c:pt idx="98">
                  <c:v>466.08174537853199</c:v>
                </c:pt>
                <c:pt idx="99">
                  <c:v>431.49779458743478</c:v>
                </c:pt>
                <c:pt idx="100">
                  <c:v>399.31831246371695</c:v>
                </c:pt>
                <c:pt idx="101">
                  <c:v>369.39518330330452</c:v>
                </c:pt>
                <c:pt idx="102">
                  <c:v>341.5871457608398</c:v>
                </c:pt>
                <c:pt idx="103">
                  <c:v>315.75976396446225</c:v>
                </c:pt>
                <c:pt idx="104">
                  <c:v>291.7853523798405</c:v>
                </c:pt>
                <c:pt idx="105">
                  <c:v>269.54286191969862</c:v>
                </c:pt>
                <c:pt idx="106">
                  <c:v>248.91773401072231</c:v>
                </c:pt>
                <c:pt idx="107">
                  <c:v>229.80172859720099</c:v>
                </c:pt>
                <c:pt idx="108">
                  <c:v>212.09273138111331</c:v>
                </c:pt>
                <c:pt idx="109">
                  <c:v>195.69454497095879</c:v>
                </c:pt>
                <c:pt idx="110">
                  <c:v>180.51666803584135</c:v>
                </c:pt>
                <c:pt idx="111">
                  <c:v>166.47406603522003</c:v>
                </c:pt>
                <c:pt idx="112">
                  <c:v>153.48693661645916</c:v>
                </c:pt>
                <c:pt idx="113">
                  <c:v>141.48047233951266</c:v>
                </c:pt>
                <c:pt idx="114">
                  <c:v>130.38462299810527</c:v>
                </c:pt>
                <c:pt idx="115">
                  <c:v>120.13385945695818</c:v>
                </c:pt>
                <c:pt idx="116">
                  <c:v>110.66694061226849</c:v>
                </c:pt>
                <c:pt idx="117">
                  <c:v>101.92668480488577</c:v>
                </c:pt>
                <c:pt idx="118">
                  <c:v>93.859746769834203</c:v>
                </c:pt>
                <c:pt idx="119">
                  <c:v>86.416400989262044</c:v>
                </c:pt>
                <c:pt idx="120">
                  <c:v>79.550332126057015</c:v>
                </c:pt>
                <c:pt idx="121">
                  <c:v>73.218433049791741</c:v>
                </c:pt>
                <c:pt idx="122">
                  <c:v>67.380610823037827</c:v>
                </c:pt>
                <c:pt idx="123">
                  <c:v>61.999600892245162</c:v>
                </c:pt>
                <c:pt idx="124">
                  <c:v>57.040789621333126</c:v>
                </c:pt>
                <c:pt idx="125">
                  <c:v>52.472045215928894</c:v>
                </c:pt>
                <c:pt idx="126">
                  <c:v>48.263557010167148</c:v>
                </c:pt>
                <c:pt idx="127">
                  <c:v>44.387683024458305</c:v>
                </c:pt>
                <c:pt idx="128">
                  <c:v>40.818805650221073</c:v>
                </c:pt>
                <c:pt idx="129">
                  <c:v>37.533195274926697</c:v>
                </c:pt>
                <c:pt idx="130">
                  <c:v>34.508881626683475</c:v>
                </c:pt>
                <c:pt idx="131">
                  <c:v>31.725532590928758</c:v>
                </c:pt>
                <c:pt idx="132">
                  <c:v>29.164340231596746</c:v>
                </c:pt>
                <c:pt idx="133">
                  <c:v>26.807913734515296</c:v>
                </c:pt>
                <c:pt idx="134">
                  <c:v>24.64017898095635</c:v>
                </c:pt>
                <c:pt idx="135">
                  <c:v>22.646284453518664</c:v>
                </c:pt>
                <c:pt idx="136">
                  <c:v>20.812513174238678</c:v>
                </c:pt>
                <c:pt idx="137">
                  <c:v>19.126200375442231</c:v>
                </c:pt>
                <c:pt idx="138">
                  <c:v>17.575656606881193</c:v>
                </c:pt>
                <c:pt idx="139">
                  <c:v>16.150095987721723</c:v>
                </c:pt>
                <c:pt idx="140">
                  <c:v>14.839569318573334</c:v>
                </c:pt>
                <c:pt idx="141">
                  <c:v>13.634901776663769</c:v>
                </c:pt>
                <c:pt idx="142">
                  <c:v>12.527634926173684</c:v>
                </c:pt>
                <c:pt idx="143">
                  <c:v>11.509972785401223</c:v>
                </c:pt>
                <c:pt idx="144">
                  <c:v>10.574731702644117</c:v>
                </c:pt>
                <c:pt idx="145">
                  <c:v>9.7152938032395078</c:v>
                </c:pt>
                <c:pt idx="146">
                  <c:v>8.9255637809932011</c:v>
                </c:pt>
                <c:pt idx="147">
                  <c:v>8.199928818077872</c:v>
                </c:pt>
                <c:pt idx="148">
                  <c:v>7.5332214283182486</c:v>
                </c:pt>
                <c:pt idx="149">
                  <c:v>6.9206850294960836</c:v>
                </c:pt>
                <c:pt idx="150">
                  <c:v>6.3579420608342323</c:v>
                </c:pt>
                <c:pt idx="151">
                  <c:v>5.8409644721038276</c:v>
                </c:pt>
                <c:pt idx="152">
                  <c:v>5.3660464207833511</c:v>
                </c:pt>
                <c:pt idx="153">
                  <c:v>4.9297790233600685</c:v>
                </c:pt>
                <c:pt idx="154">
                  <c:v>4.5290270161628454</c:v>
                </c:pt>
                <c:pt idx="155">
                  <c:v>4.1609071900478725</c:v>
                </c:pt>
                <c:pt idx="156">
                  <c:v>3.8227684717934807</c:v>
                </c:pt>
                <c:pt idx="157">
                  <c:v>3.5121735332095523</c:v>
                </c:pt>
                <c:pt idx="158">
                  <c:v>3.2268818167133615</c:v>
                </c:pt>
                <c:pt idx="159">
                  <c:v>2.9648338734785433</c:v>
                </c:pt>
                <c:pt idx="160">
                  <c:v>2.7241369172273018</c:v>
                </c:pt>
                <c:pt idx="161">
                  <c:v>2.5030515033167084</c:v>
                </c:pt>
                <c:pt idx="162">
                  <c:v>2.2999792489783486</c:v>
                </c:pt>
                <c:pt idx="163">
                  <c:v>2.1134515164166685</c:v>
                </c:pt>
                <c:pt idx="164">
                  <c:v>1.9421189859676919</c:v>
                </c:pt>
                <c:pt idx="165">
                  <c:v>1.7847420516804255</c:v>
                </c:pt>
                <c:pt idx="166">
                  <c:v>1.6401819765220238</c:v>
                </c:pt>
                <c:pt idx="167">
                  <c:v>1.5073927489377104</c:v>
                </c:pt>
                <c:pt idx="168">
                  <c:v>1.3854135867341484</c:v>
                </c:pt>
                <c:pt idx="169">
                  <c:v>1.2733620382137607</c:v>
                </c:pt>
                <c:pt idx="170">
                  <c:v>1.170427634181652</c:v>
                </c:pt>
                <c:pt idx="171">
                  <c:v>1.0758660478917694</c:v>
                </c:pt>
                <c:pt idx="172" formatCode="0.000000000">
                  <c:v>0.98899372320751844</c:v>
                </c:pt>
                <c:pt idx="173">
                  <c:v>0.90918293423861296</c:v>
                </c:pt>
                <c:pt idx="174">
                  <c:v>0.83585724249322391</c:v>
                </c:pt>
                <c:pt idx="175">
                  <c:v>0.76848732016495958</c:v>
                </c:pt>
                <c:pt idx="176">
                  <c:v>0.70658711057125556</c:v>
                </c:pt>
                <c:pt idx="177">
                  <c:v>0.64971029898300414</c:v>
                </c:pt>
                <c:pt idx="178">
                  <c:v>0.59744706914801915</c:v>
                </c:pt>
                <c:pt idx="179">
                  <c:v>0.54942112272177901</c:v>
                </c:pt>
                <c:pt idx="180">
                  <c:v>0.50528694058973833</c:v>
                </c:pt>
                <c:pt idx="181">
                  <c:v>0.46472726670408215</c:v>
                </c:pt>
                <c:pt idx="182">
                  <c:v>0.42745079657445401</c:v>
                </c:pt>
                <c:pt idx="183">
                  <c:v>0.39319005395464368</c:v>
                </c:pt>
                <c:pt idx="184">
                  <c:v>0.36169944056370762</c:v>
                </c:pt>
                <c:pt idx="185">
                  <c:v>0.33275344487782954</c:v>
                </c:pt>
                <c:pt idx="186">
                  <c:v>0.30614499713581039</c:v>
                </c:pt>
                <c:pt idx="187">
                  <c:v>0.28168395872239677</c:v>
                </c:pt>
                <c:pt idx="188">
                  <c:v>0.2591957350365251</c:v>
                </c:pt>
                <c:pt idx="189">
                  <c:v>0.2385200018212025</c:v>
                </c:pt>
                <c:pt idx="190">
                  <c:v>0.21950953573395698</c:v>
                </c:pt>
                <c:pt idx="191">
                  <c:v>0.20202914067618258</c:v>
                </c:pt>
                <c:pt idx="192">
                  <c:v>0.18595466208146982</c:v>
                </c:pt>
                <c:pt idx="193">
                  <c:v>0.17117208199087416</c:v>
                </c:pt>
                <c:pt idx="194">
                  <c:v>0.15757668832173449</c:v>
                </c:pt>
                <c:pt idx="195">
                  <c:v>0.14507231226931672</c:v>
                </c:pt>
                <c:pt idx="196">
                  <c:v>0.13357062827114596</c:v>
                </c:pt>
                <c:pt idx="197">
                  <c:v>0.12299051141529249</c:v>
                </c:pt>
                <c:pt idx="198">
                  <c:v>0.11325744758948496</c:v>
                </c:pt>
                <c:pt idx="199">
                  <c:v>0.10430299205011626</c:v>
                </c:pt>
                <c:pt idx="200">
                  <c:v>9.6064272441913623E-2</c:v>
                </c:pt>
                <c:pt idx="201">
                  <c:v>8.8483532622466665E-2</c:v>
                </c:pt>
                <c:pt idx="202">
                  <c:v>8.1507713943152163E-2</c:v>
                </c:pt>
                <c:pt idx="203">
                  <c:v>7.5088070911514079E-2</c:v>
                </c:pt>
                <c:pt idx="204">
                  <c:v>6.9179818411394076E-2</c:v>
                </c:pt>
                <c:pt idx="205">
                  <c:v>6.3741807888183788E-2</c:v>
                </c:pt>
                <c:pt idx="206">
                  <c:v>5.8736230118841451E-2</c:v>
                </c:pt>
                <c:pt idx="207">
                  <c:v>5.4128342381332982E-2</c:v>
                </c:pt>
                <c:pt idx="208">
                  <c:v>4.9886218017413941E-2</c:v>
                </c:pt>
                <c:pt idx="209">
                  <c:v>4.5980516547241605E-2</c:v>
                </c:pt>
                <c:pt idx="210">
                  <c:v>4.238427264552283E-2</c:v>
                </c:pt>
                <c:pt idx="211">
                  <c:v>3.9072702427752778E-2</c:v>
                </c:pt>
                <c:pt idx="212">
                  <c:v>3.6023025622639489E-2</c:v>
                </c:pt>
                <c:pt idx="213">
                  <c:v>3.321430232386656E-2</c:v>
                </c:pt>
                <c:pt idx="214">
                  <c:v>3.0627283121882207E-2</c:v>
                </c:pt>
                <c:pt idx="215">
                  <c:v>2.8244271515071286E-2</c:v>
                </c:pt>
                <c:pt idx="216">
                  <c:v>2.6048997590300632E-2</c:v>
                </c:pt>
                <c:pt idx="217">
                  <c:v>2.4026502045961358E-2</c:v>
                </c:pt>
                <c:pt idx="218">
                  <c:v>2.2163029707005188E-2</c:v>
                </c:pt>
                <c:pt idx="219">
                  <c:v>2.044593175149851E-2</c:v>
                </c:pt>
                <c:pt idx="220">
                  <c:v>1.8863575932554749E-2</c:v>
                </c:pt>
                <c:pt idx="221">
                  <c:v>1.7405264138487388E-2</c:v>
                </c:pt>
                <c:pt idx="222">
                  <c:v>1.6061156688197829E-2</c:v>
                </c:pt>
                <c:pt idx="223">
                  <c:v>1.4822202808498329E-2</c:v>
                </c:pt>
                <c:pt idx="224">
                  <c:v>1.3680076785664375E-2</c:v>
                </c:pt>
                <c:pt idx="225">
                  <c:v>1.2627119325359459E-2</c:v>
                </c:pt>
                <c:pt idx="226">
                  <c:v>1.1656283693454292E-2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'New_cases - LNorm'!$J$7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 - LNorm'!$C$8:$C$281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 - LNorm'!$J$8:$J$281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2342.6884176810927</c:v>
                      </c:pt>
                      <c:pt idx="1">
                        <c:v>2342.6884176810927</c:v>
                      </c:pt>
                      <c:pt idx="2">
                        <c:v>2342.6884176810927</c:v>
                      </c:pt>
                      <c:pt idx="3">
                        <c:v>2342.6884176810927</c:v>
                      </c:pt>
                      <c:pt idx="4">
                        <c:v>2342.6884176810927</c:v>
                      </c:pt>
                      <c:pt idx="5">
                        <c:v>2342.6884176810927</c:v>
                      </c:pt>
                      <c:pt idx="6">
                        <c:v>2342.6884176810927</c:v>
                      </c:pt>
                      <c:pt idx="7">
                        <c:v>2342.6884176810927</c:v>
                      </c:pt>
                      <c:pt idx="8">
                        <c:v>2342.6884176810927</c:v>
                      </c:pt>
                      <c:pt idx="9">
                        <c:v>2342.6884176810927</c:v>
                      </c:pt>
                      <c:pt idx="10">
                        <c:v>2342.6884176810927</c:v>
                      </c:pt>
                      <c:pt idx="11">
                        <c:v>2342.6884176810927</c:v>
                      </c:pt>
                      <c:pt idx="12">
                        <c:v>2342.6884176810927</c:v>
                      </c:pt>
                      <c:pt idx="13">
                        <c:v>2342.6884176810927</c:v>
                      </c:pt>
                      <c:pt idx="14">
                        <c:v>2342.6884176810927</c:v>
                      </c:pt>
                      <c:pt idx="15">
                        <c:v>2342.6884176810927</c:v>
                      </c:pt>
                      <c:pt idx="16">
                        <c:v>2342.6884176810927</c:v>
                      </c:pt>
                      <c:pt idx="17">
                        <c:v>2342.6884176810927</c:v>
                      </c:pt>
                      <c:pt idx="18">
                        <c:v>2342.6884176810927</c:v>
                      </c:pt>
                      <c:pt idx="19">
                        <c:v>2342.6884176810927</c:v>
                      </c:pt>
                      <c:pt idx="20">
                        <c:v>2342.6884176810927</c:v>
                      </c:pt>
                      <c:pt idx="21">
                        <c:v>2342.6884176810927</c:v>
                      </c:pt>
                      <c:pt idx="22">
                        <c:v>2342.6884176810927</c:v>
                      </c:pt>
                      <c:pt idx="23">
                        <c:v>2342.6884176810927</c:v>
                      </c:pt>
                      <c:pt idx="24">
                        <c:v>2342.6884176810927</c:v>
                      </c:pt>
                      <c:pt idx="25">
                        <c:v>2342.6884176810927</c:v>
                      </c:pt>
                      <c:pt idx="26">
                        <c:v>2342.6884176810927</c:v>
                      </c:pt>
                      <c:pt idx="27">
                        <c:v>2342.6884176810927</c:v>
                      </c:pt>
                      <c:pt idx="28">
                        <c:v>2342.6884176810927</c:v>
                      </c:pt>
                      <c:pt idx="29">
                        <c:v>2342.6884176810927</c:v>
                      </c:pt>
                      <c:pt idx="30">
                        <c:v>2342.6884176810927</c:v>
                      </c:pt>
                      <c:pt idx="31">
                        <c:v>2342.6884176810927</c:v>
                      </c:pt>
                      <c:pt idx="32">
                        <c:v>2342.6884176810927</c:v>
                      </c:pt>
                      <c:pt idx="33">
                        <c:v>2342.6884176810927</c:v>
                      </c:pt>
                      <c:pt idx="34">
                        <c:v>2342.6884176810927</c:v>
                      </c:pt>
                      <c:pt idx="35">
                        <c:v>2342.6884176810927</c:v>
                      </c:pt>
                      <c:pt idx="36">
                        <c:v>2342.6884176810927</c:v>
                      </c:pt>
                      <c:pt idx="37">
                        <c:v>2342.6884176810927</c:v>
                      </c:pt>
                      <c:pt idx="38">
                        <c:v>2342.6884176810927</c:v>
                      </c:pt>
                      <c:pt idx="39">
                        <c:v>2342.6884176810927</c:v>
                      </c:pt>
                      <c:pt idx="40">
                        <c:v>2342.6884176811122</c:v>
                      </c:pt>
                      <c:pt idx="41">
                        <c:v>2342.6884176822955</c:v>
                      </c:pt>
                      <c:pt idx="42">
                        <c:v>2342.6884177168154</c:v>
                      </c:pt>
                      <c:pt idx="43">
                        <c:v>2342.6884182956942</c:v>
                      </c:pt>
                      <c:pt idx="44">
                        <c:v>2342.6884246158602</c:v>
                      </c:pt>
                      <c:pt idx="45">
                        <c:v>2342.6884737100904</c:v>
                      </c:pt>
                      <c:pt idx="46">
                        <c:v>2342.6887633235597</c:v>
                      </c:pt>
                      <c:pt idx="47">
                        <c:v>2342.6901261618787</c:v>
                      </c:pt>
                      <c:pt idx="48">
                        <c:v>2342.6954391997983</c:v>
                      </c:pt>
                      <c:pt idx="49">
                        <c:v>2342.7131156065857</c:v>
                      </c:pt>
                      <c:pt idx="50">
                        <c:v>2342.7645018347912</c:v>
                      </c:pt>
                      <c:pt idx="51">
                        <c:v>2342.8975373858598</c:v>
                      </c:pt>
                      <c:pt idx="52">
                        <c:v>2343.2090703650565</c:v>
                      </c:pt>
                      <c:pt idx="53">
                        <c:v>2343.877446948577</c:v>
                      </c:pt>
                      <c:pt idx="54">
                        <c:v>2345.2053117257283</c:v>
                      </c:pt>
                      <c:pt idx="55">
                        <c:v>2347.6701826483504</c:v>
                      </c:pt>
                      <c:pt idx="56">
                        <c:v>2351.9777920168267</c:v>
                      </c:pt>
                      <c:pt idx="57">
                        <c:v>2359.1110431733819</c:v>
                      </c:pt>
                      <c:pt idx="58">
                        <c:v>2370.3662963677862</c:v>
                      </c:pt>
                      <c:pt idx="59">
                        <c:v>2387.3689213566845</c:v>
                      </c:pt>
                      <c:pt idx="60">
                        <c:v>2412.061685844908</c:v>
                      </c:pt>
                      <c:pt idx="61">
                        <c:v>2446.6623340023161</c:v>
                      </c:pt>
                      <c:pt idx="62">
                        <c:v>2493.5901757803344</c:v>
                      </c:pt>
                      <c:pt idx="63">
                        <c:v>2555.3650874305331</c:v>
                      </c:pt>
                      <c:pt idx="64">
                        <c:v>2634.485475841605</c:v>
                      </c:pt>
                      <c:pt idx="65">
                        <c:v>2733.2940665388664</c:v>
                      </c:pt>
                      <c:pt idx="66">
                        <c:v>2853.8415962598315</c:v>
                      </c:pt>
                      <c:pt idx="67">
                        <c:v>2997.7585711383608</c:v>
                      </c:pt>
                      <c:pt idx="68">
                        <c:v>3166.1442978742334</c:v>
                      </c:pt>
                      <c:pt idx="69">
                        <c:v>3359.4806313778981</c:v>
                      </c:pt>
                      <c:pt idx="70">
                        <c:v>3577.575594839167</c:v>
                      </c:pt>
                      <c:pt idx="71">
                        <c:v>3819.5395163843586</c:v>
                      </c:pt>
                      <c:pt idx="72">
                        <c:v>4083.7938626726136</c:v>
                      </c:pt>
                      <c:pt idx="73">
                        <c:v>4368.1107522975344</c:v>
                      </c:pt>
                      <c:pt idx="74">
                        <c:v>4669.6793520230076</c:v>
                      </c:pt>
                      <c:pt idx="75">
                        <c:v>4985.1940792823843</c:v>
                      </c:pt>
                      <c:pt idx="76">
                        <c:v>5310.9587756535711</c:v>
                      </c:pt>
                      <c:pt idx="77">
                        <c:v>5643.0007488899737</c:v>
                      </c:pt>
                      <c:pt idx="78">
                        <c:v>5977.1887405765974</c:v>
                      </c:pt>
                      <c:pt idx="79">
                        <c:v>6309.3493762266899</c:v>
                      </c:pt>
                      <c:pt idx="80">
                        <c:v>6635.3773995343909</c:v>
                      </c:pt>
                      <c:pt idx="81">
                        <c:v>6951.3358888880612</c:v>
                      </c:pt>
                      <c:pt idx="82">
                        <c:v>7253.5436172582713</c:v>
                      </c:pt>
                      <c:pt idx="83">
                        <c:v>7538.6476747640563</c:v>
                      </c:pt>
                      <c:pt idx="84">
                        <c:v>7803.6803708233829</c:v>
                      </c:pt>
                      <c:pt idx="85">
                        <c:v>8046.1002300663158</c:v>
                      </c:pt>
                      <c:pt idx="86">
                        <c:v>8263.8175683798363</c:v>
                      </c:pt>
                      <c:pt idx="87">
                        <c:v>8455.2056708795571</c:v>
                      </c:pt>
                      <c:pt idx="88">
                        <c:v>8619.098991259958</c:v>
                      </c:pt>
                      <c:pt idx="89">
                        <c:v>8754.7800589975304</c:v>
                      </c:pt>
                      <c:pt idx="90">
                        <c:v>8861.9569301126594</c:v>
                      </c:pt>
                      <c:pt idx="91">
                        <c:v>8940.7330650081021</c:v>
                      </c:pt>
                      <c:pt idx="92">
                        <c:v>8991.5714813600025</c:v>
                      </c:pt>
                      <c:pt idx="93">
                        <c:v>9015.254929444649</c:v>
                      </c:pt>
                      <c:pt idx="94">
                        <c:v>9012.8436890975372</c:v>
                      </c:pt>
                      <c:pt idx="95">
                        <c:v>8985.6324075834182</c:v>
                      </c:pt>
                      <c:pt idx="96">
                        <c:v>8935.1071998231982</c:v>
                      </c:pt>
                      <c:pt idx="97">
                        <c:v>8862.9040282288042</c:v>
                      </c:pt>
                      <c:pt idx="98">
                        <c:v>8770.7691781004796</c:v>
                      </c:pt>
                      <c:pt idx="99">
                        <c:v>8660.5224532098582</c:v>
                      </c:pt>
                      <c:pt idx="100">
                        <c:v>8534.0235398981386</c:v>
                      </c:pt>
                      <c:pt idx="101">
                        <c:v>8393.1418300815458</c:v>
                      </c:pt>
                      <c:pt idx="102">
                        <c:v>8239.7298558179045</c:v>
                      </c:pt>
                      <c:pt idx="103">
                        <c:v>8075.600371186506</c:v>
                      </c:pt>
                      <c:pt idx="104">
                        <c:v>7902.5070208652605</c:v>
                      </c:pt>
                      <c:pt idx="105">
                        <c:v>7722.1284579466746</c:v>
                      </c:pt>
                      <c:pt idx="106">
                        <c:v>7536.0557147205363</c:v>
                      </c:pt>
                      <c:pt idx="107">
                        <c:v>7345.7825875496692</c:v>
                      </c:pt>
                      <c:pt idx="108">
                        <c:v>7152.6987685975946</c:v>
                      </c:pt>
                      <c:pt idx="109">
                        <c:v>6958.0854409981239</c:v>
                      </c:pt>
                      <c:pt idx="110">
                        <c:v>6763.1130480940037</c:v>
                      </c:pt>
                      <c:pt idx="111">
                        <c:v>6568.8409497213588</c:v>
                      </c:pt>
                      <c:pt idx="112">
                        <c:v>6376.2186874346899</c:v>
                      </c:pt>
                      <c:pt idx="113">
                        <c:v>6186.0885944829079</c:v>
                      </c:pt>
                      <c:pt idx="114">
                        <c:v>5999.1895038776911</c:v>
                      </c:pt>
                      <c:pt idx="115">
                        <c:v>5816.1613278511077</c:v>
                      </c:pt>
                      <c:pt idx="116">
                        <c:v>5637.5503033744717</c:v>
                      </c:pt>
                      <c:pt idx="117">
                        <c:v>5463.8147203772323</c:v>
                      </c:pt>
                      <c:pt idx="118">
                        <c:v>5295.3309711964148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BFBC-45C6-9DBF-1275DCBF9818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LNorm'!$K$7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LNorm'!$K$8:$K$281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299.81724392019942</c:v>
                      </c:pt>
                      <c:pt idx="76">
                        <c:v>625.58194029138622</c:v>
                      </c:pt>
                      <c:pt idx="77">
                        <c:v>957.62391352778832</c:v>
                      </c:pt>
                      <c:pt idx="78">
                        <c:v>1291.8119052144116</c:v>
                      </c:pt>
                      <c:pt idx="79">
                        <c:v>1623.9725408645045</c:v>
                      </c:pt>
                      <c:pt idx="80">
                        <c:v>1950.0005641722055</c:v>
                      </c:pt>
                      <c:pt idx="81">
                        <c:v>2265.9590535258758</c:v>
                      </c:pt>
                      <c:pt idx="82">
                        <c:v>2568.1667818960859</c:v>
                      </c:pt>
                      <c:pt idx="83">
                        <c:v>2853.2708394018709</c:v>
                      </c:pt>
                      <c:pt idx="84">
                        <c:v>3118.3035354611975</c:v>
                      </c:pt>
                      <c:pt idx="85">
                        <c:v>3360.7233947041304</c:v>
                      </c:pt>
                      <c:pt idx="86">
                        <c:v>3578.4407330176509</c:v>
                      </c:pt>
                      <c:pt idx="87">
                        <c:v>3769.8288355173718</c:v>
                      </c:pt>
                      <c:pt idx="88">
                        <c:v>3933.7221558977717</c:v>
                      </c:pt>
                      <c:pt idx="89">
                        <c:v>4069.4032236353441</c:v>
                      </c:pt>
                      <c:pt idx="90">
                        <c:v>4176.580094750474</c:v>
                      </c:pt>
                      <c:pt idx="91">
                        <c:v>4255.3562296459177</c:v>
                      </c:pt>
                      <c:pt idx="92">
                        <c:v>4306.1946459978171</c:v>
                      </c:pt>
                      <c:pt idx="93">
                        <c:v>4329.8780940824636</c:v>
                      </c:pt>
                      <c:pt idx="94">
                        <c:v>4327.4668537353518</c:v>
                      </c:pt>
                      <c:pt idx="95">
                        <c:v>4300.2555722212328</c:v>
                      </c:pt>
                      <c:pt idx="96">
                        <c:v>4249.7303644610129</c:v>
                      </c:pt>
                      <c:pt idx="97">
                        <c:v>4177.5271928666198</c:v>
                      </c:pt>
                      <c:pt idx="98">
                        <c:v>4085.3923427382952</c:v>
                      </c:pt>
                      <c:pt idx="99">
                        <c:v>3975.1456178476737</c:v>
                      </c:pt>
                      <c:pt idx="100">
                        <c:v>3848.6467045359532</c:v>
                      </c:pt>
                      <c:pt idx="101">
                        <c:v>3707.7649947193595</c:v>
                      </c:pt>
                      <c:pt idx="102">
                        <c:v>3554.3530204557192</c:v>
                      </c:pt>
                      <c:pt idx="103">
                        <c:v>3390.2235358243206</c:v>
                      </c:pt>
                      <c:pt idx="104">
                        <c:v>3217.1301855030752</c:v>
                      </c:pt>
                      <c:pt idx="105">
                        <c:v>3036.7516225844893</c:v>
                      </c:pt>
                      <c:pt idx="106">
                        <c:v>2850.678879358351</c:v>
                      </c:pt>
                      <c:pt idx="107">
                        <c:v>2660.4057521874838</c:v>
                      </c:pt>
                      <c:pt idx="108">
                        <c:v>2467.3219332354092</c:v>
                      </c:pt>
                      <c:pt idx="109">
                        <c:v>2272.7086056359385</c:v>
                      </c:pt>
                      <c:pt idx="110">
                        <c:v>2077.7362127318183</c:v>
                      </c:pt>
                      <c:pt idx="111">
                        <c:v>1883.4641143591734</c:v>
                      </c:pt>
                      <c:pt idx="112">
                        <c:v>1690.8418520725049</c:v>
                      </c:pt>
                      <c:pt idx="113">
                        <c:v>1500.7117591207225</c:v>
                      </c:pt>
                      <c:pt idx="114">
                        <c:v>1313.8126685155057</c:v>
                      </c:pt>
                      <c:pt idx="115">
                        <c:v>1130.7844924889223</c:v>
                      </c:pt>
                      <c:pt idx="116">
                        <c:v>952.17346801228678</c:v>
                      </c:pt>
                      <c:pt idx="117">
                        <c:v>778.43788501504696</c:v>
                      </c:pt>
                      <c:pt idx="118">
                        <c:v>609.95413583422942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FBC-45C6-9DBF-1275DCBF9818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761760963245405"/>
          <c:y val="0.14215259860632665"/>
          <c:w val="0.32687529757652334"/>
          <c:h val="0.200504635305696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- Daily new cases (velocity)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79059594956695434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'New_cases - LNorm'!$M$7</c:f>
              <c:strCache>
                <c:ptCount val="1"/>
                <c:pt idx="0">
                  <c:v>Lombardy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LNorm'!$M$8:$M$281</c:f>
              <c:numCache>
                <c:formatCode>General</c:formatCode>
                <c:ptCount val="274"/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D2-4346-8DCD-ABBA25EA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LNorm'!$Q$7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LNorm'!$Q$55:$Q$281</c:f>
              <c:numCache>
                <c:formatCode>General</c:formatCode>
                <c:ptCount val="227"/>
                <c:pt idx="0">
                  <c:v>4.2221927199926466</c:v>
                </c:pt>
                <c:pt idx="1">
                  <c:v>7.5124004947819838</c:v>
                </c:pt>
                <c:pt idx="2">
                  <c:v>12.611697574226687</c:v>
                </c:pt>
                <c:pt idx="3">
                  <c:v>20.124607729459562</c:v>
                </c:pt>
                <c:pt idx="4">
                  <c:v>30.712451565484525</c:v>
                </c:pt>
                <c:pt idx="5">
                  <c:v>45.059429969357659</c:v>
                </c:pt>
                <c:pt idx="6">
                  <c:v>63.833835847445826</c:v>
                </c:pt>
                <c:pt idx="7">
                  <c:v>87.648093905472948</c:v>
                </c:pt>
                <c:pt idx="8">
                  <c:v>117.02117832508443</c:v>
                </c:pt>
                <c:pt idx="9">
                  <c:v>152.34639825617381</c:v>
                </c:pt>
                <c:pt idx="10">
                  <c:v>193.86672930973202</c:v>
                </c:pt>
                <c:pt idx="11">
                  <c:v>241.65895998029089</c:v>
                </c:pt>
                <c:pt idx="12">
                  <c:v>295.62704237893797</c:v>
                </c:pt>
                <c:pt idx="13">
                  <c:v>355.50427654437118</c:v>
                </c:pt>
                <c:pt idx="14">
                  <c:v>420.86336829536248</c:v>
                </c:pt>
                <c:pt idx="15">
                  <c:v>491.13300028691896</c:v>
                </c:pt>
                <c:pt idx="16">
                  <c:v>565.61933768960068</c:v>
                </c:pt>
                <c:pt idx="17">
                  <c:v>643.53083024248861</c:v>
                </c:pt>
                <c:pt idx="18">
                  <c:v>724.00473902404099</c:v>
                </c:pt>
                <c:pt idx="19">
                  <c:v>806.13397412127313</c:v>
                </c:pt>
                <c:pt idx="20">
                  <c:v>888.99304505859823</c:v>
                </c:pt>
                <c:pt idx="21">
                  <c:v>971.66217028128381</c:v>
                </c:pt>
                <c:pt idx="22">
                  <c:v>1053.2488417170159</c:v>
                </c:pt>
                <c:pt idx="23">
                  <c:v>1132.9063779653745</c:v>
                </c:pt>
                <c:pt idx="24">
                  <c:v>1209.8492131042087</c:v>
                </c:pt>
                <c:pt idx="25">
                  <c:v>1283.3648504414211</c:v>
                </c:pt>
                <c:pt idx="26">
                  <c:v>1352.822558718497</c:v>
                </c:pt>
                <c:pt idx="27">
                  <c:v>1417.679002228017</c:v>
                </c:pt>
                <c:pt idx="28">
                  <c:v>1477.4810780998919</c:v>
                </c:pt>
                <c:pt idx="29">
                  <c:v>1531.8662870557482</c:v>
                </c:pt>
                <c:pt idx="30">
                  <c:v>1580.5609923813795</c:v>
                </c:pt>
                <c:pt idx="31">
                  <c:v>1623.3769301389393</c:v>
                </c:pt>
                <c:pt idx="32">
                  <c:v>1660.2063260677619</c:v>
                </c:pt>
                <c:pt idx="33">
                  <c:v>1691.0159552256368</c:v>
                </c:pt>
                <c:pt idx="34">
                  <c:v>1715.840452770231</c:v>
                </c:pt>
                <c:pt idx="35">
                  <c:v>1734.7751514208735</c:v>
                </c:pt>
                <c:pt idx="36">
                  <c:v>1747.968685586088</c:v>
                </c:pt>
                <c:pt idx="37">
                  <c:v>1755.6155658875773</c:v>
                </c:pt>
                <c:pt idx="38">
                  <c:v>1757.9488923792978</c:v>
                </c:pt>
                <c:pt idx="39">
                  <c:v>1755.2333412571345</c:v>
                </c:pt>
                <c:pt idx="40">
                  <c:v>1747.7585290314307</c:v>
                </c:pt>
                <c:pt idx="41">
                  <c:v>1735.8328304500953</c:v>
                </c:pt>
                <c:pt idx="42">
                  <c:v>1719.7777021380912</c:v>
                </c:pt>
                <c:pt idx="43">
                  <c:v>1699.9225430030324</c:v>
                </c:pt>
                <c:pt idx="44">
                  <c:v>1676.6001048543555</c:v>
                </c:pt>
                <c:pt idx="45">
                  <c:v>1650.1424522075963</c:v>
                </c:pt>
                <c:pt idx="46">
                  <c:v>1620.8774586452207</c:v>
                </c:pt>
                <c:pt idx="47">
                  <c:v>1589.1258180934817</c:v>
                </c:pt>
                <c:pt idx="48">
                  <c:v>1555.1985426467959</c:v>
                </c:pt>
                <c:pt idx="49">
                  <c:v>1519.3949138216258</c:v>
                </c:pt>
                <c:pt idx="50">
                  <c:v>1482.0008510551986</c:v>
                </c:pt>
                <c:pt idx="51">
                  <c:v>1443.2876596031119</c:v>
                </c:pt>
                <c:pt idx="52">
                  <c:v>1403.5111194784272</c:v>
                </c:pt>
                <c:pt idx="53">
                  <c:v>1362.9108774841045</c:v>
                </c:pt>
                <c:pt idx="54">
                  <c:v>1321.7101055171868</c:v>
                </c:pt>
                <c:pt idx="55">
                  <c:v>1280.115389990418</c:v>
                </c:pt>
                <c:pt idx="56">
                  <c:v>1238.3168192739481</c:v>
                </c:pt>
                <c:pt idx="57">
                  <c:v>1196.4882383786437</c:v>
                </c:pt>
                <c:pt idx="58">
                  <c:v>1154.7876425778054</c:v>
                </c:pt>
                <c:pt idx="59">
                  <c:v>1113.3576842095831</c:v>
                </c:pt>
                <c:pt idx="60">
                  <c:v>1072.3262694491302</c:v>
                </c:pt>
                <c:pt idx="61">
                  <c:v>1031.8072243341942</c:v>
                </c:pt>
                <c:pt idx="62">
                  <c:v>991.90101172920083</c:v>
                </c:pt>
                <c:pt idx="63">
                  <c:v>952.6954831916421</c:v>
                </c:pt>
                <c:pt idx="64">
                  <c:v>914.26665184004321</c:v>
                </c:pt>
                <c:pt idx="65">
                  <c:v>876.67947430216725</c:v>
                </c:pt>
                <c:pt idx="66">
                  <c:v>839.98863163849398</c:v>
                </c:pt>
                <c:pt idx="67">
                  <c:v>804.23930078788555</c:v>
                </c:pt>
                <c:pt idx="68">
                  <c:v>769.46790957141582</c:v>
                </c:pt>
                <c:pt idx="69">
                  <c:v>735.70286962182229</c:v>
                </c:pt>
                <c:pt idx="70">
                  <c:v>702.96528278682194</c:v>
                </c:pt>
                <c:pt idx="71">
                  <c:v>671.26961759335336</c:v>
                </c:pt>
                <c:pt idx="72">
                  <c:v>640.62435326623688</c:v>
                </c:pt>
                <c:pt idx="73">
                  <c:v>611.03258957880848</c:v>
                </c:pt>
                <c:pt idx="74">
                  <c:v>582.49262148530897</c:v>
                </c:pt>
                <c:pt idx="75">
                  <c:v>554.99847805544789</c:v>
                </c:pt>
                <c:pt idx="76">
                  <c:v>528.54042571051821</c:v>
                </c:pt>
                <c:pt idx="77">
                  <c:v>503.10543615765926</c:v>
                </c:pt>
                <c:pt idx="78">
                  <c:v>478.67761974325276</c:v>
                </c:pt>
                <c:pt idx="79">
                  <c:v>455.23862520672765</c:v>
                </c:pt>
                <c:pt idx="80">
                  <c:v>432.76800702007944</c:v>
                </c:pt>
                <c:pt idx="81">
                  <c:v>411.24356165364134</c:v>
                </c:pt>
                <c:pt idx="82">
                  <c:v>390.64163422160391</c:v>
                </c:pt>
                <c:pt idx="83">
                  <c:v>370.93739703769523</c:v>
                </c:pt>
                <c:pt idx="84">
                  <c:v>352.10510165754272</c:v>
                </c:pt>
                <c:pt idx="85">
                  <c:v>334.1183060046618</c:v>
                </c:pt>
                <c:pt idx="86">
                  <c:v>316.95007817583087</c:v>
                </c:pt>
                <c:pt idx="87">
                  <c:v>300.57317850286819</c:v>
                </c:pt>
                <c:pt idx="88">
                  <c:v>284.96022141471974</c:v>
                </c:pt>
                <c:pt idx="89">
                  <c:v>270.08381859928841</c:v>
                </c:pt>
                <c:pt idx="90">
                  <c:v>255.91670491119669</c:v>
                </c:pt>
                <c:pt idx="91">
                  <c:v>242.43184841168704</c:v>
                </c:pt>
                <c:pt idx="92">
                  <c:v>229.60254586220248</c:v>
                </c:pt>
                <c:pt idx="93">
                  <c:v>217.40250492532616</c:v>
                </c:pt>
                <c:pt idx="94">
                  <c:v>205.8059142570437</c:v>
                </c:pt>
                <c:pt idx="95">
                  <c:v>194.78750260386664</c:v>
                </c:pt>
                <c:pt idx="96">
                  <c:v>184.32258794816315</c:v>
                </c:pt>
                <c:pt idx="97">
                  <c:v>174.38711767577294</c:v>
                </c:pt>
                <c:pt idx="98">
                  <c:v>164.95770067229864</c:v>
                </c:pt>
                <c:pt idx="99">
                  <c:v>156.01163218881777</c:v>
                </c:pt>
                <c:pt idx="100">
                  <c:v>147.52691225449914</c:v>
                </c:pt>
                <c:pt idx="101">
                  <c:v>139.48225835302821</c:v>
                </c:pt>
                <c:pt idx="102">
                  <c:v>131.85711302205891</c:v>
                </c:pt>
                <c:pt idx="103">
                  <c:v>124.63164698013571</c:v>
                </c:pt>
                <c:pt idx="104">
                  <c:v>117.78675833389015</c:v>
                </c:pt>
                <c:pt idx="105">
                  <c:v>111.30406836968926</c:v>
                </c:pt>
                <c:pt idx="106">
                  <c:v>105.16591438836666</c:v>
                </c:pt>
                <c:pt idx="107">
                  <c:v>99.355339999105652</c:v>
                </c:pt>
                <c:pt idx="108">
                  <c:v>93.856083248924762</c:v>
                </c:pt>
                <c:pt idx="109">
                  <c:v>88.652562927420973</c:v>
                </c:pt>
                <c:pt idx="110">
                  <c:v>83.729863352353661</c:v>
                </c:pt>
                <c:pt idx="111">
                  <c:v>79.07371791020195</c:v>
                </c:pt>
                <c:pt idx="112">
                  <c:v>74.670491596837081</c:v>
                </c:pt>
                <c:pt idx="113">
                  <c:v>70.507162776822412</c:v>
                </c:pt>
                <c:pt idx="114">
                  <c:v>66.571304355456547</c:v>
                </c:pt>
                <c:pt idx="115">
                  <c:v>62.851064535325399</c:v>
                </c:pt>
                <c:pt idx="116">
                  <c:v>59.335147308776108</c:v>
                </c:pt>
                <c:pt idx="117">
                  <c:v>56.012792819164844</c:v>
                </c:pt>
                <c:pt idx="118">
                  <c:v>52.87375770689097</c:v>
                </c:pt>
                <c:pt idx="119">
                  <c:v>49.908295540959109</c:v>
                </c:pt>
                <c:pt idx="120">
                  <c:v>47.107137423001539</c:v>
                </c:pt>
                <c:pt idx="121">
                  <c:v>44.461472838251026</c:v>
                </c:pt>
                <c:pt idx="122">
                  <c:v>41.96293081672858</c:v>
                </c:pt>
                <c:pt idx="123">
                  <c:v>39.603561457876339</c:v>
                </c:pt>
                <c:pt idx="124">
                  <c:v>37.375817862836612</c:v>
                </c:pt>
                <c:pt idx="125">
                  <c:v>35.272538510554277</c:v>
                </c:pt>
                <c:pt idx="126">
                  <c:v>33.286930106712617</c:v>
                </c:pt>
                <c:pt idx="127">
                  <c:v>31.412550928160474</c:v>
                </c:pt>
                <c:pt idx="128">
                  <c:v>29.643294679872614</c:v>
                </c:pt>
                <c:pt idx="129">
                  <c:v>27.973374876525536</c:v>
                </c:pt>
                <c:pt idx="130">
                  <c:v>26.397309756428676</c:v>
                </c:pt>
                <c:pt idx="131">
                  <c:v>24.909907731743306</c:v>
                </c:pt>
                <c:pt idx="132">
                  <c:v>23.506253375618666</c:v>
                </c:pt>
                <c:pt idx="133">
                  <c:v>22.181693944010323</c:v>
                </c:pt>
                <c:pt idx="134">
                  <c:v>20.931826427491409</c:v>
                </c:pt>
                <c:pt idx="135">
                  <c:v>19.752485126258758</c:v>
                </c:pt>
                <c:pt idx="136">
                  <c:v>18.639729739770814</c:v>
                </c:pt>
                <c:pt idx="137">
                  <c:v>17.589833960954472</c:v>
                </c:pt>
                <c:pt idx="138">
                  <c:v>16.599274563695914</c:v>
                </c:pt>
                <c:pt idx="139">
                  <c:v>15.66472097132373</c:v>
                </c:pt>
                <c:pt idx="140">
                  <c:v>14.783025292992344</c:v>
                </c:pt>
                <c:pt idx="141">
                  <c:v>13.951212814257888</c:v>
                </c:pt>
                <c:pt idx="142">
                  <c:v>13.16647292767267</c:v>
                </c:pt>
                <c:pt idx="143">
                  <c:v>12.426150488902081</c:v>
                </c:pt>
                <c:pt idx="144">
                  <c:v>11.727737583666684</c:v>
                </c:pt>
                <c:pt idx="145">
                  <c:v>11.068865690713725</c:v>
                </c:pt>
                <c:pt idx="146">
                  <c:v>10.447298226022081</c:v>
                </c:pt>
                <c:pt idx="147">
                  <c:v>9.8609234535114449</c:v>
                </c:pt>
                <c:pt idx="148">
                  <c:v>9.3077477476759363</c:v>
                </c:pt>
                <c:pt idx="149">
                  <c:v>8.7858891937561783</c:v>
                </c:pt>
                <c:pt idx="150">
                  <c:v>8.2935715113132673</c:v>
                </c:pt>
                <c:pt idx="151">
                  <c:v>7.8291182873561276</c:v>
                </c:pt>
                <c:pt idx="152">
                  <c:v>7.3909475054923606</c:v>
                </c:pt>
                <c:pt idx="153">
                  <c:v>6.9775663579236387</c:v>
                </c:pt>
                <c:pt idx="154">
                  <c:v>6.5875663274715093</c:v>
                </c:pt>
                <c:pt idx="155">
                  <c:v>6.2196185272077651</c:v>
                </c:pt>
                <c:pt idx="156">
                  <c:v>5.8724692856566794</c:v>
                </c:pt>
                <c:pt idx="157">
                  <c:v>5.544935965945478</c:v>
                </c:pt>
                <c:pt idx="158">
                  <c:v>5.2359030076835298</c:v>
                </c:pt>
                <c:pt idx="159">
                  <c:v>4.9443181807676106</c:v>
                </c:pt>
                <c:pt idx="160">
                  <c:v>4.6691890407165877</c:v>
                </c:pt>
                <c:pt idx="161">
                  <c:v>4.4095795755502216</c:v>
                </c:pt>
                <c:pt idx="162">
                  <c:v>4.1646070346273749</c:v>
                </c:pt>
                <c:pt idx="163">
                  <c:v>3.9334389302597814</c:v>
                </c:pt>
                <c:pt idx="164">
                  <c:v>3.715290203303137</c:v>
                </c:pt>
                <c:pt idx="165">
                  <c:v>3.5094205443131448</c:v>
                </c:pt>
                <c:pt idx="166">
                  <c:v>3.3151318622232631</c:v>
                </c:pt>
                <c:pt idx="167">
                  <c:v>3.1317658928650469</c:v>
                </c:pt>
                <c:pt idx="168">
                  <c:v>2.9587019400030021</c:v>
                </c:pt>
                <c:pt idx="169">
                  <c:v>2.7953547418971674</c:v>
                </c:pt>
                <c:pt idx="170">
                  <c:v>2.6411724567360562</c:v>
                </c:pt>
                <c:pt idx="171">
                  <c:v>2.4956347606012477</c:v>
                </c:pt>
                <c:pt idx="172">
                  <c:v>2.3582510519313353</c:v>
                </c:pt>
                <c:pt idx="173">
                  <c:v>2.2285587567489626</c:v>
                </c:pt>
                <c:pt idx="174">
                  <c:v>2.1061217291979557</c:v>
                </c:pt>
                <c:pt idx="175">
                  <c:v>1.9905287422103664</c:v>
                </c:pt>
                <c:pt idx="176">
                  <c:v>1.8813920633845929</c:v>
                </c:pt>
                <c:pt idx="177">
                  <c:v>1.7783461114061818</c:v>
                </c:pt>
                <c:pt idx="178">
                  <c:v>1.681046188582225</c:v>
                </c:pt>
                <c:pt idx="179">
                  <c:v>1.5891672852894634</c:v>
                </c:pt>
                <c:pt idx="180">
                  <c:v>1.5024029523548661</c:v>
                </c:pt>
                <c:pt idx="181">
                  <c:v>1.4204642375960852</c:v>
                </c:pt>
                <c:pt idx="182">
                  <c:v>1.3430786829485246</c:v>
                </c:pt>
                <c:pt idx="183">
                  <c:v>1.2699893787952741</c:v>
                </c:pt>
                <c:pt idx="184">
                  <c:v>1.2009540722966696</c:v>
                </c:pt>
                <c:pt idx="185">
                  <c:v>1.1357443266885185</c:v>
                </c:pt>
                <c:pt idx="186">
                  <c:v>1.074144728681137</c:v>
                </c:pt>
                <c:pt idx="187">
                  <c:v>1.0159521412471268</c:v>
                </c:pt>
                <c:pt idx="188">
                  <c:v>0.96097499923311935</c:v>
                </c:pt>
                <c:pt idx="189">
                  <c:v>0.90903264537120754</c:v>
                </c:pt>
                <c:pt idx="190">
                  <c:v>0.85995470439869859</c:v>
                </c:pt>
                <c:pt idx="191">
                  <c:v>0.81358049312119352</c:v>
                </c:pt>
                <c:pt idx="192">
                  <c:v>0.76975846437346696</c:v>
                </c:pt>
                <c:pt idx="193">
                  <c:v>0.72834568294645352</c:v>
                </c:pt>
                <c:pt idx="194">
                  <c:v>0.68920733165576609</c:v>
                </c:pt>
                <c:pt idx="195">
                  <c:v>0.65221624582942583</c:v>
                </c:pt>
                <c:pt idx="196">
                  <c:v>0.61725247458845545</c:v>
                </c:pt>
                <c:pt idx="197">
                  <c:v>0.58420286738576432</c:v>
                </c:pt>
                <c:pt idx="198">
                  <c:v>0.55296068435463097</c:v>
                </c:pt>
                <c:pt idx="199">
                  <c:v>0.5234252291001773</c:v>
                </c:pt>
                <c:pt idx="200">
                  <c:v>0.4955015026442452</c:v>
                </c:pt>
                <c:pt idx="201">
                  <c:v>0.46909987730729369</c:v>
                </c:pt>
                <c:pt idx="202">
                  <c:v>0.44413578937989073</c:v>
                </c:pt>
                <c:pt idx="203">
                  <c:v>0.42052944950167509</c:v>
                </c:pt>
                <c:pt idx="204">
                  <c:v>0.39820556972734578</c:v>
                </c:pt>
                <c:pt idx="205">
                  <c:v>0.37709310631732912</c:v>
                </c:pt>
                <c:pt idx="206">
                  <c:v>0.35712501734604035</c:v>
                </c:pt>
                <c:pt idx="207">
                  <c:v>0.33823803427225169</c:v>
                </c:pt>
                <c:pt idx="208">
                  <c:v>0.32037244666542969</c:v>
                </c:pt>
                <c:pt idx="209">
                  <c:v>0.30347189932791618</c:v>
                </c:pt>
                <c:pt idx="210">
                  <c:v>0.28748320109670422</c:v>
                </c:pt>
                <c:pt idx="211">
                  <c:v>0.27235614464960117</c:v>
                </c:pt>
                <c:pt idx="212">
                  <c:v>0.25804333667958684</c:v>
                </c:pt>
                <c:pt idx="213">
                  <c:v>0.24450003783773513</c:v>
                </c:pt>
                <c:pt idx="214">
                  <c:v>0.23168401187976448</c:v>
                </c:pt>
                <c:pt idx="215">
                  <c:v>0.21955538348380665</c:v>
                </c:pt>
                <c:pt idx="216">
                  <c:v>0.20807650423781732</c:v>
                </c:pt>
                <c:pt idx="217">
                  <c:v>0.19721182632402609</c:v>
                </c:pt>
                <c:pt idx="218">
                  <c:v>0.1869277834551584</c:v>
                </c:pt>
                <c:pt idx="219">
                  <c:v>0.17719267864299418</c:v>
                </c:pt>
                <c:pt idx="220">
                  <c:v>0.1679765784040359</c:v>
                </c:pt>
                <c:pt idx="221">
                  <c:v>0.15925121303004147</c:v>
                </c:pt>
                <c:pt idx="222">
                  <c:v>0.15098988257272769</c:v>
                </c:pt>
                <c:pt idx="223">
                  <c:v>0.1431673682122748</c:v>
                </c:pt>
                <c:pt idx="224">
                  <c:v>0.13575984869846613</c:v>
                </c:pt>
                <c:pt idx="225">
                  <c:v>0.12874482157130396</c:v>
                </c:pt>
                <c:pt idx="226">
                  <c:v>0.12210102888501577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D2-4346-8DCD-ABBA25EAC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'New_cases - LNorm'!$T$7</c15:sqref>
                        </c15:formulaRef>
                      </c:ext>
                    </c:extLst>
                    <c:strCache>
                      <c:ptCount val="1"/>
                      <c:pt idx="0">
                        <c:v>Upper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 - LNorm'!$T$55:$T$281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2574.6045156364012</c:v>
                      </c:pt>
                      <c:pt idx="1">
                        <c:v>2577.8947234111906</c:v>
                      </c:pt>
                      <c:pt idx="2">
                        <c:v>2582.9940204906352</c:v>
                      </c:pt>
                      <c:pt idx="3">
                        <c:v>2590.5069306458681</c:v>
                      </c:pt>
                      <c:pt idx="4">
                        <c:v>2601.0947744818932</c:v>
                      </c:pt>
                      <c:pt idx="5">
                        <c:v>2615.4417528857662</c:v>
                      </c:pt>
                      <c:pt idx="6">
                        <c:v>2634.2161587638543</c:v>
                      </c:pt>
                      <c:pt idx="7">
                        <c:v>2658.0304168218818</c:v>
                      </c:pt>
                      <c:pt idx="8">
                        <c:v>2687.4035012414929</c:v>
                      </c:pt>
                      <c:pt idx="9">
                        <c:v>2722.7287211725825</c:v>
                      </c:pt>
                      <c:pt idx="10">
                        <c:v>2764.2490522261405</c:v>
                      </c:pt>
                      <c:pt idx="11">
                        <c:v>2812.0412828966996</c:v>
                      </c:pt>
                      <c:pt idx="12">
                        <c:v>2866.0093652953465</c:v>
                      </c:pt>
                      <c:pt idx="13">
                        <c:v>2925.88659946078</c:v>
                      </c:pt>
                      <c:pt idx="14">
                        <c:v>2991.2456912117709</c:v>
                      </c:pt>
                      <c:pt idx="15">
                        <c:v>3061.5153232033276</c:v>
                      </c:pt>
                      <c:pt idx="16">
                        <c:v>3136.0016606060094</c:v>
                      </c:pt>
                      <c:pt idx="17">
                        <c:v>3213.9131531588973</c:v>
                      </c:pt>
                      <c:pt idx="18">
                        <c:v>3294.3870619404497</c:v>
                      </c:pt>
                      <c:pt idx="19">
                        <c:v>3376.5162970376819</c:v>
                      </c:pt>
                      <c:pt idx="20">
                        <c:v>3459.3753679750071</c:v>
                      </c:pt>
                      <c:pt idx="21">
                        <c:v>3542.0444931976926</c:v>
                      </c:pt>
                      <c:pt idx="22">
                        <c:v>3623.6311646334243</c:v>
                      </c:pt>
                      <c:pt idx="23">
                        <c:v>3703.2887008817834</c:v>
                      </c:pt>
                      <c:pt idx="24">
                        <c:v>3780.2315360206176</c:v>
                      </c:pt>
                      <c:pt idx="25">
                        <c:v>3853.7471733578295</c:v>
                      </c:pt>
                      <c:pt idx="26">
                        <c:v>3923.2048816349056</c:v>
                      </c:pt>
                      <c:pt idx="27">
                        <c:v>3988.0613251444256</c:v>
                      </c:pt>
                      <c:pt idx="28">
                        <c:v>4047.8634010163005</c:v>
                      </c:pt>
                      <c:pt idx="29">
                        <c:v>4102.2486099721573</c:v>
                      </c:pt>
                      <c:pt idx="30">
                        <c:v>4150.9433152977881</c:v>
                      </c:pt>
                      <c:pt idx="31">
                        <c:v>4193.7592530553484</c:v>
                      </c:pt>
                      <c:pt idx="32">
                        <c:v>4230.5886489841705</c:v>
                      </c:pt>
                      <c:pt idx="33">
                        <c:v>4261.3982781420455</c:v>
                      </c:pt>
                      <c:pt idx="34">
                        <c:v>4286.2227756866396</c:v>
                      </c:pt>
                      <c:pt idx="35">
                        <c:v>4305.1574743372821</c:v>
                      </c:pt>
                      <c:pt idx="36">
                        <c:v>4318.3510085024964</c:v>
                      </c:pt>
                      <c:pt idx="37">
                        <c:v>4325.9978888039859</c:v>
                      </c:pt>
                      <c:pt idx="38">
                        <c:v>4328.331215295706</c:v>
                      </c:pt>
                      <c:pt idx="39">
                        <c:v>4325.6156641735433</c:v>
                      </c:pt>
                      <c:pt idx="40">
                        <c:v>4318.1408519478391</c:v>
                      </c:pt>
                      <c:pt idx="41">
                        <c:v>4306.2151533665037</c:v>
                      </c:pt>
                      <c:pt idx="42">
                        <c:v>4290.1600250544998</c:v>
                      </c:pt>
                      <c:pt idx="43">
                        <c:v>4270.304865919441</c:v>
                      </c:pt>
                      <c:pt idx="44">
                        <c:v>4246.9824277707639</c:v>
                      </c:pt>
                      <c:pt idx="45">
                        <c:v>4220.5247751240049</c:v>
                      </c:pt>
                      <c:pt idx="46">
                        <c:v>4191.2597815616291</c:v>
                      </c:pt>
                      <c:pt idx="47">
                        <c:v>4159.5081410098901</c:v>
                      </c:pt>
                      <c:pt idx="48">
                        <c:v>4125.5808655632045</c:v>
                      </c:pt>
                      <c:pt idx="49">
                        <c:v>4089.7772367380344</c:v>
                      </c:pt>
                      <c:pt idx="50">
                        <c:v>4052.383173971607</c:v>
                      </c:pt>
                      <c:pt idx="51">
                        <c:v>4013.6699825195205</c:v>
                      </c:pt>
                      <c:pt idx="52">
                        <c:v>3973.8934423948358</c:v>
                      </c:pt>
                      <c:pt idx="53">
                        <c:v>3933.2932004005133</c:v>
                      </c:pt>
                      <c:pt idx="54">
                        <c:v>3892.0924284335952</c:v>
                      </c:pt>
                      <c:pt idx="55">
                        <c:v>3850.4977129068266</c:v>
                      </c:pt>
                      <c:pt idx="56">
                        <c:v>3808.6991421903567</c:v>
                      </c:pt>
                      <c:pt idx="57">
                        <c:v>3766.8705612950525</c:v>
                      </c:pt>
                      <c:pt idx="58">
                        <c:v>3725.169965494214</c:v>
                      </c:pt>
                      <c:pt idx="59">
                        <c:v>3683.7400071259917</c:v>
                      </c:pt>
                      <c:pt idx="60">
                        <c:v>3642.7085923655386</c:v>
                      </c:pt>
                      <c:pt idx="61">
                        <c:v>3602.189547250603</c:v>
                      </c:pt>
                      <c:pt idx="62">
                        <c:v>3562.2833346456096</c:v>
                      </c:pt>
                      <c:pt idx="63">
                        <c:v>3523.0778061080509</c:v>
                      </c:pt>
                      <c:pt idx="64">
                        <c:v>3484.6489747564519</c:v>
                      </c:pt>
                      <c:pt idx="65">
                        <c:v>3447.061797218576</c:v>
                      </c:pt>
                      <c:pt idx="66">
                        <c:v>3410.3709545549027</c:v>
                      </c:pt>
                      <c:pt idx="67">
                        <c:v>3374.6216237042941</c:v>
                      </c:pt>
                      <c:pt idx="68">
                        <c:v>3339.8502324878245</c:v>
                      </c:pt>
                      <c:pt idx="69">
                        <c:v>3306.0851925382308</c:v>
                      </c:pt>
                      <c:pt idx="70">
                        <c:v>3273.3476057032303</c:v>
                      </c:pt>
                      <c:pt idx="71">
                        <c:v>3241.651940509762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2D2-4346-8DCD-ABBA25EACD7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LNorm'!$U$7</c15:sqref>
                        </c15:formulaRef>
                      </c:ext>
                    </c:extLst>
                    <c:strCache>
                      <c:ptCount val="1"/>
                      <c:pt idx="0">
                        <c:v>Lower CI_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LNorm'!$U$55:$U$281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D2-4346-8DCD-ABBA25EACD7C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59432029216846"/>
          <c:y val="0.29995932162913086"/>
          <c:w val="0.17309550729317555"/>
          <c:h val="0.190973589801624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outside Lombardy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- Daily new cases (velocity)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LNorm'!$W$7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LNorm'!$W$8:$W$281</c:f>
              <c:numCache>
                <c:formatCode>General</c:formatCode>
                <c:ptCount val="274"/>
                <c:pt idx="55" formatCode="0">
                  <c:v>4</c:v>
                </c:pt>
                <c:pt idx="56" formatCode="0">
                  <c:v>7</c:v>
                </c:pt>
                <c:pt idx="57" formatCode="0">
                  <c:v>2</c:v>
                </c:pt>
                <c:pt idx="58" formatCode="0">
                  <c:v>17</c:v>
                </c:pt>
                <c:pt idx="59" formatCode="0">
                  <c:v>13</c:v>
                </c:pt>
                <c:pt idx="60" formatCode="0">
                  <c:v>39</c:v>
                </c:pt>
                <c:pt idx="61" formatCode="0">
                  <c:v>36</c:v>
                </c:pt>
                <c:pt idx="62" formatCode="0">
                  <c:v>45</c:v>
                </c:pt>
                <c:pt idx="63" formatCode="0">
                  <c:v>57</c:v>
                </c:pt>
                <c:pt idx="64" formatCode="0">
                  <c:v>37</c:v>
                </c:pt>
                <c:pt idx="65" formatCode="0">
                  <c:v>141</c:v>
                </c:pt>
                <c:pt idx="66" formatCode="0">
                  <c:v>100</c:v>
                </c:pt>
                <c:pt idx="67" formatCode="0">
                  <c:v>173</c:v>
                </c:pt>
                <c:pt idx="68" formatCode="0">
                  <c:v>400</c:v>
                </c:pt>
                <c:pt idx="69" formatCode="0">
                  <c:v>622</c:v>
                </c:pt>
                <c:pt idx="70" formatCode="0">
                  <c:v>582</c:v>
                </c:pt>
                <c:pt idx="71" formatCode="0">
                  <c:v>0</c:v>
                </c:pt>
                <c:pt idx="72" formatCode="0">
                  <c:v>2955</c:v>
                </c:pt>
                <c:pt idx="73" formatCode="0">
                  <c:v>1159</c:v>
                </c:pt>
                <c:pt idx="74" formatCode="0">
                  <c:v>1407</c:v>
                </c:pt>
                <c:pt idx="75" formatCode="0">
                  <c:v>2144</c:v>
                </c:pt>
                <c:pt idx="76" formatCode="0">
                  <c:v>1806</c:v>
                </c:pt>
                <c:pt idx="77" formatCode="0">
                  <c:v>2162</c:v>
                </c:pt>
                <c:pt idx="78" formatCode="0">
                  <c:v>4053</c:v>
                </c:pt>
                <c:pt idx="79" formatCode="0">
                  <c:v>2447</c:v>
                </c:pt>
                <c:pt idx="80" formatCode="0">
                  <c:v>4964</c:v>
                </c:pt>
                <c:pt idx="81" formatCode="0">
                  <c:v>3394</c:v>
                </c:pt>
                <c:pt idx="82" formatCode="0">
                  <c:v>6368</c:v>
                </c:pt>
                <c:pt idx="83" formatCode="0">
                  <c:v>4749</c:v>
                </c:pt>
                <c:pt idx="84" formatCode="0">
                  <c:v>9630</c:v>
                </c:pt>
                <c:pt idx="85" formatCode="0">
                  <c:v>8271</c:v>
                </c:pt>
                <c:pt idx="86" formatCode="0">
                  <c:v>7933</c:v>
                </c:pt>
                <c:pt idx="87" formatCode="0">
                  <c:v>7516</c:v>
                </c:pt>
                <c:pt idx="88" formatCode="0">
                  <c:v>6875</c:v>
                </c:pt>
                <c:pt idx="89" formatCode="0">
                  <c:v>7846</c:v>
                </c:pt>
                <c:pt idx="90" formatCode="0">
                  <c:v>7967</c:v>
                </c:pt>
                <c:pt idx="91" formatCode="0">
                  <c:v>8195</c:v>
                </c:pt>
                <c:pt idx="92" formatCode="0">
                  <c:v>7947</c:v>
                </c:pt>
                <c:pt idx="93" formatCode="0">
                  <c:v>7134</c:v>
                </c:pt>
                <c:pt idx="94" formatCode="0">
                  <c:v>6969</c:v>
                </c:pt>
                <c:pt idx="95" formatCode="0">
                  <c:v>5478</c:v>
                </c:pt>
                <c:pt idx="96" formatCode="0">
                  <c:v>5029</c:v>
                </c:pt>
                <c:pt idx="97" formatCode="0">
                  <c:v>5267</c:v>
                </c:pt>
                <c:pt idx="98" formatCode="0">
                  <c:v>6278</c:v>
                </c:pt>
                <c:pt idx="99" formatCode="0">
                  <c:v>5002</c:v>
                </c:pt>
                <c:pt idx="100" formatCode="0">
                  <c:v>5051</c:v>
                </c:pt>
                <c:pt idx="101" formatCode="0">
                  <c:v>4754</c:v>
                </c:pt>
                <c:pt idx="102" formatCode="0">
                  <c:v>3804</c:v>
                </c:pt>
                <c:pt idx="103" formatCode="0">
                  <c:v>3268</c:v>
                </c:pt>
                <c:pt idx="104" formatCode="0">
                  <c:v>2442</c:v>
                </c:pt>
                <c:pt idx="105" formatCode="0">
                  <c:v>5103</c:v>
                </c:pt>
                <c:pt idx="106" formatCode="0">
                  <c:v>7304</c:v>
                </c:pt>
                <c:pt idx="107" formatCode="0">
                  <c:v>5891</c:v>
                </c:pt>
                <c:pt idx="108" formatCode="0">
                  <c:v>887</c:v>
                </c:pt>
                <c:pt idx="109" formatCode="0">
                  <c:v>6948</c:v>
                </c:pt>
                <c:pt idx="110" formatCode="0">
                  <c:v>1536</c:v>
                </c:pt>
                <c:pt idx="111" formatCode="0">
                  <c:v>3968</c:v>
                </c:pt>
                <c:pt idx="112" formatCode="0">
                  <c:v>4211</c:v>
                </c:pt>
                <c:pt idx="113" formatCode="0">
                  <c:v>4635</c:v>
                </c:pt>
                <c:pt idx="114" formatCode="0">
                  <c:v>6740</c:v>
                </c:pt>
                <c:pt idx="115" formatCode="0">
                  <c:v>3995</c:v>
                </c:pt>
                <c:pt idx="116" formatCode="0">
                  <c:v>2870</c:v>
                </c:pt>
                <c:pt idx="117" formatCode="0">
                  <c:v>2793</c:v>
                </c:pt>
                <c:pt idx="118" formatCode="0">
                  <c:v>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D-4DF7-941B-58ED2F34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LNorm'!$AA$7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LNorm'!$C$62:$C$281</c:f>
              <c:numCache>
                <c:formatCode>General</c:formatCode>
                <c:ptCount val="22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  <c:pt idx="123">
                  <c:v>178</c:v>
                </c:pt>
                <c:pt idx="124">
                  <c:v>179</c:v>
                </c:pt>
                <c:pt idx="125">
                  <c:v>180</c:v>
                </c:pt>
                <c:pt idx="126">
                  <c:v>181</c:v>
                </c:pt>
                <c:pt idx="127">
                  <c:v>182</c:v>
                </c:pt>
                <c:pt idx="128">
                  <c:v>183</c:v>
                </c:pt>
                <c:pt idx="129">
                  <c:v>184</c:v>
                </c:pt>
                <c:pt idx="130">
                  <c:v>185</c:v>
                </c:pt>
                <c:pt idx="131">
                  <c:v>186</c:v>
                </c:pt>
                <c:pt idx="132">
                  <c:v>187</c:v>
                </c:pt>
                <c:pt idx="133">
                  <c:v>188</c:v>
                </c:pt>
                <c:pt idx="134">
                  <c:v>189</c:v>
                </c:pt>
                <c:pt idx="135">
                  <c:v>190</c:v>
                </c:pt>
                <c:pt idx="136">
                  <c:v>191</c:v>
                </c:pt>
                <c:pt idx="137">
                  <c:v>192</c:v>
                </c:pt>
                <c:pt idx="138">
                  <c:v>193</c:v>
                </c:pt>
                <c:pt idx="139">
                  <c:v>194</c:v>
                </c:pt>
                <c:pt idx="140">
                  <c:v>195</c:v>
                </c:pt>
                <c:pt idx="141">
                  <c:v>196</c:v>
                </c:pt>
                <c:pt idx="142">
                  <c:v>197</c:v>
                </c:pt>
                <c:pt idx="143">
                  <c:v>198</c:v>
                </c:pt>
                <c:pt idx="144">
                  <c:v>199</c:v>
                </c:pt>
                <c:pt idx="145">
                  <c:v>200</c:v>
                </c:pt>
                <c:pt idx="146">
                  <c:v>201</c:v>
                </c:pt>
                <c:pt idx="147">
                  <c:v>202</c:v>
                </c:pt>
                <c:pt idx="148">
                  <c:v>203</c:v>
                </c:pt>
                <c:pt idx="149">
                  <c:v>204</c:v>
                </c:pt>
                <c:pt idx="150">
                  <c:v>205</c:v>
                </c:pt>
                <c:pt idx="151">
                  <c:v>206</c:v>
                </c:pt>
                <c:pt idx="152">
                  <c:v>207</c:v>
                </c:pt>
                <c:pt idx="153">
                  <c:v>208</c:v>
                </c:pt>
                <c:pt idx="154">
                  <c:v>209</c:v>
                </c:pt>
                <c:pt idx="155">
                  <c:v>210</c:v>
                </c:pt>
                <c:pt idx="156">
                  <c:v>211</c:v>
                </c:pt>
                <c:pt idx="157">
                  <c:v>212</c:v>
                </c:pt>
                <c:pt idx="158">
                  <c:v>213</c:v>
                </c:pt>
                <c:pt idx="159">
                  <c:v>214</c:v>
                </c:pt>
                <c:pt idx="160">
                  <c:v>215</c:v>
                </c:pt>
                <c:pt idx="161">
                  <c:v>216</c:v>
                </c:pt>
                <c:pt idx="162">
                  <c:v>217</c:v>
                </c:pt>
                <c:pt idx="163">
                  <c:v>218</c:v>
                </c:pt>
                <c:pt idx="164">
                  <c:v>219</c:v>
                </c:pt>
                <c:pt idx="165">
                  <c:v>220</c:v>
                </c:pt>
                <c:pt idx="166">
                  <c:v>221</c:v>
                </c:pt>
                <c:pt idx="167">
                  <c:v>222</c:v>
                </c:pt>
                <c:pt idx="168">
                  <c:v>223</c:v>
                </c:pt>
                <c:pt idx="169">
                  <c:v>224</c:v>
                </c:pt>
                <c:pt idx="170">
                  <c:v>225</c:v>
                </c:pt>
                <c:pt idx="171">
                  <c:v>226</c:v>
                </c:pt>
                <c:pt idx="172">
                  <c:v>227</c:v>
                </c:pt>
                <c:pt idx="173">
                  <c:v>228</c:v>
                </c:pt>
                <c:pt idx="174">
                  <c:v>229</c:v>
                </c:pt>
                <c:pt idx="175">
                  <c:v>230</c:v>
                </c:pt>
                <c:pt idx="176">
                  <c:v>231</c:v>
                </c:pt>
                <c:pt idx="177">
                  <c:v>232</c:v>
                </c:pt>
                <c:pt idx="178">
                  <c:v>233</c:v>
                </c:pt>
                <c:pt idx="179">
                  <c:v>234</c:v>
                </c:pt>
                <c:pt idx="180">
                  <c:v>235</c:v>
                </c:pt>
                <c:pt idx="181">
                  <c:v>236</c:v>
                </c:pt>
                <c:pt idx="182">
                  <c:v>237</c:v>
                </c:pt>
                <c:pt idx="183">
                  <c:v>238</c:v>
                </c:pt>
                <c:pt idx="184">
                  <c:v>239</c:v>
                </c:pt>
                <c:pt idx="185">
                  <c:v>240</c:v>
                </c:pt>
                <c:pt idx="186">
                  <c:v>241</c:v>
                </c:pt>
                <c:pt idx="187">
                  <c:v>242</c:v>
                </c:pt>
                <c:pt idx="188">
                  <c:v>243</c:v>
                </c:pt>
                <c:pt idx="189">
                  <c:v>244</c:v>
                </c:pt>
                <c:pt idx="190">
                  <c:v>245</c:v>
                </c:pt>
                <c:pt idx="191">
                  <c:v>246</c:v>
                </c:pt>
                <c:pt idx="192">
                  <c:v>247</c:v>
                </c:pt>
                <c:pt idx="193">
                  <c:v>248</c:v>
                </c:pt>
                <c:pt idx="194">
                  <c:v>249</c:v>
                </c:pt>
                <c:pt idx="195">
                  <c:v>250</c:v>
                </c:pt>
                <c:pt idx="196">
                  <c:v>251</c:v>
                </c:pt>
                <c:pt idx="197">
                  <c:v>252</c:v>
                </c:pt>
                <c:pt idx="198">
                  <c:v>253</c:v>
                </c:pt>
                <c:pt idx="199">
                  <c:v>254</c:v>
                </c:pt>
                <c:pt idx="200">
                  <c:v>255</c:v>
                </c:pt>
                <c:pt idx="201">
                  <c:v>256</c:v>
                </c:pt>
                <c:pt idx="202">
                  <c:v>257</c:v>
                </c:pt>
                <c:pt idx="203">
                  <c:v>258</c:v>
                </c:pt>
                <c:pt idx="204">
                  <c:v>259</c:v>
                </c:pt>
                <c:pt idx="205">
                  <c:v>260</c:v>
                </c:pt>
                <c:pt idx="206">
                  <c:v>261</c:v>
                </c:pt>
                <c:pt idx="207">
                  <c:v>262</c:v>
                </c:pt>
                <c:pt idx="208">
                  <c:v>263</c:v>
                </c:pt>
                <c:pt idx="209">
                  <c:v>264</c:v>
                </c:pt>
                <c:pt idx="210">
                  <c:v>265</c:v>
                </c:pt>
                <c:pt idx="211">
                  <c:v>266</c:v>
                </c:pt>
                <c:pt idx="212">
                  <c:v>267</c:v>
                </c:pt>
                <c:pt idx="213">
                  <c:v>268</c:v>
                </c:pt>
                <c:pt idx="214">
                  <c:v>269</c:v>
                </c:pt>
                <c:pt idx="215">
                  <c:v>270</c:v>
                </c:pt>
                <c:pt idx="216">
                  <c:v>271</c:v>
                </c:pt>
                <c:pt idx="217">
                  <c:v>272</c:v>
                </c:pt>
                <c:pt idx="218">
                  <c:v>273</c:v>
                </c:pt>
                <c:pt idx="219">
                  <c:v>274</c:v>
                </c:pt>
              </c:numCache>
            </c:numRef>
          </c:xVal>
          <c:yVal>
            <c:numRef>
              <c:f>'New_cases - LNorm'!$AA$62:$AA$281</c:f>
              <c:numCache>
                <c:formatCode>General</c:formatCode>
                <c:ptCount val="220"/>
                <c:pt idx="0">
                  <c:v>10.325132476591177</c:v>
                </c:pt>
                <c:pt idx="1">
                  <c:v>18.443627571700961</c:v>
                </c:pt>
                <c:pt idx="2">
                  <c:v>31.054503010317745</c:v>
                </c:pt>
                <c:pt idx="3">
                  <c:v>49.651415984551527</c:v>
                </c:pt>
                <c:pt idx="4">
                  <c:v>75.848938488127814</c:v>
                </c:pt>
                <c:pt idx="5">
                  <c:v>111.28688876154665</c:v>
                </c:pt>
                <c:pt idx="6">
                  <c:v>157.52296613712468</c:v>
                </c:pt>
                <c:pt idx="7">
                  <c:v>215.92471211240581</c:v>
                </c:pt>
                <c:pt idx="8">
                  <c:v>287.57118773992391</c:v>
                </c:pt>
                <c:pt idx="9">
                  <c:v>373.17284739564866</c:v>
                </c:pt>
                <c:pt idx="10">
                  <c:v>473.01542232477493</c:v>
                </c:pt>
                <c:pt idx="11">
                  <c:v>586.9307141643676</c:v>
                </c:pt>
                <c:pt idx="12">
                  <c:v>714.29445601251996</c:v>
                </c:pt>
                <c:pt idx="13">
                  <c:v>854.04911286766855</c:v>
                </c:pt>
                <c:pt idx="14">
                  <c:v>1004.7478170397067</c:v>
                </c:pt>
                <c:pt idx="15">
                  <c:v>1164.6146057079882</c:v>
                </c:pt>
                <c:pt idx="16">
                  <c:v>1331.6157009039941</c:v>
                </c:pt>
                <c:pt idx="17">
                  <c:v>1503.53664763659</c:v>
                </c:pt>
                <c:pt idx="18">
                  <c:v>1678.0605794728556</c:v>
                </c:pt>
                <c:pt idx="19">
                  <c:v>1852.8435850697485</c:v>
                </c:pt>
                <c:pt idx="20">
                  <c:v>2025.5839876535661</c:v>
                </c:pt>
                <c:pt idx="21">
                  <c:v>2194.0832257012048</c:v>
                </c:pt>
                <c:pt idx="22">
                  <c:v>2356.2968636267587</c:v>
                </c:pt>
                <c:pt idx="23">
                  <c:v>2510.3750155728749</c:v>
                </c:pt>
                <c:pt idx="24">
                  <c:v>2654.692103379326</c:v>
                </c:pt>
                <c:pt idx="25">
                  <c:v>2787.8663782449853</c:v>
                </c:pt>
                <c:pt idx="26">
                  <c:v>2908.7700141799401</c:v>
                </c:pt>
                <c:pt idx="27">
                  <c:v>3016.5308387721075</c:v>
                </c:pt>
                <c:pt idx="28">
                  <c:v>3110.5269174635955</c:v>
                </c:pt>
                <c:pt idx="29">
                  <c:v>3190.3752687921292</c:v>
                </c:pt>
                <c:pt idx="30">
                  <c:v>3255.9159781051599</c:v>
                </c:pt>
                <c:pt idx="31">
                  <c:v>3307.192913674166</c:v>
                </c:pt>
                <c:pt idx="32">
                  <c:v>3344.4321479038872</c:v>
                </c:pt>
                <c:pt idx="33">
                  <c:v>3368.0190612821943</c:v>
                </c:pt>
                <c:pt idx="34">
                  <c:v>3378.4749693188419</c:v>
                </c:pt>
                <c:pt idx="35">
                  <c:v>3376.4339720750772</c:v>
                </c:pt>
                <c:pt idx="36">
                  <c:v>3362.6205888789086</c:v>
                </c:pt>
                <c:pt idx="37">
                  <c:v>3337.828612374286</c:v>
                </c:pt>
                <c:pt idx="38">
                  <c:v>3302.901499412304</c:v>
                </c:pt>
                <c:pt idx="39">
                  <c:v>3258.7145133293802</c:v>
                </c:pt>
                <c:pt idx="40">
                  <c:v>3206.1587436562982</c:v>
                </c:pt>
                <c:pt idx="41">
                  <c:v>3146.127055224069</c:v>
                </c:pt>
                <c:pt idx="42">
                  <c:v>3079.5019583444746</c:v>
                </c:pt>
                <c:pt idx="43">
                  <c:v>3007.145344209152</c:v>
                </c:pt>
                <c:pt idx="44">
                  <c:v>2929.8899935897552</c:v>
                </c:pt>
                <c:pt idx="45">
                  <c:v>2848.5327409277602</c:v>
                </c:pt>
                <c:pt idx="46">
                  <c:v>2763.8291585423817</c:v>
                </c:pt>
                <c:pt idx="47">
                  <c:v>2676.4896155606684</c:v>
                </c:pt>
                <c:pt idx="48">
                  <c:v>2587.1765619750977</c:v>
                </c:pt>
                <c:pt idx="49">
                  <c:v>2496.5028887607327</c:v>
                </c:pt>
                <c:pt idx="50">
                  <c:v>2405.0312191711232</c:v>
                </c:pt>
                <c:pt idx="51">
                  <c:v>2313.2739932466784</c:v>
                </c:pt>
                <c:pt idx="52">
                  <c:v>2221.6942164173033</c:v>
                </c:pt>
                <c:pt idx="53">
                  <c:v>2130.7067531950643</c:v>
                </c:pt>
                <c:pt idx="54">
                  <c:v>2040.6800577859933</c:v>
                </c:pt>
                <c:pt idx="55">
                  <c:v>1951.938244562695</c:v>
                </c:pt>
                <c:pt idx="56">
                  <c:v>1864.7634123870196</c:v>
                </c:pt>
                <c:pt idx="57">
                  <c:v>1779.3981474922105</c:v>
                </c:pt>
                <c:pt idx="58">
                  <c:v>1696.0481398345469</c:v>
                </c:pt>
                <c:pt idx="59">
                  <c:v>1614.8848573725725</c:v>
                </c:pt>
                <c:pt idx="60">
                  <c:v>1536.0482315417205</c:v>
                </c:pt>
                <c:pt idx="61">
                  <c:v>1459.6493152180863</c:v>
                </c:pt>
                <c:pt idx="62">
                  <c:v>1385.7728816909639</c:v>
                </c:pt>
                <c:pt idx="63">
                  <c:v>1314.4799395985358</c:v>
                </c:pt>
                <c:pt idx="64">
                  <c:v>1245.8101444502865</c:v>
                </c:pt>
                <c:pt idx="65">
                  <c:v>1179.7840923022191</c:v>
                </c:pt>
                <c:pt idx="66">
                  <c:v>1116.4054854142355</c:v>
                </c:pt>
                <c:pt idx="67">
                  <c:v>1055.6631633557765</c:v>
                </c:pt>
                <c:pt idx="68">
                  <c:v>997.53299609153396</c:v>
                </c:pt>
                <c:pt idx="69">
                  <c:v>941.97963812968112</c:v>
                </c:pt>
                <c:pt idx="70">
                  <c:v>888.95814490617602</c:v>
                </c:pt>
                <c:pt idx="71">
                  <c:v>838.41545426304185</c:v>
                </c:pt>
                <c:pt idx="72">
                  <c:v>790.29173720672065</c:v>
                </c:pt>
                <c:pt idx="73">
                  <c:v>744.52162315135365</c:v>
                </c:pt>
                <c:pt idx="74">
                  <c:v>701.03530560469312</c:v>
                </c:pt>
                <c:pt idx="75">
                  <c:v>659.75953478016152</c:v>
                </c:pt>
                <c:pt idx="76">
                  <c:v>620.61850395336728</c:v>
                </c:pt>
                <c:pt idx="77">
                  <c:v>583.53463655676308</c:v>
                </c:pt>
                <c:pt idx="78">
                  <c:v>548.42928104988653</c:v>
                </c:pt>
                <c:pt idx="79">
                  <c:v>515.22332054014612</c:v>
                </c:pt>
                <c:pt idx="80">
                  <c:v>483.83770398131725</c:v>
                </c:pt>
                <c:pt idx="81">
                  <c:v>454.19390556290517</c:v>
                </c:pt>
                <c:pt idx="82">
                  <c:v>426.21431863905917</c:v>
                </c:pt>
                <c:pt idx="83">
                  <c:v>399.82259024460336</c:v>
                </c:pt>
                <c:pt idx="84">
                  <c:v>374.94390191921877</c:v>
                </c:pt>
                <c:pt idx="85">
                  <c:v>351.50520221873751</c:v>
                </c:pt>
                <c:pt idx="86">
                  <c:v>329.43539594258692</c:v>
                </c:pt>
                <c:pt idx="87">
                  <c:v>308.66549475520475</c:v>
                </c:pt>
                <c:pt idx="88">
                  <c:v>289.12873353190429</c:v>
                </c:pt>
                <c:pt idx="89">
                  <c:v>270.76065642037685</c:v>
                </c:pt>
                <c:pt idx="90">
                  <c:v>253.49917628072163</c:v>
                </c:pt>
                <c:pt idx="91">
                  <c:v>237.28461085228838</c:v>
                </c:pt>
                <c:pt idx="92">
                  <c:v>222.05969869605568</c:v>
                </c:pt>
                <c:pt idx="93">
                  <c:v>207.76959767821637</c:v>
                </c:pt>
                <c:pt idx="94">
                  <c:v>194.36186849445971</c:v>
                </c:pt>
                <c:pt idx="95">
                  <c:v>181.78644548575426</c:v>
                </c:pt>
                <c:pt idx="96">
                  <c:v>169.99559676494684</c:v>
                </c:pt>
                <c:pt idx="97">
                  <c:v>158.94387545912204</c:v>
                </c:pt>
                <c:pt idx="98">
                  <c:v>148.58806367499781</c:v>
                </c:pt>
                <c:pt idx="99">
                  <c:v>138.88711061289575</c:v>
                </c:pt>
                <c:pt idx="100">
                  <c:v>129.80206608856005</c:v>
                </c:pt>
                <c:pt idx="101">
                  <c:v>121.29601057036058</c:v>
                </c:pt>
                <c:pt idx="102">
                  <c:v>113.33398270149605</c:v>
                </c:pt>
                <c:pt idx="103">
                  <c:v>105.88290515183097</c:v>
                </c:pt>
                <c:pt idx="104">
                  <c:v>98.911509531068333</c:v>
                </c:pt>
                <c:pt idx="105">
                  <c:v>92.390260993342054</c:v>
                </c:pt>
                <c:pt idx="106">
                  <c:v>86.291283072030623</c:v>
                </c:pt>
                <c:pt idx="107">
                  <c:v>80.588283201970967</c:v>
                </c:pt>
                <c:pt idx="108">
                  <c:v>75.256479313439783</c:v>
                </c:pt>
                <c:pt idx="109">
                  <c:v>70.272527817534595</c:v>
                </c:pt>
                <c:pt idx="110">
                  <c:v>65.61445324525765</c:v>
                </c:pt>
                <c:pt idx="111">
                  <c:v>61.261579751984854</c:v>
                </c:pt>
                <c:pt idx="112">
                  <c:v>57.194464654495931</c:v>
                </c:pt>
                <c:pt idx="113">
                  <c:v>53.39483412874759</c:v>
                </c:pt>
                <c:pt idx="114">
                  <c:v>49.845521162565966</c:v>
                </c:pt>
                <c:pt idx="115">
                  <c:v>46.530405827922699</c:v>
                </c:pt>
                <c:pt idx="116">
                  <c:v>43.434357911955068</c:v>
                </c:pt>
                <c:pt idx="117">
                  <c:v>40.543181924016729</c:v>
                </c:pt>
                <c:pt idx="118">
                  <c:v>37.843564477361163</c:v>
                </c:pt>
                <c:pt idx="119">
                  <c:v>35.323024028259177</c:v>
                </c:pt>
                <c:pt idx="120">
                  <c:v>32.969862942080226</c:v>
                </c:pt>
                <c:pt idx="121">
                  <c:v>30.773121844849612</c:v>
                </c:pt>
                <c:pt idx="122">
                  <c:v>28.72253620975799</c:v>
                </c:pt>
                <c:pt idx="123">
                  <c:v>26.808495120800671</c:v>
                </c:pt>
                <c:pt idx="124">
                  <c:v>25.022002149969296</c:v>
                </c:pt>
                <c:pt idx="125">
                  <c:v>23.354638279968487</c:v>
                </c:pt>
                <c:pt idx="126">
                  <c:v>21.798526801170439</c:v>
                </c:pt>
                <c:pt idx="127">
                  <c:v>20.346300109235695</c:v>
                </c:pt>
                <c:pt idx="128">
                  <c:v>18.991068328425126</c:v>
                </c:pt>
                <c:pt idx="129">
                  <c:v>17.726389684947989</c:v>
                </c:pt>
                <c:pt idx="130">
                  <c:v>16.546242554653691</c:v>
                </c:pt>
                <c:pt idx="131">
                  <c:v>15.444999109857786</c:v>
                </c:pt>
                <c:pt idx="132">
                  <c:v>14.417400491022027</c:v>
                </c:pt>
                <c:pt idx="133">
                  <c:v>13.458533430308405</c:v>
                </c:pt>
                <c:pt idx="134">
                  <c:v>12.563808255622892</c:v>
                </c:pt>
                <c:pt idx="135">
                  <c:v>11.728938205609783</c:v>
                </c:pt>
                <c:pt idx="136">
                  <c:v>10.949919988086478</c:v>
                </c:pt>
                <c:pt idx="137">
                  <c:v>10.223015516586869</c:v>
                </c:pt>
                <c:pt idx="138">
                  <c:v>9.5447347619737481</c:v>
                </c:pt>
                <c:pt idx="139">
                  <c:v>8.9118196584353946</c:v>
                </c:pt>
                <c:pt idx="140">
                  <c:v>8.3212290055956153</c:v>
                </c:pt>
                <c:pt idx="141">
                  <c:v>7.7701243108940767</c:v>
                </c:pt>
                <c:pt idx="142">
                  <c:v>7.2558565188256035</c:v>
                </c:pt>
                <c:pt idx="143">
                  <c:v>6.7759535760435847</c:v>
                </c:pt>
                <c:pt idx="144">
                  <c:v>6.328108783717787</c:v>
                </c:pt>
                <c:pt idx="145">
                  <c:v>5.9101698908789926</c:v>
                </c:pt>
                <c:pt idx="146">
                  <c:v>5.5201288847735404</c:v>
                </c:pt>
                <c:pt idx="147">
                  <c:v>5.1561124364827862</c:v>
                </c:pt>
                <c:pt idx="148">
                  <c:v>4.8163729622247082</c:v>
                </c:pt>
                <c:pt idx="149">
                  <c:v>4.4992802628504176</c:v>
                </c:pt>
                <c:pt idx="150">
                  <c:v>4.2033137060657424</c:v>
                </c:pt>
                <c:pt idx="151">
                  <c:v>3.9270549178529928</c:v>
                </c:pt>
                <c:pt idx="152">
                  <c:v>3.6691809514300835</c:v>
                </c:pt>
                <c:pt idx="153">
                  <c:v>3.4284579038724243</c:v>
                </c:pt>
                <c:pt idx="154">
                  <c:v>3.2037349522287442</c:v>
                </c:pt>
                <c:pt idx="155">
                  <c:v>2.9939387825922967</c:v>
                </c:pt>
                <c:pt idx="156">
                  <c:v>2.7980683871407384</c:v>
                </c:pt>
                <c:pt idx="157">
                  <c:v>2.6151902056350362</c:v>
                </c:pt>
                <c:pt idx="158">
                  <c:v>2.4444335892707545</c:v>
                </c:pt>
                <c:pt idx="159">
                  <c:v>2.2849865661061091</c:v>
                </c:pt>
                <c:pt idx="160">
                  <c:v>2.1360918885530822</c:v>
                </c:pt>
                <c:pt idx="161">
                  <c:v>1.9970433446124605</c:v>
                </c:pt>
                <c:pt idx="162">
                  <c:v>1.8671823156621152</c:v>
                </c:pt>
                <c:pt idx="163">
                  <c:v>1.7458945646766422</c:v>
                </c:pt>
                <c:pt idx="164">
                  <c:v>1.6326072397624227</c:v>
                </c:pt>
                <c:pt idx="165">
                  <c:v>1.5267860788432863</c:v>
                </c:pt>
                <c:pt idx="166">
                  <c:v>1.4279328022269551</c:v>
                </c:pt>
                <c:pt idx="167">
                  <c:v>1.3355826806260067</c:v>
                </c:pt>
                <c:pt idx="168">
                  <c:v>1.2493022670008072</c:v>
                </c:pt>
                <c:pt idx="169">
                  <c:v>1.16868728133835</c:v>
                </c:pt>
                <c:pt idx="170">
                  <c:v>1.0933606381825307</c:v>
                </c:pt>
                <c:pt idx="171">
                  <c:v>1.022970607390824</c:v>
                </c:pt>
                <c:pt idx="172">
                  <c:v>0.95718909921094275</c:v>
                </c:pt>
                <c:pt idx="173">
                  <c:v>0.89571006535222097</c:v>
                </c:pt>
                <c:pt idx="174">
                  <c:v>0.83824800827094559</c:v>
                </c:pt>
                <c:pt idx="175">
                  <c:v>0.78453659140013077</c:v>
                </c:pt>
                <c:pt idx="176">
                  <c:v>0.7343273435325578</c:v>
                </c:pt>
                <c:pt idx="177">
                  <c:v>0.68738845101461243</c:v>
                </c:pt>
                <c:pt idx="178">
                  <c:v>0.64350363182859471</c:v>
                </c:pt>
                <c:pt idx="179">
                  <c:v>0.60247108603400246</c:v>
                </c:pt>
                <c:pt idx="180">
                  <c:v>0.56410251740668005</c:v>
                </c:pt>
                <c:pt idx="181">
                  <c:v>0.52822222145863951</c:v>
                </c:pt>
                <c:pt idx="182">
                  <c:v>0.49466623534351584</c:v>
                </c:pt>
                <c:pt idx="183">
                  <c:v>0.46328154545346967</c:v>
                </c:pt>
                <c:pt idx="184">
                  <c:v>0.43392534879496003</c:v>
                </c:pt>
                <c:pt idx="185">
                  <c:v>0.40646436449356915</c:v>
                </c:pt>
                <c:pt idx="186">
                  <c:v>0.380774192023767</c:v>
                </c:pt>
                <c:pt idx="187">
                  <c:v>0.35673871298912757</c:v>
                </c:pt>
                <c:pt idx="188">
                  <c:v>0.33424953349259295</c:v>
                </c:pt>
                <c:pt idx="189">
                  <c:v>0.31320546433671753</c:v>
                </c:pt>
                <c:pt idx="190">
                  <c:v>0.29351203648040042</c:v>
                </c:pt>
                <c:pt idx="191">
                  <c:v>0.27508104935314132</c:v>
                </c:pt>
                <c:pt idx="192">
                  <c:v>0.25783014979044461</c:v>
                </c:pt>
                <c:pt idx="193">
                  <c:v>0.24168243950584764</c:v>
                </c:pt>
                <c:pt idx="194">
                  <c:v>0.22656610915671305</c:v>
                </c:pt>
                <c:pt idx="195">
                  <c:v>0.21241409719294341</c:v>
                </c:pt>
                <c:pt idx="196">
                  <c:v>0.19916377180109829</c:v>
                </c:pt>
                <c:pt idx="197">
                  <c:v>0.18675663437118439</c:v>
                </c:pt>
                <c:pt idx="198">
                  <c:v>0.17513804302067645</c:v>
                </c:pt>
                <c:pt idx="199">
                  <c:v>0.16425695481006308</c:v>
                </c:pt>
                <c:pt idx="200">
                  <c:v>0.1540656853774465</c:v>
                </c:pt>
                <c:pt idx="201">
                  <c:v>0.14451968480654503</c:v>
                </c:pt>
                <c:pt idx="202">
                  <c:v>0.1355773286232658</c:v>
                </c:pt>
                <c:pt idx="203">
                  <c:v>0.12719972289154682</c:v>
                </c:pt>
                <c:pt idx="204">
                  <c:v>0.11935052244938478</c:v>
                </c:pt>
                <c:pt idx="205">
                  <c:v>0.11199576139147817</c:v>
                </c:pt>
                <c:pt idx="206">
                  <c:v>0.10510369496597585</c:v>
                </c:pt>
                <c:pt idx="207">
                  <c:v>9.8644652109643641E-2</c:v>
                </c:pt>
                <c:pt idx="208">
                  <c:v>9.2590897898796334E-2</c:v>
                </c:pt>
                <c:pt idx="209">
                  <c:v>8.6916505242683836E-2</c:v>
                </c:pt>
                <c:pt idx="210">
                  <c:v>8.1597235192033657E-2</c:v>
                </c:pt>
                <c:pt idx="211">
                  <c:v>7.6610425278280159E-2</c:v>
                </c:pt>
                <c:pt idx="212">
                  <c:v>7.1934885338941851E-2</c:v>
                </c:pt>
                <c:pt idx="213">
                  <c:v>6.7550800321809129E-2</c:v>
                </c:pt>
                <c:pt idx="214">
                  <c:v>6.3439639595204197E-2</c:v>
                </c:pt>
                <c:pt idx="215">
                  <c:v>5.9584072323898604E-2</c:v>
                </c:pt>
                <c:pt idx="216">
                  <c:v>5.5967888500273393E-2</c:v>
                </c:pt>
                <c:pt idx="217">
                  <c:v>5.2575925248355283E-2</c:v>
                </c:pt>
                <c:pt idx="218">
                  <c:v>4.9393998044415605E-2</c:v>
                </c:pt>
                <c:pt idx="219">
                  <c:v>4.6408836522111627E-2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5D-4DF7-941B-58ED2F347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'New_cases - LNorm'!$AD$7</c15:sqref>
                        </c15:formulaRef>
                      </c:ext>
                    </c:extLst>
                    <c:strCache>
                      <c:ptCount val="1"/>
                      <c:pt idx="0">
                        <c:v>Upper CI__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 - LNorm'!$AD$55:$AD$281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5338.8509237537364</c:v>
                      </c:pt>
                      <c:pt idx="1">
                        <c:v>5338.8863534134134</c:v>
                      </c:pt>
                      <c:pt idx="2">
                        <c:v>5338.9974790604856</c:v>
                      </c:pt>
                      <c:pt idx="3">
                        <c:v>5339.294497102188</c:v>
                      </c:pt>
                      <c:pt idx="4">
                        <c:v>5339.9902401213467</c:v>
                      </c:pt>
                      <c:pt idx="5">
                        <c:v>5341.449863067196</c:v>
                      </c:pt>
                      <c:pt idx="6">
                        <c:v>5344.2397078959129</c:v>
                      </c:pt>
                      <c:pt idx="7">
                        <c:v>5349.1645676366088</c:v>
                      </c:pt>
                      <c:pt idx="8">
                        <c:v>5357.283062731718</c:v>
                      </c:pt>
                      <c:pt idx="9">
                        <c:v>5369.8939381703349</c:v>
                      </c:pt>
                      <c:pt idx="10">
                        <c:v>5388.4908511445692</c:v>
                      </c:pt>
                      <c:pt idx="11">
                        <c:v>5414.688373648145</c:v>
                      </c:pt>
                      <c:pt idx="12">
                        <c:v>5450.1263239215641</c:v>
                      </c:pt>
                      <c:pt idx="13">
                        <c:v>5496.3624012971422</c:v>
                      </c:pt>
                      <c:pt idx="14">
                        <c:v>5554.7641472724226</c:v>
                      </c:pt>
                      <c:pt idx="15">
                        <c:v>5626.4106228999408</c:v>
                      </c:pt>
                      <c:pt idx="16">
                        <c:v>5712.0122825556664</c:v>
                      </c:pt>
                      <c:pt idx="17">
                        <c:v>5811.8548574847919</c:v>
                      </c:pt>
                      <c:pt idx="18">
                        <c:v>5925.7701493243849</c:v>
                      </c:pt>
                      <c:pt idx="19">
                        <c:v>6053.133891172537</c:v>
                      </c:pt>
                      <c:pt idx="20">
                        <c:v>6192.8885480276858</c:v>
                      </c:pt>
                      <c:pt idx="21">
                        <c:v>6343.5872521997244</c:v>
                      </c:pt>
                      <c:pt idx="22">
                        <c:v>6503.4540408680059</c:v>
                      </c:pt>
                      <c:pt idx="23">
                        <c:v>6670.4551360640116</c:v>
                      </c:pt>
                      <c:pt idx="24">
                        <c:v>6842.3760827966071</c:v>
                      </c:pt>
                      <c:pt idx="25">
                        <c:v>7016.9000146328726</c:v>
                      </c:pt>
                      <c:pt idx="26">
                        <c:v>7191.683020229766</c:v>
                      </c:pt>
                      <c:pt idx="27">
                        <c:v>7364.4234228135829</c:v>
                      </c:pt>
                      <c:pt idx="28">
                        <c:v>7532.9226608612225</c:v>
                      </c:pt>
                      <c:pt idx="29">
                        <c:v>7695.136298786776</c:v>
                      </c:pt>
                      <c:pt idx="30">
                        <c:v>7849.2144507328921</c:v>
                      </c:pt>
                      <c:pt idx="31">
                        <c:v>7993.5315385393433</c:v>
                      </c:pt>
                      <c:pt idx="32">
                        <c:v>8126.7058134050021</c:v>
                      </c:pt>
                      <c:pt idx="33">
                        <c:v>8247.6094493399578</c:v>
                      </c:pt>
                      <c:pt idx="34">
                        <c:v>8355.3702739321252</c:v>
                      </c:pt>
                      <c:pt idx="35">
                        <c:v>8449.3663526236123</c:v>
                      </c:pt>
                      <c:pt idx="36">
                        <c:v>8529.214703952146</c:v>
                      </c:pt>
                      <c:pt idx="37">
                        <c:v>8594.7554132651767</c:v>
                      </c:pt>
                      <c:pt idx="38">
                        <c:v>8646.0323488341837</c:v>
                      </c:pt>
                      <c:pt idx="39">
                        <c:v>8683.2715830639045</c:v>
                      </c:pt>
                      <c:pt idx="40">
                        <c:v>8706.8584964422116</c:v>
                      </c:pt>
                      <c:pt idx="41">
                        <c:v>8717.3144044788587</c:v>
                      </c:pt>
                      <c:pt idx="42">
                        <c:v>8715.2734072350941</c:v>
                      </c:pt>
                      <c:pt idx="43">
                        <c:v>8701.4600240389263</c:v>
                      </c:pt>
                      <c:pt idx="44">
                        <c:v>8676.6680475343037</c:v>
                      </c:pt>
                      <c:pt idx="45">
                        <c:v>8641.7409345723208</c:v>
                      </c:pt>
                      <c:pt idx="46">
                        <c:v>8597.553948489398</c:v>
                      </c:pt>
                      <c:pt idx="47">
                        <c:v>8544.998178816315</c:v>
                      </c:pt>
                      <c:pt idx="48">
                        <c:v>8484.9664903840858</c:v>
                      </c:pt>
                      <c:pt idx="49">
                        <c:v>8418.3413935044919</c:v>
                      </c:pt>
                      <c:pt idx="50">
                        <c:v>8345.9847793691697</c:v>
                      </c:pt>
                      <c:pt idx="51">
                        <c:v>8268.7294287497716</c:v>
                      </c:pt>
                      <c:pt idx="52">
                        <c:v>8187.3721760877779</c:v>
                      </c:pt>
                      <c:pt idx="53">
                        <c:v>8102.6685937023994</c:v>
                      </c:pt>
                      <c:pt idx="54">
                        <c:v>8015.3290507206857</c:v>
                      </c:pt>
                      <c:pt idx="55">
                        <c:v>7926.015997135115</c:v>
                      </c:pt>
                      <c:pt idx="56">
                        <c:v>7835.3423239207495</c:v>
                      </c:pt>
                      <c:pt idx="57">
                        <c:v>7743.87065433114</c:v>
                      </c:pt>
                      <c:pt idx="58">
                        <c:v>7652.1134284066957</c:v>
                      </c:pt>
                      <c:pt idx="59">
                        <c:v>7560.5336515773206</c:v>
                      </c:pt>
                      <c:pt idx="60">
                        <c:v>7469.5461883550815</c:v>
                      </c:pt>
                      <c:pt idx="61">
                        <c:v>7379.5194929460104</c:v>
                      </c:pt>
                      <c:pt idx="62">
                        <c:v>7290.7776797227125</c:v>
                      </c:pt>
                      <c:pt idx="63">
                        <c:v>7203.6028475470366</c:v>
                      </c:pt>
                      <c:pt idx="64">
                        <c:v>7118.2375826522275</c:v>
                      </c:pt>
                      <c:pt idx="65">
                        <c:v>7034.8875749945637</c:v>
                      </c:pt>
                      <c:pt idx="66">
                        <c:v>6953.72429253259</c:v>
                      </c:pt>
                      <c:pt idx="67">
                        <c:v>6874.8876667017375</c:v>
                      </c:pt>
                      <c:pt idx="68">
                        <c:v>6798.4887503781038</c:v>
                      </c:pt>
                      <c:pt idx="69">
                        <c:v>6724.6123168509812</c:v>
                      </c:pt>
                      <c:pt idx="70">
                        <c:v>6653.3193747585528</c:v>
                      </c:pt>
                      <c:pt idx="71">
                        <c:v>6584.6495796103036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BE5D-4DF7-941B-58ED2F3476B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LNorm'!$AE$7</c15:sqref>
                        </c15:formulaRef>
                      </c:ext>
                    </c:extLst>
                    <c:strCache>
                      <c:ptCount val="1"/>
                      <c:pt idx="0">
                        <c:v>Lower CI__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LNorm'!$C$55:$C$281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48</c:v>
                      </c:pt>
                      <c:pt idx="1">
                        <c:v>49</c:v>
                      </c:pt>
                      <c:pt idx="2">
                        <c:v>50</c:v>
                      </c:pt>
                      <c:pt idx="3">
                        <c:v>51</c:v>
                      </c:pt>
                      <c:pt idx="4">
                        <c:v>52</c:v>
                      </c:pt>
                      <c:pt idx="5">
                        <c:v>53</c:v>
                      </c:pt>
                      <c:pt idx="6">
                        <c:v>54</c:v>
                      </c:pt>
                      <c:pt idx="7">
                        <c:v>55</c:v>
                      </c:pt>
                      <c:pt idx="8">
                        <c:v>56</c:v>
                      </c:pt>
                      <c:pt idx="9">
                        <c:v>57</c:v>
                      </c:pt>
                      <c:pt idx="10">
                        <c:v>58</c:v>
                      </c:pt>
                      <c:pt idx="11">
                        <c:v>59</c:v>
                      </c:pt>
                      <c:pt idx="12">
                        <c:v>60</c:v>
                      </c:pt>
                      <c:pt idx="13">
                        <c:v>61</c:v>
                      </c:pt>
                      <c:pt idx="14">
                        <c:v>62</c:v>
                      </c:pt>
                      <c:pt idx="15">
                        <c:v>63</c:v>
                      </c:pt>
                      <c:pt idx="16">
                        <c:v>64</c:v>
                      </c:pt>
                      <c:pt idx="17">
                        <c:v>65</c:v>
                      </c:pt>
                      <c:pt idx="18">
                        <c:v>66</c:v>
                      </c:pt>
                      <c:pt idx="19">
                        <c:v>67</c:v>
                      </c:pt>
                      <c:pt idx="20">
                        <c:v>68</c:v>
                      </c:pt>
                      <c:pt idx="21">
                        <c:v>69</c:v>
                      </c:pt>
                      <c:pt idx="22">
                        <c:v>70</c:v>
                      </c:pt>
                      <c:pt idx="23">
                        <c:v>71</c:v>
                      </c:pt>
                      <c:pt idx="24">
                        <c:v>72</c:v>
                      </c:pt>
                      <c:pt idx="25">
                        <c:v>73</c:v>
                      </c:pt>
                      <c:pt idx="26">
                        <c:v>74</c:v>
                      </c:pt>
                      <c:pt idx="27">
                        <c:v>75</c:v>
                      </c:pt>
                      <c:pt idx="28">
                        <c:v>76</c:v>
                      </c:pt>
                      <c:pt idx="29">
                        <c:v>77</c:v>
                      </c:pt>
                      <c:pt idx="30">
                        <c:v>78</c:v>
                      </c:pt>
                      <c:pt idx="31">
                        <c:v>79</c:v>
                      </c:pt>
                      <c:pt idx="32">
                        <c:v>80</c:v>
                      </c:pt>
                      <c:pt idx="33">
                        <c:v>81</c:v>
                      </c:pt>
                      <c:pt idx="34">
                        <c:v>82</c:v>
                      </c:pt>
                      <c:pt idx="35">
                        <c:v>83</c:v>
                      </c:pt>
                      <c:pt idx="36">
                        <c:v>84</c:v>
                      </c:pt>
                      <c:pt idx="37">
                        <c:v>85</c:v>
                      </c:pt>
                      <c:pt idx="38">
                        <c:v>86</c:v>
                      </c:pt>
                      <c:pt idx="39">
                        <c:v>87</c:v>
                      </c:pt>
                      <c:pt idx="40">
                        <c:v>88</c:v>
                      </c:pt>
                      <c:pt idx="41">
                        <c:v>89</c:v>
                      </c:pt>
                      <c:pt idx="42">
                        <c:v>90</c:v>
                      </c:pt>
                      <c:pt idx="43">
                        <c:v>91</c:v>
                      </c:pt>
                      <c:pt idx="44">
                        <c:v>92</c:v>
                      </c:pt>
                      <c:pt idx="45">
                        <c:v>93</c:v>
                      </c:pt>
                      <c:pt idx="46">
                        <c:v>94</c:v>
                      </c:pt>
                      <c:pt idx="47">
                        <c:v>95</c:v>
                      </c:pt>
                      <c:pt idx="48">
                        <c:v>96</c:v>
                      </c:pt>
                      <c:pt idx="49">
                        <c:v>97</c:v>
                      </c:pt>
                      <c:pt idx="50">
                        <c:v>98</c:v>
                      </c:pt>
                      <c:pt idx="51">
                        <c:v>99</c:v>
                      </c:pt>
                      <c:pt idx="52">
                        <c:v>100</c:v>
                      </c:pt>
                      <c:pt idx="53">
                        <c:v>101</c:v>
                      </c:pt>
                      <c:pt idx="54">
                        <c:v>102</c:v>
                      </c:pt>
                      <c:pt idx="55">
                        <c:v>103</c:v>
                      </c:pt>
                      <c:pt idx="56">
                        <c:v>104</c:v>
                      </c:pt>
                      <c:pt idx="57">
                        <c:v>105</c:v>
                      </c:pt>
                      <c:pt idx="58">
                        <c:v>106</c:v>
                      </c:pt>
                      <c:pt idx="59">
                        <c:v>107</c:v>
                      </c:pt>
                      <c:pt idx="60">
                        <c:v>108</c:v>
                      </c:pt>
                      <c:pt idx="61">
                        <c:v>109</c:v>
                      </c:pt>
                      <c:pt idx="62">
                        <c:v>110</c:v>
                      </c:pt>
                      <c:pt idx="63">
                        <c:v>111</c:v>
                      </c:pt>
                      <c:pt idx="64">
                        <c:v>112</c:v>
                      </c:pt>
                      <c:pt idx="65">
                        <c:v>113</c:v>
                      </c:pt>
                      <c:pt idx="66">
                        <c:v>114</c:v>
                      </c:pt>
                      <c:pt idx="67">
                        <c:v>115</c:v>
                      </c:pt>
                      <c:pt idx="68">
                        <c:v>116</c:v>
                      </c:pt>
                      <c:pt idx="69">
                        <c:v>117</c:v>
                      </c:pt>
                      <c:pt idx="70">
                        <c:v>118</c:v>
                      </c:pt>
                      <c:pt idx="71">
                        <c:v>119</c:v>
                      </c:pt>
                      <c:pt idx="72">
                        <c:v>120</c:v>
                      </c:pt>
                      <c:pt idx="73">
                        <c:v>121</c:v>
                      </c:pt>
                      <c:pt idx="74">
                        <c:v>122</c:v>
                      </c:pt>
                      <c:pt idx="75">
                        <c:v>123</c:v>
                      </c:pt>
                      <c:pt idx="76">
                        <c:v>124</c:v>
                      </c:pt>
                      <c:pt idx="77">
                        <c:v>125</c:v>
                      </c:pt>
                      <c:pt idx="78">
                        <c:v>126</c:v>
                      </c:pt>
                      <c:pt idx="79">
                        <c:v>127</c:v>
                      </c:pt>
                      <c:pt idx="80">
                        <c:v>128</c:v>
                      </c:pt>
                      <c:pt idx="81">
                        <c:v>129</c:v>
                      </c:pt>
                      <c:pt idx="82">
                        <c:v>130</c:v>
                      </c:pt>
                      <c:pt idx="83">
                        <c:v>131</c:v>
                      </c:pt>
                      <c:pt idx="84">
                        <c:v>132</c:v>
                      </c:pt>
                      <c:pt idx="85">
                        <c:v>133</c:v>
                      </c:pt>
                      <c:pt idx="86">
                        <c:v>134</c:v>
                      </c:pt>
                      <c:pt idx="87">
                        <c:v>135</c:v>
                      </c:pt>
                      <c:pt idx="88">
                        <c:v>136</c:v>
                      </c:pt>
                      <c:pt idx="89">
                        <c:v>137</c:v>
                      </c:pt>
                      <c:pt idx="90">
                        <c:v>138</c:v>
                      </c:pt>
                      <c:pt idx="91">
                        <c:v>139</c:v>
                      </c:pt>
                      <c:pt idx="92">
                        <c:v>140</c:v>
                      </c:pt>
                      <c:pt idx="93">
                        <c:v>141</c:v>
                      </c:pt>
                      <c:pt idx="94">
                        <c:v>142</c:v>
                      </c:pt>
                      <c:pt idx="95">
                        <c:v>143</c:v>
                      </c:pt>
                      <c:pt idx="96">
                        <c:v>144</c:v>
                      </c:pt>
                      <c:pt idx="97">
                        <c:v>145</c:v>
                      </c:pt>
                      <c:pt idx="98">
                        <c:v>146</c:v>
                      </c:pt>
                      <c:pt idx="99">
                        <c:v>147</c:v>
                      </c:pt>
                      <c:pt idx="100">
                        <c:v>148</c:v>
                      </c:pt>
                      <c:pt idx="101">
                        <c:v>149</c:v>
                      </c:pt>
                      <c:pt idx="102">
                        <c:v>150</c:v>
                      </c:pt>
                      <c:pt idx="103">
                        <c:v>151</c:v>
                      </c:pt>
                      <c:pt idx="104">
                        <c:v>152</c:v>
                      </c:pt>
                      <c:pt idx="105">
                        <c:v>153</c:v>
                      </c:pt>
                      <c:pt idx="106">
                        <c:v>154</c:v>
                      </c:pt>
                      <c:pt idx="107">
                        <c:v>155</c:v>
                      </c:pt>
                      <c:pt idx="108">
                        <c:v>156</c:v>
                      </c:pt>
                      <c:pt idx="109">
                        <c:v>157</c:v>
                      </c:pt>
                      <c:pt idx="110">
                        <c:v>158</c:v>
                      </c:pt>
                      <c:pt idx="111">
                        <c:v>159</c:v>
                      </c:pt>
                      <c:pt idx="112">
                        <c:v>160</c:v>
                      </c:pt>
                      <c:pt idx="113">
                        <c:v>161</c:v>
                      </c:pt>
                      <c:pt idx="114">
                        <c:v>162</c:v>
                      </c:pt>
                      <c:pt idx="115">
                        <c:v>163</c:v>
                      </c:pt>
                      <c:pt idx="116">
                        <c:v>164</c:v>
                      </c:pt>
                      <c:pt idx="117">
                        <c:v>165</c:v>
                      </c:pt>
                      <c:pt idx="118">
                        <c:v>166</c:v>
                      </c:pt>
                      <c:pt idx="119">
                        <c:v>167</c:v>
                      </c:pt>
                      <c:pt idx="120">
                        <c:v>168</c:v>
                      </c:pt>
                      <c:pt idx="121">
                        <c:v>169</c:v>
                      </c:pt>
                      <c:pt idx="122">
                        <c:v>170</c:v>
                      </c:pt>
                      <c:pt idx="123">
                        <c:v>171</c:v>
                      </c:pt>
                      <c:pt idx="124">
                        <c:v>172</c:v>
                      </c:pt>
                      <c:pt idx="125">
                        <c:v>173</c:v>
                      </c:pt>
                      <c:pt idx="126">
                        <c:v>174</c:v>
                      </c:pt>
                      <c:pt idx="127">
                        <c:v>175</c:v>
                      </c:pt>
                      <c:pt idx="128">
                        <c:v>176</c:v>
                      </c:pt>
                      <c:pt idx="129">
                        <c:v>177</c:v>
                      </c:pt>
                      <c:pt idx="130">
                        <c:v>178</c:v>
                      </c:pt>
                      <c:pt idx="131">
                        <c:v>179</c:v>
                      </c:pt>
                      <c:pt idx="132">
                        <c:v>180</c:v>
                      </c:pt>
                      <c:pt idx="133">
                        <c:v>181</c:v>
                      </c:pt>
                      <c:pt idx="134">
                        <c:v>182</c:v>
                      </c:pt>
                      <c:pt idx="135">
                        <c:v>183</c:v>
                      </c:pt>
                      <c:pt idx="136">
                        <c:v>184</c:v>
                      </c:pt>
                      <c:pt idx="137">
                        <c:v>185</c:v>
                      </c:pt>
                      <c:pt idx="138">
                        <c:v>186</c:v>
                      </c:pt>
                      <c:pt idx="139">
                        <c:v>187</c:v>
                      </c:pt>
                      <c:pt idx="140">
                        <c:v>188</c:v>
                      </c:pt>
                      <c:pt idx="141">
                        <c:v>189</c:v>
                      </c:pt>
                      <c:pt idx="142">
                        <c:v>190</c:v>
                      </c:pt>
                      <c:pt idx="143">
                        <c:v>191</c:v>
                      </c:pt>
                      <c:pt idx="144">
                        <c:v>192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195</c:v>
                      </c:pt>
                      <c:pt idx="148">
                        <c:v>196</c:v>
                      </c:pt>
                      <c:pt idx="149">
                        <c:v>197</c:v>
                      </c:pt>
                      <c:pt idx="150">
                        <c:v>198</c:v>
                      </c:pt>
                      <c:pt idx="151">
                        <c:v>199</c:v>
                      </c:pt>
                      <c:pt idx="152">
                        <c:v>200</c:v>
                      </c:pt>
                      <c:pt idx="153">
                        <c:v>201</c:v>
                      </c:pt>
                      <c:pt idx="154">
                        <c:v>202</c:v>
                      </c:pt>
                      <c:pt idx="155">
                        <c:v>203</c:v>
                      </c:pt>
                      <c:pt idx="156">
                        <c:v>204</c:v>
                      </c:pt>
                      <c:pt idx="157">
                        <c:v>205</c:v>
                      </c:pt>
                      <c:pt idx="158">
                        <c:v>206</c:v>
                      </c:pt>
                      <c:pt idx="159">
                        <c:v>207</c:v>
                      </c:pt>
                      <c:pt idx="160">
                        <c:v>208</c:v>
                      </c:pt>
                      <c:pt idx="161">
                        <c:v>209</c:v>
                      </c:pt>
                      <c:pt idx="162">
                        <c:v>210</c:v>
                      </c:pt>
                      <c:pt idx="163">
                        <c:v>211</c:v>
                      </c:pt>
                      <c:pt idx="164">
                        <c:v>212</c:v>
                      </c:pt>
                      <c:pt idx="165">
                        <c:v>213</c:v>
                      </c:pt>
                      <c:pt idx="166">
                        <c:v>214</c:v>
                      </c:pt>
                      <c:pt idx="167">
                        <c:v>215</c:v>
                      </c:pt>
                      <c:pt idx="168">
                        <c:v>216</c:v>
                      </c:pt>
                      <c:pt idx="169">
                        <c:v>217</c:v>
                      </c:pt>
                      <c:pt idx="170">
                        <c:v>218</c:v>
                      </c:pt>
                      <c:pt idx="171">
                        <c:v>219</c:v>
                      </c:pt>
                      <c:pt idx="172">
                        <c:v>220</c:v>
                      </c:pt>
                      <c:pt idx="173">
                        <c:v>221</c:v>
                      </c:pt>
                      <c:pt idx="174">
                        <c:v>222</c:v>
                      </c:pt>
                      <c:pt idx="175">
                        <c:v>223</c:v>
                      </c:pt>
                      <c:pt idx="176">
                        <c:v>224</c:v>
                      </c:pt>
                      <c:pt idx="177">
                        <c:v>225</c:v>
                      </c:pt>
                      <c:pt idx="178">
                        <c:v>226</c:v>
                      </c:pt>
                      <c:pt idx="179">
                        <c:v>227</c:v>
                      </c:pt>
                      <c:pt idx="180">
                        <c:v>228</c:v>
                      </c:pt>
                      <c:pt idx="181">
                        <c:v>229</c:v>
                      </c:pt>
                      <c:pt idx="182">
                        <c:v>230</c:v>
                      </c:pt>
                      <c:pt idx="183">
                        <c:v>231</c:v>
                      </c:pt>
                      <c:pt idx="184">
                        <c:v>232</c:v>
                      </c:pt>
                      <c:pt idx="185">
                        <c:v>233</c:v>
                      </c:pt>
                      <c:pt idx="186">
                        <c:v>234</c:v>
                      </c:pt>
                      <c:pt idx="187">
                        <c:v>235</c:v>
                      </c:pt>
                      <c:pt idx="188">
                        <c:v>236</c:v>
                      </c:pt>
                      <c:pt idx="189">
                        <c:v>237</c:v>
                      </c:pt>
                      <c:pt idx="190">
                        <c:v>238</c:v>
                      </c:pt>
                      <c:pt idx="191">
                        <c:v>239</c:v>
                      </c:pt>
                      <c:pt idx="192">
                        <c:v>240</c:v>
                      </c:pt>
                      <c:pt idx="193">
                        <c:v>241</c:v>
                      </c:pt>
                      <c:pt idx="194">
                        <c:v>242</c:v>
                      </c:pt>
                      <c:pt idx="195">
                        <c:v>243</c:v>
                      </c:pt>
                      <c:pt idx="196">
                        <c:v>244</c:v>
                      </c:pt>
                      <c:pt idx="197">
                        <c:v>245</c:v>
                      </c:pt>
                      <c:pt idx="198">
                        <c:v>246</c:v>
                      </c:pt>
                      <c:pt idx="199">
                        <c:v>247</c:v>
                      </c:pt>
                      <c:pt idx="200">
                        <c:v>248</c:v>
                      </c:pt>
                      <c:pt idx="201">
                        <c:v>249</c:v>
                      </c:pt>
                      <c:pt idx="202">
                        <c:v>250</c:v>
                      </c:pt>
                      <c:pt idx="203">
                        <c:v>251</c:v>
                      </c:pt>
                      <c:pt idx="204">
                        <c:v>252</c:v>
                      </c:pt>
                      <c:pt idx="205">
                        <c:v>253</c:v>
                      </c:pt>
                      <c:pt idx="206">
                        <c:v>254</c:v>
                      </c:pt>
                      <c:pt idx="207">
                        <c:v>255</c:v>
                      </c:pt>
                      <c:pt idx="208">
                        <c:v>256</c:v>
                      </c:pt>
                      <c:pt idx="209">
                        <c:v>257</c:v>
                      </c:pt>
                      <c:pt idx="210">
                        <c:v>258</c:v>
                      </c:pt>
                      <c:pt idx="211">
                        <c:v>259</c:v>
                      </c:pt>
                      <c:pt idx="212">
                        <c:v>260</c:v>
                      </c:pt>
                      <c:pt idx="213">
                        <c:v>261</c:v>
                      </c:pt>
                      <c:pt idx="214">
                        <c:v>262</c:v>
                      </c:pt>
                      <c:pt idx="215">
                        <c:v>263</c:v>
                      </c:pt>
                      <c:pt idx="216">
                        <c:v>264</c:v>
                      </c:pt>
                      <c:pt idx="217">
                        <c:v>265</c:v>
                      </c:pt>
                      <c:pt idx="218">
                        <c:v>266</c:v>
                      </c:pt>
                      <c:pt idx="219">
                        <c:v>267</c:v>
                      </c:pt>
                      <c:pt idx="220">
                        <c:v>268</c:v>
                      </c:pt>
                      <c:pt idx="221">
                        <c:v>269</c:v>
                      </c:pt>
                      <c:pt idx="222">
                        <c:v>270</c:v>
                      </c:pt>
                      <c:pt idx="223">
                        <c:v>271</c:v>
                      </c:pt>
                      <c:pt idx="224">
                        <c:v>272</c:v>
                      </c:pt>
                      <c:pt idx="225">
                        <c:v>273</c:v>
                      </c:pt>
                      <c:pt idx="226">
                        <c:v>274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 - LNorm'!$AE$55:$AE$281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E5D-4DF7-941B-58ED2F3476B6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cases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Spain - rate of new cases per day (acceleration) - Lognormal 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'New_cases_rates - LNorm'!$F$7</c:f>
              <c:strCache>
                <c:ptCount val="1"/>
                <c:pt idx="0">
                  <c:v>Spain cases acceleration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'New_cases_rates - LNorm'!$F$8:$F$184</c:f>
              <c:numCache>
                <c:formatCode>General</c:formatCode>
                <c:ptCount val="177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</c:v>
                </c:pt>
                <c:pt idx="56">
                  <c:v>3</c:v>
                </c:pt>
                <c:pt idx="57">
                  <c:v>-5</c:v>
                </c:pt>
                <c:pt idx="58">
                  <c:v>15</c:v>
                </c:pt>
                <c:pt idx="59">
                  <c:v>-4</c:v>
                </c:pt>
                <c:pt idx="60">
                  <c:v>26</c:v>
                </c:pt>
                <c:pt idx="61">
                  <c:v>-3</c:v>
                </c:pt>
                <c:pt idx="62">
                  <c:v>9</c:v>
                </c:pt>
                <c:pt idx="63">
                  <c:v>12</c:v>
                </c:pt>
                <c:pt idx="64">
                  <c:v>-20</c:v>
                </c:pt>
                <c:pt idx="65">
                  <c:v>104</c:v>
                </c:pt>
                <c:pt idx="66">
                  <c:v>-41</c:v>
                </c:pt>
                <c:pt idx="67">
                  <c:v>73</c:v>
                </c:pt>
                <c:pt idx="68">
                  <c:v>227</c:v>
                </c:pt>
                <c:pt idx="69">
                  <c:v>222</c:v>
                </c:pt>
                <c:pt idx="70">
                  <c:v>-40</c:v>
                </c:pt>
                <c:pt idx="71">
                  <c:v>-582</c:v>
                </c:pt>
                <c:pt idx="72">
                  <c:v>2955</c:v>
                </c:pt>
                <c:pt idx="73">
                  <c:v>-1796</c:v>
                </c:pt>
                <c:pt idx="74">
                  <c:v>248</c:v>
                </c:pt>
                <c:pt idx="75">
                  <c:v>737</c:v>
                </c:pt>
                <c:pt idx="76">
                  <c:v>-338</c:v>
                </c:pt>
                <c:pt idx="77">
                  <c:v>356</c:v>
                </c:pt>
                <c:pt idx="78">
                  <c:v>1891</c:v>
                </c:pt>
                <c:pt idx="79">
                  <c:v>-1606</c:v>
                </c:pt>
                <c:pt idx="80">
                  <c:v>2517</c:v>
                </c:pt>
                <c:pt idx="81">
                  <c:v>-1570</c:v>
                </c:pt>
                <c:pt idx="82">
                  <c:v>2974</c:v>
                </c:pt>
                <c:pt idx="83">
                  <c:v>-1619</c:v>
                </c:pt>
                <c:pt idx="84">
                  <c:v>4881</c:v>
                </c:pt>
                <c:pt idx="85">
                  <c:v>-1359</c:v>
                </c:pt>
                <c:pt idx="86">
                  <c:v>-338</c:v>
                </c:pt>
                <c:pt idx="87">
                  <c:v>-417</c:v>
                </c:pt>
                <c:pt idx="88">
                  <c:v>-641</c:v>
                </c:pt>
                <c:pt idx="89">
                  <c:v>971</c:v>
                </c:pt>
                <c:pt idx="90">
                  <c:v>121</c:v>
                </c:pt>
                <c:pt idx="91">
                  <c:v>228</c:v>
                </c:pt>
                <c:pt idx="92">
                  <c:v>-248</c:v>
                </c:pt>
                <c:pt idx="93">
                  <c:v>-813</c:v>
                </c:pt>
                <c:pt idx="94">
                  <c:v>-165</c:v>
                </c:pt>
                <c:pt idx="95">
                  <c:v>-1491</c:v>
                </c:pt>
                <c:pt idx="96">
                  <c:v>-449</c:v>
                </c:pt>
                <c:pt idx="97">
                  <c:v>238</c:v>
                </c:pt>
                <c:pt idx="98">
                  <c:v>1011</c:v>
                </c:pt>
                <c:pt idx="99">
                  <c:v>-1276</c:v>
                </c:pt>
                <c:pt idx="100">
                  <c:v>49</c:v>
                </c:pt>
                <c:pt idx="101">
                  <c:v>-297</c:v>
                </c:pt>
                <c:pt idx="102">
                  <c:v>-950</c:v>
                </c:pt>
                <c:pt idx="103">
                  <c:v>-536</c:v>
                </c:pt>
                <c:pt idx="104">
                  <c:v>-826</c:v>
                </c:pt>
                <c:pt idx="105">
                  <c:v>2661</c:v>
                </c:pt>
                <c:pt idx="106">
                  <c:v>2201</c:v>
                </c:pt>
                <c:pt idx="107">
                  <c:v>-1413</c:v>
                </c:pt>
                <c:pt idx="108">
                  <c:v>-5004</c:v>
                </c:pt>
                <c:pt idx="109">
                  <c:v>6061</c:v>
                </c:pt>
                <c:pt idx="110">
                  <c:v>-5412</c:v>
                </c:pt>
                <c:pt idx="111">
                  <c:v>2432</c:v>
                </c:pt>
                <c:pt idx="112">
                  <c:v>243</c:v>
                </c:pt>
                <c:pt idx="113">
                  <c:v>424</c:v>
                </c:pt>
                <c:pt idx="114">
                  <c:v>2105</c:v>
                </c:pt>
                <c:pt idx="115">
                  <c:v>-2745</c:v>
                </c:pt>
                <c:pt idx="116">
                  <c:v>-1125</c:v>
                </c:pt>
                <c:pt idx="117">
                  <c:v>-77</c:v>
                </c:pt>
                <c:pt idx="118">
                  <c:v>-87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E8D-459A-841F-BE1B280B1827}"/>
            </c:ext>
          </c:extLst>
        </c:ser>
        <c:ser>
          <c:idx val="2"/>
          <c:order val="1"/>
          <c:tx>
            <c:strRef>
              <c:f>'New_cases_rates - LNorm'!$Z$7</c:f>
              <c:strCache>
                <c:ptCount val="1"/>
                <c:pt idx="0">
                  <c:v>Spain acc.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'New_cases_rates - LNorm'!$Z$8:$Z$184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7.4503380089378552E-56</c:v>
                </c:pt>
                <c:pt idx="35">
                  <c:v>4.5292417300274101E-34</c:v>
                </c:pt>
                <c:pt idx="36">
                  <c:v>7.2415045172868066E-25</c:v>
                </c:pt>
                <c:pt idx="37">
                  <c:v>2.1642631146378989E-19</c:v>
                </c:pt>
                <c:pt idx="38">
                  <c:v>1.1810810747246602E-15</c:v>
                </c:pt>
                <c:pt idx="39">
                  <c:v>6.6664926728960362E-13</c:v>
                </c:pt>
                <c:pt idx="40">
                  <c:v>8.9244967530409856E-11</c:v>
                </c:pt>
                <c:pt idx="41">
                  <c:v>4.4723923201564357E-9</c:v>
                </c:pt>
                <c:pt idx="42">
                  <c:v>1.1051103871561197E-7</c:v>
                </c:pt>
                <c:pt idx="43">
                  <c:v>1.6084928818651373E-6</c:v>
                </c:pt>
                <c:pt idx="44">
                  <c:v>1.5561400052519099E-5</c:v>
                </c:pt>
                <c:pt idx="45">
                  <c:v>1.0899076000851929E-4</c:v>
                </c:pt>
                <c:pt idx="46">
                  <c:v>5.88204487493784E-4</c:v>
                </c:pt>
                <c:pt idx="47">
                  <c:v>2.5631553067953384E-3</c:v>
                </c:pt>
                <c:pt idx="48">
                  <c:v>9.3476450663861899E-3</c:v>
                </c:pt>
                <c:pt idx="49">
                  <c:v>2.9341284099183466E-2</c:v>
                </c:pt>
                <c:pt idx="50">
                  <c:v>8.1053399850958718E-2</c:v>
                </c:pt>
                <c:pt idx="51">
                  <c:v>0.20061604174061276</c:v>
                </c:pt>
                <c:pt idx="52">
                  <c:v>0.45145522924006792</c:v>
                </c:pt>
                <c:pt idx="53">
                  <c:v>0.93488368647520215</c:v>
                </c:pt>
                <c:pt idx="54">
                  <c:v>1.7995257359846462</c:v>
                </c:pt>
                <c:pt idx="55">
                  <c:v>3.2470019211924361</c:v>
                </c:pt>
                <c:pt idx="56">
                  <c:v>5.5314094974139243</c:v>
                </c:pt>
                <c:pt idx="57">
                  <c:v>8.9508778616135434</c:v>
                </c:pt>
                <c:pt idx="58">
                  <c:v>13.83070805492571</c:v>
                </c:pt>
                <c:pt idx="59">
                  <c:v>20.49904309571583</c:v>
                </c:pt>
                <c:pt idx="60">
                  <c:v>29.257341695768723</c:v>
                </c:pt>
                <c:pt idx="61">
                  <c:v>40.348872219105154</c:v>
                </c:pt>
                <c:pt idx="62">
                  <c:v>53.928846179729177</c:v>
                </c:pt>
                <c:pt idx="63">
                  <c:v>70.039639602371665</c:v>
                </c:pt>
                <c:pt idx="64">
                  <c:v>88.593887876056144</c:v>
                </c:pt>
                <c:pt idx="65">
                  <c:v>109.3672425866547</c:v>
                </c:pt>
                <c:pt idx="66">
                  <c:v>132.00143528926111</c:v>
                </c:pt>
                <c:pt idx="67">
                  <c:v>156.01718215324851</c:v>
                </c:pt>
                <c:pt idx="68">
                  <c:v>180.83552640827594</c:v>
                </c:pt>
                <c:pt idx="69">
                  <c:v>205.80554250512446</c:v>
                </c:pt>
                <c:pt idx="70">
                  <c:v>230.23595357168372</c:v>
                </c:pt>
                <c:pt idx="71">
                  <c:v>253.4281328284041</c:v>
                </c:pt>
                <c:pt idx="72">
                  <c:v>274.70812727903939</c:v>
                </c:pt>
                <c:pt idx="73">
                  <c:v>293.45569563194198</c:v>
                </c:pt>
                <c:pt idx="74">
                  <c:v>309.12882246624969</c:v>
                </c:pt>
                <c:pt idx="75">
                  <c:v>321.28269066285822</c:v>
                </c:pt>
                <c:pt idx="76">
                  <c:v>329.58260752038427</c:v>
                </c:pt>
                <c:pt idx="77">
                  <c:v>333.81084380247569</c:v>
                </c:pt>
                <c:pt idx="78">
                  <c:v>333.86773084120313</c:v>
                </c:pt>
                <c:pt idx="79">
                  <c:v>329.76765404326522</c:v>
                </c:pt>
                <c:pt idx="80">
                  <c:v>321.63077851943666</c:v>
                </c:pt>
                <c:pt idx="81">
                  <c:v>309.67144967376419</c:v>
                </c:pt>
                <c:pt idx="82">
                  <c:v>294.18423999213786</c:v>
                </c:pt>
                <c:pt idx="83">
                  <c:v>275.52857787027568</c:v>
                </c:pt>
                <c:pt idx="84">
                  <c:v>254.11281124074449</c:v>
                </c:pt>
                <c:pt idx="85">
                  <c:v>230.37844369198402</c:v>
                </c:pt>
                <c:pt idx="86">
                  <c:v>204.78514786090062</c:v>
                </c:pt>
                <c:pt idx="87">
                  <c:v>177.79702204532182</c:v>
                </c:pt>
                <c:pt idx="88">
                  <c:v>149.8704206331837</c:v>
                </c:pt>
                <c:pt idx="89">
                  <c:v>121.44356397374487</c:v>
                </c:pt>
                <c:pt idx="90">
                  <c:v>92.928023287988353</c:v>
                </c:pt>
                <c:pt idx="91">
                  <c:v>64.702083680192345</c:v>
                </c:pt>
                <c:pt idx="92">
                  <c:v>37.105914173188133</c:v>
                </c:pt>
                <c:pt idx="93">
                  <c:v>10.438417581414903</c:v>
                </c:pt>
                <c:pt idx="94">
                  <c:v>-15.044406314583052</c:v>
                </c:pt>
                <c:pt idx="95">
                  <c:v>-39.129775285430071</c:v>
                </c:pt>
                <c:pt idx="96">
                  <c:v>-61.647319608533643</c:v>
                </c:pt>
                <c:pt idx="97">
                  <c:v>-82.467361563200726</c:v>
                </c:pt>
                <c:pt idx="98">
                  <c:v>-101.49847678317107</c:v>
                </c:pt>
                <c:pt idx="99">
                  <c:v>-118.68452196951095</c:v>
                </c:pt>
                <c:pt idx="100">
                  <c:v>-134.00129650041194</c:v>
                </c:pt>
                <c:pt idx="101">
                  <c:v>-147.45298597323941</c:v>
                </c:pt>
                <c:pt idx="102">
                  <c:v>-159.06851501824127</c:v>
                </c:pt>
                <c:pt idx="103">
                  <c:v>-168.89791590225209</c:v>
                </c:pt>
                <c:pt idx="104">
                  <c:v>-177.00879931227584</c:v>
                </c:pt>
                <c:pt idx="105">
                  <c:v>-183.48299486565685</c:v>
                </c:pt>
                <c:pt idx="106">
                  <c:v>-188.41341173377171</c:v>
                </c:pt>
                <c:pt idx="107">
                  <c:v>-191.90115452579781</c:v>
                </c:pt>
                <c:pt idx="108">
                  <c:v>-194.05291636267432</c:v>
                </c:pt>
                <c:pt idx="109">
                  <c:v>-194.97865988134416</c:v>
                </c:pt>
                <c:pt idx="110">
                  <c:v>-194.78958767173594</c:v>
                </c:pt>
                <c:pt idx="111">
                  <c:v>-193.59639623563592</c:v>
                </c:pt>
                <c:pt idx="112">
                  <c:v>-191.50780180433586</c:v>
                </c:pt>
                <c:pt idx="113">
                  <c:v>-188.62932207734281</c:v>
                </c:pt>
                <c:pt idx="114">
                  <c:v>-185.06229495626229</c:v>
                </c:pt>
                <c:pt idx="115">
                  <c:v>-180.90311345620643</c:v>
                </c:pt>
                <c:pt idx="116">
                  <c:v>-176.24265499966526</c:v>
                </c:pt>
                <c:pt idx="117">
                  <c:v>-171.16588306528052</c:v>
                </c:pt>
                <c:pt idx="118">
                  <c:v>-165.75159952240267</c:v>
                </c:pt>
                <c:pt idx="119">
                  <c:v>-160.07232679480458</c:v>
                </c:pt>
                <c:pt idx="120">
                  <c:v>-154.19430014414286</c:v>
                </c:pt>
                <c:pt idx="121">
                  <c:v>-148.17755174360428</c:v>
                </c:pt>
                <c:pt idx="122">
                  <c:v>-142.07606973906297</c:v>
                </c:pt>
                <c:pt idx="123">
                  <c:v>-135.93801709857951</c:v>
                </c:pt>
                <c:pt idx="124">
                  <c:v>-129.805996674574</c:v>
                </c:pt>
                <c:pt idx="125">
                  <c:v>-123.71735050211919</c:v>
                </c:pt>
                <c:pt idx="126">
                  <c:v>-117.7044828978094</c:v>
                </c:pt>
                <c:pt idx="127">
                  <c:v>-111.79519838194943</c:v>
                </c:pt>
                <c:pt idx="128">
                  <c:v>-106.01304680550231</c:v>
                </c:pt>
                <c:pt idx="129">
                  <c:v>-100.37766931175865</c:v>
                </c:pt>
                <c:pt idx="130">
                  <c:v>-94.905139895665002</c:v>
                </c:pt>
                <c:pt idx="131">
                  <c:v>-89.608298339897416</c:v>
                </c:pt>
                <c:pt idx="132">
                  <c:v>-84.497071207948906</c:v>
                </c:pt>
                <c:pt idx="133">
                  <c:v>-79.578778364986164</c:v>
                </c:pt>
                <c:pt idx="134">
                  <c:v>-74.858423183015844</c:v>
                </c:pt>
                <c:pt idx="135">
                  <c:v>-70.338965175100583</c:v>
                </c:pt>
                <c:pt idx="136">
                  <c:v>-66.021574301827854</c:v>
                </c:pt>
                <c:pt idx="137">
                  <c:v>-61.905866610181043</c:v>
                </c:pt>
                <c:pt idx="138">
                  <c:v>-57.990121208584931</c:v>
                </c:pt>
                <c:pt idx="139">
                  <c:v>-54.271478860359998</c:v>
                </c:pt>
                <c:pt idx="140">
                  <c:v>-50.746122698843493</c:v>
                </c:pt>
                <c:pt idx="141">
                  <c:v>-47.409441738390804</c:v>
                </c:pt>
                <c:pt idx="142">
                  <c:v>-44.256177983195741</c:v>
                </c:pt>
                <c:pt idx="143">
                  <c:v>-41.280558026635525</c:v>
                </c:pt>
                <c:pt idx="144">
                  <c:v>-38.476410093367591</c:v>
                </c:pt>
                <c:pt idx="145">
                  <c:v>-35.837267509844303</c:v>
                </c:pt>
                <c:pt idx="146">
                  <c:v>-33.356459600797265</c:v>
                </c:pt>
                <c:pt idx="147">
                  <c:v>-31.027191003674005</c:v>
                </c:pt>
                <c:pt idx="148">
                  <c:v>-28.842610373472397</c:v>
                </c:pt>
                <c:pt idx="149">
                  <c:v>-26.795869420008792</c:v>
                </c:pt>
                <c:pt idx="150">
                  <c:v>-24.880173181000682</c:v>
                </c:pt>
                <c:pt idx="151">
                  <c:v>-23.088822389688033</c:v>
                </c:pt>
                <c:pt idx="152">
                  <c:v>-21.415248746943398</c:v>
                </c:pt>
                <c:pt idx="153">
                  <c:v>-19.853043856526515</c:v>
                </c:pt>
                <c:pt idx="154">
                  <c:v>-18.395982529598971</c:v>
                </c:pt>
                <c:pt idx="155">
                  <c:v>-17.038041111911863</c:v>
                </c:pt>
                <c:pt idx="156">
                  <c:v>-15.773411435031907</c:v>
                </c:pt>
                <c:pt idx="157">
                  <c:v>-14.596510942269758</c:v>
                </c:pt>
                <c:pt idx="158">
                  <c:v>-13.501989491102597</c:v>
                </c:pt>
                <c:pt idx="159">
                  <c:v>-12.484733287225488</c:v>
                </c:pt>
                <c:pt idx="160">
                  <c:v>-11.539866361187073</c:v>
                </c:pt>
                <c:pt idx="161">
                  <c:v>-10.662749957029003</c:v>
                </c:pt>
                <c:pt idx="162">
                  <c:v>-9.8489801635500296</c:v>
                </c:pt>
                <c:pt idx="163">
                  <c:v>-9.0943840827933702</c:v>
                </c:pt>
                <c:pt idx="164">
                  <c:v>-8.395014797081334</c:v>
                </c:pt>
                <c:pt idx="165">
                  <c:v>-7.7471453653470768</c:v>
                </c:pt>
                <c:pt idx="166">
                  <c:v>-7.1472620515462664</c:v>
                </c:pt>
                <c:pt idx="167">
                  <c:v>-6.5920569624662964</c:v>
                </c:pt>
                <c:pt idx="168">
                  <c:v>-6.0784202491611774</c:v>
                </c:pt>
                <c:pt idx="169">
                  <c:v>-5.6034320053900046</c:v>
                </c:pt>
                <c:pt idx="170">
                  <c:v>-5.1643539776841347</c:v>
                </c:pt>
                <c:pt idx="171">
                  <c:v>-4.7586211848710604</c:v>
                </c:pt>
                <c:pt idx="172">
                  <c:v>-4.3838335298913149</c:v>
                </c:pt>
                <c:pt idx="173">
                  <c:v>-4.0377474734234671</c:v>
                </c:pt>
                <c:pt idx="174">
                  <c:v>-3.7182678270369092</c:v>
                </c:pt>
                <c:pt idx="175">
                  <c:v>-3.4234397131939405</c:v>
                </c:pt>
                <c:pt idx="176">
                  <c:v>-3.1514407302945799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E8D-459A-841F-BE1B280B1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'New_cases_rates - LNorm'!$L$7</c15:sqref>
                        </c15:formulaRef>
                      </c:ext>
                    </c:extLst>
                    <c:strCache>
                      <c:ptCount val="1"/>
                      <c:pt idx="0">
                        <c:v>Colonna4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'New_cases_rates - LNorm'!$L$8:$L$184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4E8D-459A-841F-BE1B280B182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LNorm'!$AI$7</c15:sqref>
                        </c15:formulaRef>
                      </c:ext>
                    </c:extLst>
                    <c:strCache>
                      <c:ptCount val="1"/>
                      <c:pt idx="0">
                        <c:v>Lombardy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LNorm'!$AI$8:$AI$184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0</c:v>
                      </c:pt>
                      <c:pt idx="57" formatCode="General">
                        <c:v>0</c:v>
                      </c:pt>
                      <c:pt idx="58" formatCode="General">
                        <c:v>0</c:v>
                      </c:pt>
                      <c:pt idx="59" formatCode="General">
                        <c:v>0</c:v>
                      </c:pt>
                      <c:pt idx="60" formatCode="General">
                        <c:v>0</c:v>
                      </c:pt>
                      <c:pt idx="61" formatCode="General">
                        <c:v>0</c:v>
                      </c:pt>
                      <c:pt idx="62" formatCode="General">
                        <c:v>0</c:v>
                      </c:pt>
                      <c:pt idx="63" formatCode="General">
                        <c:v>0</c:v>
                      </c:pt>
                      <c:pt idx="64" formatCode="General">
                        <c:v>0</c:v>
                      </c:pt>
                      <c:pt idx="65" formatCode="General">
                        <c:v>0</c:v>
                      </c:pt>
                      <c:pt idx="66" formatCode="General">
                        <c:v>0</c:v>
                      </c:pt>
                      <c:pt idx="67" formatCode="General">
                        <c:v>0</c:v>
                      </c:pt>
                      <c:pt idx="68" formatCode="General">
                        <c:v>0</c:v>
                      </c:pt>
                      <c:pt idx="69" formatCode="General">
                        <c:v>0</c:v>
                      </c:pt>
                      <c:pt idx="70" formatCode="General">
                        <c:v>0</c:v>
                      </c:pt>
                      <c:pt idx="71" formatCode="General">
                        <c:v>0</c:v>
                      </c:pt>
                      <c:pt idx="72" formatCode="General">
                        <c:v>0</c:v>
                      </c:pt>
                      <c:pt idx="73" formatCode="General">
                        <c:v>0</c:v>
                      </c:pt>
                      <c:pt idx="74" formatCode="General">
                        <c:v>0</c:v>
                      </c:pt>
                      <c:pt idx="75" formatCode="General">
                        <c:v>0</c:v>
                      </c:pt>
                      <c:pt idx="76" formatCode="General">
                        <c:v>0</c:v>
                      </c:pt>
                      <c:pt idx="77" formatCode="General">
                        <c:v>0</c:v>
                      </c:pt>
                      <c:pt idx="78" formatCode="General">
                        <c:v>0</c:v>
                      </c:pt>
                      <c:pt idx="79" formatCode="General">
                        <c:v>0</c:v>
                      </c:pt>
                      <c:pt idx="80" formatCode="General">
                        <c:v>0</c:v>
                      </c:pt>
                      <c:pt idx="81" formatCode="General">
                        <c:v>0</c:v>
                      </c:pt>
                      <c:pt idx="82" formatCode="General">
                        <c:v>0</c:v>
                      </c:pt>
                      <c:pt idx="83" formatCode="General">
                        <c:v>0</c:v>
                      </c:pt>
                      <c:pt idx="84" formatCode="General">
                        <c:v>0</c:v>
                      </c:pt>
                      <c:pt idx="85" formatCode="General">
                        <c:v>0</c:v>
                      </c:pt>
                      <c:pt idx="86" formatCode="General">
                        <c:v>0</c:v>
                      </c:pt>
                      <c:pt idx="87" formatCode="General">
                        <c:v>0</c:v>
                      </c:pt>
                      <c:pt idx="88" formatCode="General">
                        <c:v>0</c:v>
                      </c:pt>
                      <c:pt idx="89" formatCode="General">
                        <c:v>0</c:v>
                      </c:pt>
                      <c:pt idx="90" formatCode="General">
                        <c:v>0</c:v>
                      </c:pt>
                      <c:pt idx="91" formatCode="General">
                        <c:v>0</c:v>
                      </c:pt>
                      <c:pt idx="92" formatCode="General">
                        <c:v>0</c:v>
                      </c:pt>
                      <c:pt idx="93" formatCode="General">
                        <c:v>0</c:v>
                      </c:pt>
                      <c:pt idx="94" formatCode="General">
                        <c:v>0</c:v>
                      </c:pt>
                      <c:pt idx="95" formatCode="General">
                        <c:v>0</c:v>
                      </c:pt>
                      <c:pt idx="96" formatCode="General">
                        <c:v>0</c:v>
                      </c:pt>
                      <c:pt idx="97" formatCode="General">
                        <c:v>0</c:v>
                      </c:pt>
                      <c:pt idx="98" formatCode="General">
                        <c:v>0</c:v>
                      </c:pt>
                      <c:pt idx="99" formatCode="General">
                        <c:v>0</c:v>
                      </c:pt>
                      <c:pt idx="100" formatCode="General">
                        <c:v>0</c:v>
                      </c:pt>
                      <c:pt idx="101" formatCode="General">
                        <c:v>0</c:v>
                      </c:pt>
                      <c:pt idx="102" formatCode="General">
                        <c:v>0</c:v>
                      </c:pt>
                      <c:pt idx="103" formatCode="General">
                        <c:v>0</c:v>
                      </c:pt>
                      <c:pt idx="104" formatCode="General">
                        <c:v>0</c:v>
                      </c:pt>
                      <c:pt idx="105" formatCode="General">
                        <c:v>0</c:v>
                      </c:pt>
                      <c:pt idx="106" formatCode="General">
                        <c:v>0</c:v>
                      </c:pt>
                      <c:pt idx="107" formatCode="General">
                        <c:v>0</c:v>
                      </c:pt>
                      <c:pt idx="108" formatCode="General">
                        <c:v>0</c:v>
                      </c:pt>
                      <c:pt idx="109" formatCode="General">
                        <c:v>0</c:v>
                      </c:pt>
                      <c:pt idx="110" formatCode="General">
                        <c:v>0</c:v>
                      </c:pt>
                      <c:pt idx="111" formatCode="General">
                        <c:v>0</c:v>
                      </c:pt>
                      <c:pt idx="112" formatCode="General">
                        <c:v>0</c:v>
                      </c:pt>
                      <c:pt idx="113" formatCode="General">
                        <c:v>0</c:v>
                      </c:pt>
                      <c:pt idx="114" formatCode="General">
                        <c:v>0</c:v>
                      </c:pt>
                      <c:pt idx="115" formatCode="General">
                        <c:v>0</c:v>
                      </c:pt>
                      <c:pt idx="116" formatCode="General">
                        <c:v>0</c:v>
                      </c:pt>
                      <c:pt idx="117" formatCode="General">
                        <c:v>0</c:v>
                      </c:pt>
                      <c:pt idx="118" formatCode="General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E8D-459A-841F-BE1B280B182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LNorm'!$AW$7</c15:sqref>
                        </c15:formulaRef>
                      </c:ext>
                    </c:extLst>
                    <c:strCache>
                      <c:ptCount val="1"/>
                      <c:pt idx="0">
                        <c:v>Lombardy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LNorm'!$AW$8:$AW$184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1.6740471067881895E-3</c:v>
                      </c:pt>
                      <c:pt idx="40">
                        <c:v>7.3906161641102428E-3</c:v>
                      </c:pt>
                      <c:pt idx="41">
                        <c:v>2.5812516595785134E-2</c:v>
                      </c:pt>
                      <c:pt idx="42">
                        <c:v>7.4895805899814663E-2</c:v>
                      </c:pt>
                      <c:pt idx="43">
                        <c:v>0.1871090285506507</c:v>
                      </c:pt>
                      <c:pt idx="44">
                        <c:v>0.413428382823192</c:v>
                      </c:pt>
                      <c:pt idx="45">
                        <c:v>0.82474121383413956</c:v>
                      </c:pt>
                      <c:pt idx="46">
                        <c:v>1.5095127957912009</c:v>
                      </c:pt>
                      <c:pt idx="47">
                        <c:v>2.5674889867270139</c:v>
                      </c:pt>
                      <c:pt idx="48">
                        <c:v>4.1001814313513281</c:v>
                      </c:pt>
                      <c:pt idx="49">
                        <c:v>6.1996013340029643</c:v>
                      </c:pt>
                      <c:pt idx="50">
                        <c:v>8.9370124839382257</c:v>
                      </c:pt>
                      <c:pt idx="51">
                        <c:v>12.353364167517679</c:v>
                      </c:pt>
                      <c:pt idx="52">
                        <c:v>16.452649411897646</c:v>
                      </c:pt>
                      <c:pt idx="53">
                        <c:v>21.198866718914537</c:v>
                      </c:pt>
                      <c:pt idx="54">
                        <c:v>26.516687225262309</c:v>
                      </c:pt>
                      <c:pt idx="55">
                        <c:v>32.295447287359494</c:v>
                      </c:pt>
                      <c:pt idx="56">
                        <c:v>38.395753613130509</c:v>
                      </c:pt>
                      <c:pt idx="57">
                        <c:v>44.657816444615015</c:v>
                      </c:pt>
                      <c:pt idx="58">
                        <c:v>50.91059814721217</c:v>
                      </c:pt>
                      <c:pt idx="59">
                        <c:v>56.980945713333803</c:v>
                      </c:pt>
                      <c:pt idx="60">
                        <c:v>62.702026914326709</c:v>
                      </c:pt>
                      <c:pt idx="61">
                        <c:v>67.920574651300242</c:v>
                      </c:pt>
                      <c:pt idx="62">
                        <c:v>72.502633047918863</c:v>
                      </c:pt>
                      <c:pt idx="63">
                        <c:v>76.337671212250299</c:v>
                      </c:pt>
                      <c:pt idx="64">
                        <c:v>79.341073915082191</c:v>
                      </c:pt>
                      <c:pt idx="65">
                        <c:v>81.455127216322992</c:v>
                      </c:pt>
                      <c:pt idx="66">
                        <c:v>82.648691069935524</c:v>
                      </c:pt>
                      <c:pt idx="67">
                        <c:v>82.915793368882433</c:v>
                      </c:pt>
                      <c:pt idx="68">
                        <c:v>82.273395921496956</c:v>
                      </c:pt>
                      <c:pt idx="69">
                        <c:v>80.758578415298345</c:v>
                      </c:pt>
                      <c:pt idx="70">
                        <c:v>78.425367396800439</c:v>
                      </c:pt>
                      <c:pt idx="71">
                        <c:v>75.341408964180644</c:v>
                      </c:pt>
                      <c:pt idx="72">
                        <c:v>71.584650660600403</c:v>
                      </c:pt>
                      <c:pt idx="73">
                        <c:v>67.240163440892744</c:v>
                      </c:pt>
                      <c:pt idx="74">
                        <c:v>62.397201106535142</c:v>
                      </c:pt>
                      <c:pt idx="75">
                        <c:v>57.146563978544599</c:v>
                      </c:pt>
                      <c:pt idx="76">
                        <c:v>51.578306828231305</c:v>
                      </c:pt>
                      <c:pt idx="77">
                        <c:v>45.779808688402092</c:v>
                      </c:pt>
                      <c:pt idx="78">
                        <c:v>39.834204192229926</c:v>
                      </c:pt>
                      <c:pt idx="79">
                        <c:v>33.819162319102674</c:v>
                      </c:pt>
                      <c:pt idx="80">
                        <c:v>27.805988470199658</c:v>
                      </c:pt>
                      <c:pt idx="81">
                        <c:v>21.859019154803104</c:v>
                      </c:pt>
                      <c:pt idx="82">
                        <c:v>16.035274705755985</c:v>
                      </c:pt>
                      <c:pt idx="83">
                        <c:v>10.384333827829417</c:v>
                      </c:pt>
                      <c:pt idx="84">
                        <c:v>4.9483939186029984</c:v>
                      </c:pt>
                      <c:pt idx="85">
                        <c:v>-0.23751745843241842</c:v>
                      </c:pt>
                      <c:pt idx="86">
                        <c:v>-5.1452122105212963</c:v>
                      </c:pt>
                      <c:pt idx="87">
                        <c:v>-9.7529217709528435</c:v>
                      </c:pt>
                      <c:pt idx="88">
                        <c:v>-14.044813596877981</c:v>
                      </c:pt>
                      <c:pt idx="89">
                        <c:v>-18.010466723107886</c:v>
                      </c:pt>
                      <c:pt idx="90">
                        <c:v>-21.644325606604944</c:v>
                      </c:pt>
                      <c:pt idx="91">
                        <c:v>-24.945148263272305</c:v>
                      </c:pt>
                      <c:pt idx="92">
                        <c:v>-27.915461689443593</c:v>
                      </c:pt>
                      <c:pt idx="93">
                        <c:v>-30.561034824189441</c:v>
                      </c:pt>
                      <c:pt idx="94">
                        <c:v>-32.890376871160946</c:v>
                      </c:pt>
                      <c:pt idx="95">
                        <c:v>-34.914266668341909</c:v>
                      </c:pt>
                      <c:pt idx="96">
                        <c:v>-36.645316965780012</c:v>
                      </c:pt>
                      <c:pt idx="97">
                        <c:v>-38.097575930760819</c:v>
                      </c:pt>
                      <c:pt idx="98">
                        <c:v>-39.286166926325279</c:v>
                      </c:pt>
                      <c:pt idx="99">
                        <c:v>-40.226966578142893</c:v>
                      </c:pt>
                      <c:pt idx="100">
                        <c:v>-40.936320330259704</c:v>
                      </c:pt>
                      <c:pt idx="101">
                        <c:v>-41.430794065487923</c:v>
                      </c:pt>
                      <c:pt idx="102">
                        <c:v>-41.726959905161195</c:v>
                      </c:pt>
                      <c:pt idx="103">
                        <c:v>-41.841213980991569</c:v>
                      </c:pt>
                      <c:pt idx="104">
                        <c:v>-41.7896237660187</c:v>
                      </c:pt>
                      <c:pt idx="105">
                        <c:v>-41.587802441452652</c:v>
                      </c:pt>
                      <c:pt idx="106">
                        <c:v>-41.250807743118685</c:v>
                      </c:pt>
                      <c:pt idx="107">
                        <c:v>-40.793062759024679</c:v>
                      </c:pt>
                      <c:pt idx="108">
                        <c:v>-40.228296224249831</c:v>
                      </c:pt>
                      <c:pt idx="109">
                        <c:v>-39.569499968936469</c:v>
                      </c:pt>
                      <c:pt idx="110">
                        <c:v>-38.828901309557644</c:v>
                      </c:pt>
                      <c:pt idx="111">
                        <c:v>-38.017948324466445</c:v>
                      </c:pt>
                      <c:pt idx="112">
                        <c:v>-37.147306115152809</c:v>
                      </c:pt>
                      <c:pt idx="113">
                        <c:v>-36.226862319130966</c:v>
                      </c:pt>
                      <c:pt idx="114">
                        <c:v>-35.265740304606901</c:v>
                      </c:pt>
                      <c:pt idx="115">
                        <c:v>-34.272318637670665</c:v>
                      </c:pt>
                      <c:pt idx="116">
                        <c:v>-33.254255567219786</c:v>
                      </c:pt>
                      <c:pt idx="117">
                        <c:v>-32.218517419327846</c:v>
                      </c:pt>
                      <c:pt idx="118">
                        <c:v>-31.171409930109657</c:v>
                      </c:pt>
                      <c:pt idx="119">
                        <c:v>-30.118611673543604</c:v>
                      </c:pt>
                      <c:pt idx="120">
                        <c:v>-29.065208857820355</c:v>
                      </c:pt>
                      <c:pt idx="121">
                        <c:v>-28.015730870524134</c:v>
                      </c:pt>
                      <c:pt idx="122">
                        <c:v>-26.974186049477773</c:v>
                      </c:pt>
                      <c:pt idx="123">
                        <c:v>-25.944097242721867</c:v>
                      </c:pt>
                      <c:pt idx="124">
                        <c:v>-24.928536798321485</c:v>
                      </c:pt>
                      <c:pt idx="125">
                        <c:v>-23.930160693036999</c:v>
                      </c:pt>
                      <c:pt idx="126">
                        <c:v>-22.951241568968133</c:v>
                      </c:pt>
                      <c:pt idx="127">
                        <c:v>-21.993700499707469</c:v>
                      </c:pt>
                      <c:pt idx="128">
                        <c:v>-21.059137352968424</c:v>
                      </c:pt>
                      <c:pt idx="129">
                        <c:v>-20.148859655713835</c:v>
                      </c:pt>
                      <c:pt idx="130">
                        <c:v>-19.263909901126588</c:v>
                      </c:pt>
                      <c:pt idx="131">
                        <c:v>-18.40509126492115</c:v>
                      </c:pt>
                      <c:pt idx="132">
                        <c:v>-17.572991722059733</c:v>
                      </c:pt>
                      <c:pt idx="133">
                        <c:v>-16.768006574426934</c:v>
                      </c:pt>
                      <c:pt idx="134">
                        <c:v>-15.990359415924694</c:v>
                      </c:pt>
                      <c:pt idx="135">
                        <c:v>-15.240121574217195</c:v>
                      </c:pt>
                      <c:pt idx="136">
                        <c:v>-14.517230078392585</c:v>
                      </c:pt>
                      <c:pt idx="137">
                        <c:v>-13.82150420948942</c:v>
                      </c:pt>
                      <c:pt idx="138">
                        <c:v>-13.152660696485565</c:v>
                      </c:pt>
                      <c:pt idx="139">
                        <c:v>-12.510327624274115</c:v>
                      </c:pt>
                      <c:pt idx="140">
                        <c:v>-11.89405712261615</c:v>
                      </c:pt>
                      <c:pt idx="141">
                        <c:v>-11.303336906300101</c:v>
                      </c:pt>
                      <c:pt idx="142">
                        <c:v>-10.737600736961605</c:v>
                      </c:pt>
                      <c:pt idx="143">
                        <c:v>-10.196237876409175</c:v>
                      </c:pt>
                      <c:pt idx="144">
                        <c:v>-9.6786016000166608</c:v>
                      </c:pt>
                      <c:pt idx="145">
                        <c:v>-9.1840168369236554</c:v>
                      </c:pt>
                      <c:pt idx="146">
                        <c:v>-8.7117870015480143</c:v>
                      </c:pt>
                      <c:pt idx="147">
                        <c:v>-8.2612000783621458</c:v>
                      </c:pt>
                      <c:pt idx="148">
                        <c:v>-7.8315340191043958</c:v>
                      </c:pt>
                      <c:pt idx="149">
                        <c:v>-7.422061508663786</c:v>
                      </c:pt>
                      <c:pt idx="150">
                        <c:v>-7.032054152847282</c:v>
                      </c:pt>
                      <c:pt idx="151">
                        <c:v>-6.6607861381723907</c:v>
                      </c:pt>
                      <c:pt idx="152">
                        <c:v>-6.3075374107600348</c:v>
                      </c:pt>
                      <c:pt idx="153">
                        <c:v>-5.9715964183716927</c:v>
                      </c:pt>
                      <c:pt idx="154">
                        <c:v>-5.6522624566664277</c:v>
                      </c:pt>
                      <c:pt idx="155">
                        <c:v>-5.3488476578705031</c:v>
                      </c:pt>
                      <c:pt idx="156">
                        <c:v>-5.0606786572708176</c:v>
                      </c:pt>
                      <c:pt idx="157">
                        <c:v>-4.7870979702756422</c:v>
                      </c:pt>
                      <c:pt idx="158">
                        <c:v>-4.5274651102420895</c:v>
                      </c:pt>
                      <c:pt idx="159">
                        <c:v>-4.2811574748531438</c:v>
                      </c:pt>
                      <c:pt idx="160">
                        <c:v>-4.0475710265428066</c:v>
                      </c:pt>
                      <c:pt idx="161">
                        <c:v>-3.8261207903171881</c:v>
                      </c:pt>
                      <c:pt idx="162">
                        <c:v>-3.6162411902989624</c:v>
                      </c:pt>
                      <c:pt idx="163">
                        <c:v>-3.4173862444345571</c:v>
                      </c:pt>
                      <c:pt idx="164">
                        <c:v>-3.2290296350408356</c:v>
                      </c:pt>
                      <c:pt idx="165">
                        <c:v>-3.0506646712296752</c:v>
                      </c:pt>
                      <c:pt idx="166">
                        <c:v>-2.8818041577284772</c:v>
                      </c:pt>
                      <c:pt idx="167">
                        <c:v>-2.7219801832077586</c:v>
                      </c:pt>
                      <c:pt idx="168">
                        <c:v>-2.5707438399288631</c:v>
                      </c:pt>
                      <c:pt idx="169">
                        <c:v>-2.4276648853277516</c:v>
                      </c:pt>
                      <c:pt idx="170">
                        <c:v>-2.2923313550527409</c:v>
                      </c:pt>
                      <c:pt idx="171">
                        <c:v>-2.1643491359646867</c:v>
                      </c:pt>
                      <c:pt idx="172">
                        <c:v>-2.0433415066861755</c:v>
                      </c:pt>
                      <c:pt idx="173">
                        <c:v>-1.9289486524430557</c:v>
                      </c:pt>
                      <c:pt idx="174">
                        <c:v>-1.8208271601732986</c:v>
                      </c:pt>
                      <c:pt idx="175">
                        <c:v>-1.7186494991794115</c:v>
                      </c:pt>
                      <c:pt idx="176">
                        <c:v>-1.6221034919655621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8D-459A-841F-BE1B280B182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LNorm'!$BD$8:$BD$184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3</c:v>
                      </c:pt>
                      <c:pt idx="57">
                        <c:v>-5</c:v>
                      </c:pt>
                      <c:pt idx="58">
                        <c:v>15</c:v>
                      </c:pt>
                      <c:pt idx="59">
                        <c:v>-4</c:v>
                      </c:pt>
                      <c:pt idx="60">
                        <c:v>26</c:v>
                      </c:pt>
                      <c:pt idx="61">
                        <c:v>-3</c:v>
                      </c:pt>
                      <c:pt idx="62">
                        <c:v>9</c:v>
                      </c:pt>
                      <c:pt idx="63">
                        <c:v>12</c:v>
                      </c:pt>
                      <c:pt idx="64">
                        <c:v>-20</c:v>
                      </c:pt>
                      <c:pt idx="65">
                        <c:v>104</c:v>
                      </c:pt>
                      <c:pt idx="66">
                        <c:v>-41</c:v>
                      </c:pt>
                      <c:pt idx="67">
                        <c:v>73</c:v>
                      </c:pt>
                      <c:pt idx="68">
                        <c:v>227</c:v>
                      </c:pt>
                      <c:pt idx="69">
                        <c:v>222</c:v>
                      </c:pt>
                      <c:pt idx="70">
                        <c:v>-40</c:v>
                      </c:pt>
                      <c:pt idx="71">
                        <c:v>-582</c:v>
                      </c:pt>
                      <c:pt idx="72">
                        <c:v>2955</c:v>
                      </c:pt>
                      <c:pt idx="73">
                        <c:v>-1796</c:v>
                      </c:pt>
                      <c:pt idx="74">
                        <c:v>248</c:v>
                      </c:pt>
                      <c:pt idx="75">
                        <c:v>737</c:v>
                      </c:pt>
                      <c:pt idx="76">
                        <c:v>-338</c:v>
                      </c:pt>
                      <c:pt idx="77">
                        <c:v>356</c:v>
                      </c:pt>
                      <c:pt idx="78">
                        <c:v>1891</c:v>
                      </c:pt>
                      <c:pt idx="79">
                        <c:v>-1606</c:v>
                      </c:pt>
                      <c:pt idx="80">
                        <c:v>2517</c:v>
                      </c:pt>
                      <c:pt idx="81">
                        <c:v>-1570</c:v>
                      </c:pt>
                      <c:pt idx="82">
                        <c:v>2974</c:v>
                      </c:pt>
                      <c:pt idx="83">
                        <c:v>-1619</c:v>
                      </c:pt>
                      <c:pt idx="84">
                        <c:v>4881</c:v>
                      </c:pt>
                      <c:pt idx="85">
                        <c:v>-1359</c:v>
                      </c:pt>
                      <c:pt idx="86">
                        <c:v>-338</c:v>
                      </c:pt>
                      <c:pt idx="87">
                        <c:v>-417</c:v>
                      </c:pt>
                      <c:pt idx="88">
                        <c:v>-641</c:v>
                      </c:pt>
                      <c:pt idx="89">
                        <c:v>971</c:v>
                      </c:pt>
                      <c:pt idx="90">
                        <c:v>121</c:v>
                      </c:pt>
                      <c:pt idx="91">
                        <c:v>228</c:v>
                      </c:pt>
                      <c:pt idx="92">
                        <c:v>-248</c:v>
                      </c:pt>
                      <c:pt idx="93">
                        <c:v>-813</c:v>
                      </c:pt>
                      <c:pt idx="94">
                        <c:v>-165</c:v>
                      </c:pt>
                      <c:pt idx="95">
                        <c:v>-1491</c:v>
                      </c:pt>
                      <c:pt idx="96">
                        <c:v>-449</c:v>
                      </c:pt>
                      <c:pt idx="97">
                        <c:v>238</c:v>
                      </c:pt>
                      <c:pt idx="98">
                        <c:v>1011</c:v>
                      </c:pt>
                      <c:pt idx="99">
                        <c:v>-1276</c:v>
                      </c:pt>
                      <c:pt idx="100">
                        <c:v>49</c:v>
                      </c:pt>
                      <c:pt idx="101">
                        <c:v>-297</c:v>
                      </c:pt>
                      <c:pt idx="102">
                        <c:v>-950</c:v>
                      </c:pt>
                      <c:pt idx="103">
                        <c:v>-536</c:v>
                      </c:pt>
                      <c:pt idx="104">
                        <c:v>-826</c:v>
                      </c:pt>
                      <c:pt idx="105">
                        <c:v>2661</c:v>
                      </c:pt>
                      <c:pt idx="106">
                        <c:v>2201</c:v>
                      </c:pt>
                      <c:pt idx="107">
                        <c:v>-1413</c:v>
                      </c:pt>
                      <c:pt idx="108">
                        <c:v>-5004</c:v>
                      </c:pt>
                      <c:pt idx="109">
                        <c:v>6061</c:v>
                      </c:pt>
                      <c:pt idx="110">
                        <c:v>-5412</c:v>
                      </c:pt>
                      <c:pt idx="111">
                        <c:v>2432</c:v>
                      </c:pt>
                      <c:pt idx="112">
                        <c:v>243</c:v>
                      </c:pt>
                      <c:pt idx="113">
                        <c:v>424</c:v>
                      </c:pt>
                      <c:pt idx="114">
                        <c:v>2105</c:v>
                      </c:pt>
                      <c:pt idx="115">
                        <c:v>-2745</c:v>
                      </c:pt>
                      <c:pt idx="116">
                        <c:v>-1125</c:v>
                      </c:pt>
                      <c:pt idx="117">
                        <c:v>-77</c:v>
                      </c:pt>
                      <c:pt idx="118">
                        <c:v>-87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8D-459A-841F-BE1B280B182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LNorm'!$BR$8:$BR$184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6.348426818434302E-52</c:v>
                      </c:pt>
                      <c:pt idx="38">
                        <c:v>1.9511492919272573E-24</c:v>
                      </c:pt>
                      <c:pt idx="39">
                        <c:v>1.6517557707556378E-16</c:v>
                      </c:pt>
                      <c:pt idx="40">
                        <c:v>3.0901386225569382E-12</c:v>
                      </c:pt>
                      <c:pt idx="41">
                        <c:v>1.8218461942811726E-9</c:v>
                      </c:pt>
                      <c:pt idx="42">
                        <c:v>1.7126539780957474E-7</c:v>
                      </c:pt>
                      <c:pt idx="43">
                        <c:v>5.2645961155145335E-6</c:v>
                      </c:pt>
                      <c:pt idx="44">
                        <c:v>7.707334468850613E-5</c:v>
                      </c:pt>
                      <c:pt idx="45">
                        <c:v>6.6913992383279923E-4</c:v>
                      </c:pt>
                      <c:pt idx="46">
                        <c:v>3.9546723514040458E-3</c:v>
                      </c:pt>
                      <c:pt idx="47">
                        <c:v>1.7440581945414365E-2</c:v>
                      </c:pt>
                      <c:pt idx="48">
                        <c:v>6.1178488039223364E-2</c:v>
                      </c:pt>
                      <c:pt idx="49">
                        <c:v>0.17872858448727882</c:v>
                      </c:pt>
                      <c:pt idx="50">
                        <c:v>0.44993039065524787</c:v>
                      </c:pt>
                      <c:pt idx="51">
                        <c:v>1.0015735603680451</c:v>
                      </c:pt>
                      <c:pt idx="52">
                        <c:v>2.011416002394891</c:v>
                      </c:pt>
                      <c:pt idx="53">
                        <c:v>3.7021317471923627</c:v>
                      </c:pt>
                      <c:pt idx="54">
                        <c:v>6.3242469240574071</c:v>
                      </c:pt>
                      <c:pt idx="55">
                        <c:v>10.129961125217116</c:v>
                      </c:pt>
                      <c:pt idx="56">
                        <c:v>15.341983488725358</c:v>
                      </c:pt>
                      <c:pt idx="57">
                        <c:v>22.122556767047598</c:v>
                      </c:pt>
                      <c:pt idx="58">
                        <c:v>30.547607631094792</c:v>
                      </c:pt>
                      <c:pt idx="59">
                        <c:v>40.589735373046594</c:v>
                      </c:pt>
                      <c:pt idx="60">
                        <c:v>52.112002160648089</c:v>
                      </c:pt>
                      <c:pt idx="61">
                        <c:v>64.872682667764323</c:v>
                      </c:pt>
                      <c:pt idx="62">
                        <c:v>78.539619751792202</c:v>
                      </c:pt>
                      <c:pt idx="63">
                        <c:v>92.711808392393735</c:v>
                      </c:pt>
                      <c:pt idx="64">
                        <c:v>106.94533873686915</c:v>
                      </c:pt>
                      <c:pt idx="65">
                        <c:v>120.78081113007438</c:v>
                      </c:pt>
                      <c:pt idx="66">
                        <c:v>133.76967272659624</c:v>
                      </c:pt>
                      <c:pt idx="67">
                        <c:v>145.49747968518801</c:v>
                      </c:pt>
                      <c:pt idx="68">
                        <c:v>155.60273436199978</c:v>
                      </c:pt>
                      <c:pt idx="69">
                        <c:v>163.7905829823153</c:v>
                      </c:pt>
                      <c:pt idx="70">
                        <c:v>169.84121751276737</c:v>
                      </c:pt>
                      <c:pt idx="71">
                        <c:v>173.61326783432554</c:v>
                      </c:pt>
                      <c:pt idx="72">
                        <c:v>175.04278380140286</c:v>
                      </c:pt>
                      <c:pt idx="73">
                        <c:v>174.13859645161847</c:v>
                      </c:pt>
                      <c:pt idx="74">
                        <c:v>170.97492995786618</c:v>
                      </c:pt>
                      <c:pt idx="75">
                        <c:v>165.68213300763978</c:v>
                      </c:pt>
                      <c:pt idx="76">
                        <c:v>158.43633364260052</c:v>
                      </c:pt>
                      <c:pt idx="77">
                        <c:v>149.44871716774392</c:v>
                      </c:pt>
                      <c:pt idx="78">
                        <c:v>138.95500133363271</c:v>
                      </c:pt>
                      <c:pt idx="79">
                        <c:v>127.20555148449284</c:v>
                      </c:pt>
                      <c:pt idx="80">
                        <c:v>114.45645164856597</c:v>
                      </c:pt>
                      <c:pt idx="81">
                        <c:v>100.96173289446709</c:v>
                      </c:pt>
                      <c:pt idx="82">
                        <c:v>86.966861897501289</c:v>
                      </c:pt>
                      <c:pt idx="83">
                        <c:v>72.703512350311613</c:v>
                      </c:pt>
                      <c:pt idx="84">
                        <c:v>58.385579633296679</c:v>
                      </c:pt>
                      <c:pt idx="85">
                        <c:v>44.206353841394645</c:v>
                      </c:pt>
                      <c:pt idx="86">
                        <c:v>30.336735914512595</c:v>
                      </c:pt>
                      <c:pt idx="87">
                        <c:v>16.924363937557889</c:v>
                      </c:pt>
                      <c:pt idx="88">
                        <c:v>4.0935092629257488</c:v>
                      </c:pt>
                      <c:pt idx="89">
                        <c:v>-8.0543973461382627</c:v>
                      </c:pt>
                      <c:pt idx="90">
                        <c:v>-19.439742948705497</c:v>
                      </c:pt>
                      <c:pt idx="91">
                        <c:v>-30.003335995654862</c:v>
                      </c:pt>
                      <c:pt idx="92">
                        <c:v>-39.704746249160529</c:v>
                      </c:pt>
                      <c:pt idx="93">
                        <c:v>-48.520476838214385</c:v>
                      </c:pt>
                      <c:pt idx="94">
                        <c:v>-56.442049676677009</c:v>
                      </c:pt>
                      <c:pt idx="95">
                        <c:v>-63.474071281982802</c:v>
                      </c:pt>
                      <c:pt idx="96">
                        <c:v>-69.632332707767702</c:v>
                      </c:pt>
                      <c:pt idx="97">
                        <c:v>-74.941985160700028</c:v>
                      </c:pt>
                      <c:pt idx="98">
                        <c:v>-79.435822089839561</c:v>
                      </c:pt>
                      <c:pt idx="99">
                        <c:v>-83.152689187822531</c:v>
                      </c:pt>
                      <c:pt idx="100">
                        <c:v>-86.136035819091944</c:v>
                      </c:pt>
                      <c:pt idx="101">
                        <c:v>-88.432614826897094</c:v>
                      </c:pt>
                      <c:pt idx="102">
                        <c:v>-90.09133236591498</c:v>
                      </c:pt>
                      <c:pt idx="103">
                        <c:v>-91.162245236947626</c:v>
                      </c:pt>
                      <c:pt idx="104">
                        <c:v>-91.695700029204119</c:v>
                      </c:pt>
                      <c:pt idx="105">
                        <c:v>-91.741606067234315</c:v>
                      </c:pt>
                      <c:pt idx="106">
                        <c:v>-91.348832580761865</c:v>
                      </c:pt>
                      <c:pt idx="107">
                        <c:v>-90.564719541903017</c:v>
                      </c:pt>
                      <c:pt idx="108">
                        <c:v>-89.434691131901118</c:v>
                      </c:pt>
                      <c:pt idx="109">
                        <c:v>-88.001960707140327</c:v>
                      </c:pt>
                      <c:pt idx="110">
                        <c:v>-86.307316343143768</c:v>
                      </c:pt>
                      <c:pt idx="111">
                        <c:v>-84.388976469369183</c:v>
                      </c:pt>
                      <c:pt idx="112">
                        <c:v>-82.282505702613676</c:v>
                      </c:pt>
                      <c:pt idx="113">
                        <c:v>-80.020781689465977</c:v>
                      </c:pt>
                      <c:pt idx="114">
                        <c:v>-77.634004535090924</c:v>
                      </c:pt>
                      <c:pt idx="115">
                        <c:v>-75.149741192066415</c:v>
                      </c:pt>
                      <c:pt idx="116">
                        <c:v>-72.592997981952564</c:v>
                      </c:pt>
                      <c:pt idx="117">
                        <c:v>-69.986315203211291</c:v>
                      </c:pt>
                      <c:pt idx="118">
                        <c:v>-67.349878526905727</c:v>
                      </c:pt>
                      <c:pt idx="119">
                        <c:v>-64.701642585725679</c:v>
                      </c:pt>
                      <c:pt idx="120">
                        <c:v>-62.057462815434455</c:v>
                      </c:pt>
                      <c:pt idx="121">
                        <c:v>-59.431232206881305</c:v>
                      </c:pt>
                      <c:pt idx="122">
                        <c:v>-56.835020169700847</c:v>
                      </c:pt>
                      <c:pt idx="123">
                        <c:v>-54.279211195896906</c:v>
                      </c:pt>
                      <c:pt idx="124">
                        <c:v>-51.772641444251839</c:v>
                      </c:pt>
                      <c:pt idx="125">
                        <c:v>-49.322731747385042</c:v>
                      </c:pt>
                      <c:pt idx="126">
                        <c:v>-46.93561587548848</c:v>
                      </c:pt>
                      <c:pt idx="127">
                        <c:v>-44.616263177858059</c:v>
                      </c:pt>
                      <c:pt idx="128">
                        <c:v>-42.368594969127678</c:v>
                      </c:pt>
                      <c:pt idx="129">
                        <c:v>-40.195594235449271</c:v>
                      </c:pt>
                      <c:pt idx="130">
                        <c:v>-38.099408410592588</c:v>
                      </c:pt>
                      <c:pt idx="131">
                        <c:v>-36.081445116758061</c:v>
                      </c:pt>
                      <c:pt idx="132">
                        <c:v>-34.142460883304153</c:v>
                      </c:pt>
                      <c:pt idx="133">
                        <c:v>-32.282642951907164</c:v>
                      </c:pt>
                      <c:pt idx="134">
                        <c:v>-30.501684351905325</c:v>
                      </c:pt>
                      <c:pt idx="135">
                        <c:v>-28.798852487534759</c:v>
                      </c:pt>
                      <c:pt idx="136">
                        <c:v>-27.173051521945727</c:v>
                      </c:pt>
                      <c:pt idx="137">
                        <c:v>-25.622878873565956</c:v>
                      </c:pt>
                      <c:pt idx="138">
                        <c:v>-24.146676160553977</c:v>
                      </c:pt>
                      <c:pt idx="139">
                        <c:v>-22.742574940553805</c:v>
                      </c:pt>
                      <c:pt idx="140">
                        <c:v>-21.408537597272094</c:v>
                      </c:pt>
                      <c:pt idx="141">
                        <c:v>-20.142393723916836</c:v>
                      </c:pt>
                      <c:pt idx="142">
                        <c:v>-18.941872347436465</c:v>
                      </c:pt>
                      <c:pt idx="143">
                        <c:v>-17.804630327797209</c:v>
                      </c:pt>
                      <c:pt idx="144">
                        <c:v>-16.728277254082222</c:v>
                      </c:pt>
                      <c:pt idx="145">
                        <c:v>-15.710397144737044</c:v>
                      </c:pt>
                      <c:pt idx="146">
                        <c:v>-14.748567243414268</c:v>
                      </c:pt>
                      <c:pt idx="147">
                        <c:v>-13.84037418511226</c:v>
                      </c:pt>
                      <c:pt idx="148">
                        <c:v>-12.983427790059627</c:v>
                      </c:pt>
                      <c:pt idx="149">
                        <c:v>-12.175372725427158</c:v>
                      </c:pt>
                      <c:pt idx="150">
                        <c:v>-11.413898257708926</c:v>
                      </c:pt>
                      <c:pt idx="151">
                        <c:v>-10.696746301728808</c:v>
                      </c:pt>
                      <c:pt idx="152">
                        <c:v>-10.021717955865695</c:v>
                      </c:pt>
                      <c:pt idx="153">
                        <c:v>-9.3866786973639833</c:v>
                      </c:pt>
                      <c:pt idx="154">
                        <c:v>-8.7895623966090124</c:v>
                      </c:pt>
                      <c:pt idx="155">
                        <c:v>-8.2283742950501981</c:v>
                      </c:pt>
                      <c:pt idx="156">
                        <c:v>-7.7011930780913449</c:v>
                      </c:pt>
                      <c:pt idx="157">
                        <c:v>-7.2061721617528951</c:v>
                      </c:pt>
                      <c:pt idx="158">
                        <c:v>-6.7415403002450294</c:v>
                      </c:pt>
                      <c:pt idx="159">
                        <c:v>-6.3056016107687922</c:v>
                      </c:pt>
                      <c:pt idx="160">
                        <c:v>-5.8967351018564331</c:v>
                      </c:pt>
                      <c:pt idx="161">
                        <c:v>-5.5133937823516161</c:v>
                      </c:pt>
                      <c:pt idx="162">
                        <c:v>-5.1541034196776003</c:v>
                      </c:pt>
                      <c:pt idx="163">
                        <c:v>-4.8174610083105529</c:v>
                      </c:pt>
                      <c:pt idx="164">
                        <c:v>-4.5021330023278923</c:v>
                      </c:pt>
                      <c:pt idx="165">
                        <c:v>-4.2068533594951427</c:v>
                      </c:pt>
                      <c:pt idx="166">
                        <c:v>-3.9304214385492879</c:v>
                      </c:pt>
                      <c:pt idx="167">
                        <c:v>-3.67169978608925</c:v>
                      </c:pt>
                      <c:pt idx="168">
                        <c:v>-3.4296118447553572</c:v>
                      </c:pt>
                      <c:pt idx="169">
                        <c:v>-3.2031396101301364</c:v>
                      </c:pt>
                      <c:pt idx="170">
                        <c:v>-2.9913212599829158</c:v>
                      </c:pt>
                      <c:pt idx="171">
                        <c:v>-2.7932487760770397</c:v>
                      </c:pt>
                      <c:pt idx="172">
                        <c:v>-2.6080655757232183</c:v>
                      </c:pt>
                      <c:pt idx="173">
                        <c:v>-2.434964167566084</c:v>
                      </c:pt>
                      <c:pt idx="174">
                        <c:v>-2.2731838437010592</c:v>
                      </c:pt>
                      <c:pt idx="175">
                        <c:v>-2.1220084181075602</c:v>
                      </c:pt>
                      <c:pt idx="176">
                        <c:v>-1.9807640195257319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8D-459A-841F-BE1B280B182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 new cases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399713820119715"/>
          <c:y val="0.377933419424057"/>
          <c:w val="0.25718062167529426"/>
          <c:h val="0.114973628233140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Italy - rate of new cases per day (acceleration) - Lognormal fit</a:t>
            </a:r>
          </a:p>
          <a:p>
            <a:pPr>
              <a:defRPr/>
            </a:pPr>
            <a:r>
              <a:rPr lang="it-IT">
                <a:solidFill>
                  <a:srgbClr val="00B050"/>
                </a:solidFill>
              </a:rPr>
              <a:t>Italy regions outside Lombardy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5"/>
          <c:tx>
            <c:strRef>
              <c:f>'New_cases_rates - LNorm'!$BD$7</c:f>
              <c:strCache>
                <c:ptCount val="1"/>
                <c:pt idx="0">
                  <c:v>rest of Italy acc.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LNorm'!$BD$8:$BD$184</c:f>
              <c:numCache>
                <c:formatCode>0</c:formatCode>
                <c:ptCount val="177"/>
                <c:pt idx="56">
                  <c:v>3</c:v>
                </c:pt>
                <c:pt idx="57">
                  <c:v>-5</c:v>
                </c:pt>
                <c:pt idx="58">
                  <c:v>15</c:v>
                </c:pt>
                <c:pt idx="59">
                  <c:v>-4</c:v>
                </c:pt>
                <c:pt idx="60">
                  <c:v>26</c:v>
                </c:pt>
                <c:pt idx="61">
                  <c:v>-3</c:v>
                </c:pt>
                <c:pt idx="62">
                  <c:v>9</c:v>
                </c:pt>
                <c:pt idx="63">
                  <c:v>12</c:v>
                </c:pt>
                <c:pt idx="64">
                  <c:v>-20</c:v>
                </c:pt>
                <c:pt idx="65">
                  <c:v>104</c:v>
                </c:pt>
                <c:pt idx="66">
                  <c:v>-41</c:v>
                </c:pt>
                <c:pt idx="67">
                  <c:v>73</c:v>
                </c:pt>
                <c:pt idx="68">
                  <c:v>227</c:v>
                </c:pt>
                <c:pt idx="69">
                  <c:v>222</c:v>
                </c:pt>
                <c:pt idx="70">
                  <c:v>-40</c:v>
                </c:pt>
                <c:pt idx="71">
                  <c:v>-582</c:v>
                </c:pt>
                <c:pt idx="72">
                  <c:v>2955</c:v>
                </c:pt>
                <c:pt idx="73">
                  <c:v>-1796</c:v>
                </c:pt>
                <c:pt idx="74">
                  <c:v>248</c:v>
                </c:pt>
                <c:pt idx="75">
                  <c:v>737</c:v>
                </c:pt>
                <c:pt idx="76">
                  <c:v>-338</c:v>
                </c:pt>
                <c:pt idx="77">
                  <c:v>356</c:v>
                </c:pt>
                <c:pt idx="78">
                  <c:v>1891</c:v>
                </c:pt>
                <c:pt idx="79">
                  <c:v>-1606</c:v>
                </c:pt>
                <c:pt idx="80">
                  <c:v>2517</c:v>
                </c:pt>
                <c:pt idx="81">
                  <c:v>-1570</c:v>
                </c:pt>
                <c:pt idx="82">
                  <c:v>2974</c:v>
                </c:pt>
                <c:pt idx="83">
                  <c:v>-1619</c:v>
                </c:pt>
                <c:pt idx="84">
                  <c:v>4881</c:v>
                </c:pt>
                <c:pt idx="85">
                  <c:v>-1359</c:v>
                </c:pt>
                <c:pt idx="86">
                  <c:v>-338</c:v>
                </c:pt>
                <c:pt idx="87">
                  <c:v>-417</c:v>
                </c:pt>
                <c:pt idx="88">
                  <c:v>-641</c:v>
                </c:pt>
                <c:pt idx="89">
                  <c:v>971</c:v>
                </c:pt>
                <c:pt idx="90">
                  <c:v>121</c:v>
                </c:pt>
                <c:pt idx="91">
                  <c:v>228</c:v>
                </c:pt>
                <c:pt idx="92">
                  <c:v>-248</c:v>
                </c:pt>
                <c:pt idx="93">
                  <c:v>-813</c:v>
                </c:pt>
                <c:pt idx="94">
                  <c:v>-165</c:v>
                </c:pt>
                <c:pt idx="95">
                  <c:v>-1491</c:v>
                </c:pt>
                <c:pt idx="96">
                  <c:v>-449</c:v>
                </c:pt>
                <c:pt idx="97">
                  <c:v>238</c:v>
                </c:pt>
                <c:pt idx="98">
                  <c:v>1011</c:v>
                </c:pt>
                <c:pt idx="99">
                  <c:v>-1276</c:v>
                </c:pt>
                <c:pt idx="100">
                  <c:v>49</c:v>
                </c:pt>
                <c:pt idx="101">
                  <c:v>-297</c:v>
                </c:pt>
                <c:pt idx="102">
                  <c:v>-950</c:v>
                </c:pt>
                <c:pt idx="103">
                  <c:v>-536</c:v>
                </c:pt>
                <c:pt idx="104">
                  <c:v>-826</c:v>
                </c:pt>
                <c:pt idx="105">
                  <c:v>2661</c:v>
                </c:pt>
                <c:pt idx="106">
                  <c:v>2201</c:v>
                </c:pt>
                <c:pt idx="107">
                  <c:v>-1413</c:v>
                </c:pt>
                <c:pt idx="108">
                  <c:v>-5004</c:v>
                </c:pt>
                <c:pt idx="109">
                  <c:v>6061</c:v>
                </c:pt>
                <c:pt idx="110">
                  <c:v>-5412</c:v>
                </c:pt>
                <c:pt idx="111">
                  <c:v>2432</c:v>
                </c:pt>
                <c:pt idx="112">
                  <c:v>243</c:v>
                </c:pt>
                <c:pt idx="113">
                  <c:v>424</c:v>
                </c:pt>
                <c:pt idx="114">
                  <c:v>2105</c:v>
                </c:pt>
                <c:pt idx="115">
                  <c:v>-2745</c:v>
                </c:pt>
                <c:pt idx="116">
                  <c:v>-1125</c:v>
                </c:pt>
                <c:pt idx="117">
                  <c:v>-77</c:v>
                </c:pt>
                <c:pt idx="118">
                  <c:v>-87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2C00-4C28-951D-B4BE550B5B7A}"/>
            </c:ext>
          </c:extLst>
        </c:ser>
        <c:ser>
          <c:idx val="6"/>
          <c:order val="6"/>
          <c:tx>
            <c:strRef>
              <c:f>'New_cases_rates - LNorm'!$BR$7</c:f>
              <c:strCache>
                <c:ptCount val="1"/>
                <c:pt idx="0">
                  <c:v>rest of Italy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LNorm'!$BR$8:$BR$184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6.348426818434302E-52</c:v>
                </c:pt>
                <c:pt idx="38">
                  <c:v>1.9511492919272573E-24</c:v>
                </c:pt>
                <c:pt idx="39">
                  <c:v>1.6517557707556378E-16</c:v>
                </c:pt>
                <c:pt idx="40">
                  <c:v>3.0901386225569382E-12</c:v>
                </c:pt>
                <c:pt idx="41">
                  <c:v>1.8218461942811726E-9</c:v>
                </c:pt>
                <c:pt idx="42">
                  <c:v>1.7126539780957474E-7</c:v>
                </c:pt>
                <c:pt idx="43">
                  <c:v>5.2645961155145335E-6</c:v>
                </c:pt>
                <c:pt idx="44">
                  <c:v>7.707334468850613E-5</c:v>
                </c:pt>
                <c:pt idx="45">
                  <c:v>6.6913992383279923E-4</c:v>
                </c:pt>
                <c:pt idx="46">
                  <c:v>3.9546723514040458E-3</c:v>
                </c:pt>
                <c:pt idx="47">
                  <c:v>1.7440581945414365E-2</c:v>
                </c:pt>
                <c:pt idx="48">
                  <c:v>6.1178488039223364E-2</c:v>
                </c:pt>
                <c:pt idx="49">
                  <c:v>0.17872858448727882</c:v>
                </c:pt>
                <c:pt idx="50">
                  <c:v>0.44993039065524787</c:v>
                </c:pt>
                <c:pt idx="51">
                  <c:v>1.0015735603680451</c:v>
                </c:pt>
                <c:pt idx="52">
                  <c:v>2.011416002394891</c:v>
                </c:pt>
                <c:pt idx="53">
                  <c:v>3.7021317471923627</c:v>
                </c:pt>
                <c:pt idx="54">
                  <c:v>6.3242469240574071</c:v>
                </c:pt>
                <c:pt idx="55">
                  <c:v>10.129961125217116</c:v>
                </c:pt>
                <c:pt idx="56">
                  <c:v>15.341983488725358</c:v>
                </c:pt>
                <c:pt idx="57">
                  <c:v>22.122556767047598</c:v>
                </c:pt>
                <c:pt idx="58">
                  <c:v>30.547607631094792</c:v>
                </c:pt>
                <c:pt idx="59">
                  <c:v>40.589735373046594</c:v>
                </c:pt>
                <c:pt idx="60">
                  <c:v>52.112002160648089</c:v>
                </c:pt>
                <c:pt idx="61">
                  <c:v>64.872682667764323</c:v>
                </c:pt>
                <c:pt idx="62">
                  <c:v>78.539619751792202</c:v>
                </c:pt>
                <c:pt idx="63">
                  <c:v>92.711808392393735</c:v>
                </c:pt>
                <c:pt idx="64">
                  <c:v>106.94533873686915</c:v>
                </c:pt>
                <c:pt idx="65">
                  <c:v>120.78081113007438</c:v>
                </c:pt>
                <c:pt idx="66">
                  <c:v>133.76967272659624</c:v>
                </c:pt>
                <c:pt idx="67">
                  <c:v>145.49747968518801</c:v>
                </c:pt>
                <c:pt idx="68">
                  <c:v>155.60273436199978</c:v>
                </c:pt>
                <c:pt idx="69">
                  <c:v>163.7905829823153</c:v>
                </c:pt>
                <c:pt idx="70">
                  <c:v>169.84121751276737</c:v>
                </c:pt>
                <c:pt idx="71">
                  <c:v>173.61326783432554</c:v>
                </c:pt>
                <c:pt idx="72">
                  <c:v>175.04278380140286</c:v>
                </c:pt>
                <c:pt idx="73">
                  <c:v>174.13859645161847</c:v>
                </c:pt>
                <c:pt idx="74">
                  <c:v>170.97492995786618</c:v>
                </c:pt>
                <c:pt idx="75">
                  <c:v>165.68213300763978</c:v>
                </c:pt>
                <c:pt idx="76">
                  <c:v>158.43633364260052</c:v>
                </c:pt>
                <c:pt idx="77">
                  <c:v>149.44871716774392</c:v>
                </c:pt>
                <c:pt idx="78">
                  <c:v>138.95500133363271</c:v>
                </c:pt>
                <c:pt idx="79">
                  <c:v>127.20555148449284</c:v>
                </c:pt>
                <c:pt idx="80">
                  <c:v>114.45645164856597</c:v>
                </c:pt>
                <c:pt idx="81">
                  <c:v>100.96173289446709</c:v>
                </c:pt>
                <c:pt idx="82">
                  <c:v>86.966861897501289</c:v>
                </c:pt>
                <c:pt idx="83">
                  <c:v>72.703512350311613</c:v>
                </c:pt>
                <c:pt idx="84">
                  <c:v>58.385579633296679</c:v>
                </c:pt>
                <c:pt idx="85">
                  <c:v>44.206353841394645</c:v>
                </c:pt>
                <c:pt idx="86">
                  <c:v>30.336735914512595</c:v>
                </c:pt>
                <c:pt idx="87">
                  <c:v>16.924363937557889</c:v>
                </c:pt>
                <c:pt idx="88">
                  <c:v>4.0935092629257488</c:v>
                </c:pt>
                <c:pt idx="89">
                  <c:v>-8.0543973461382627</c:v>
                </c:pt>
                <c:pt idx="90">
                  <c:v>-19.439742948705497</c:v>
                </c:pt>
                <c:pt idx="91">
                  <c:v>-30.003335995654862</c:v>
                </c:pt>
                <c:pt idx="92">
                  <c:v>-39.704746249160529</c:v>
                </c:pt>
                <c:pt idx="93">
                  <c:v>-48.520476838214385</c:v>
                </c:pt>
                <c:pt idx="94">
                  <c:v>-56.442049676677009</c:v>
                </c:pt>
                <c:pt idx="95">
                  <c:v>-63.474071281982802</c:v>
                </c:pt>
                <c:pt idx="96">
                  <c:v>-69.632332707767702</c:v>
                </c:pt>
                <c:pt idx="97">
                  <c:v>-74.941985160700028</c:v>
                </c:pt>
                <c:pt idx="98">
                  <c:v>-79.435822089839561</c:v>
                </c:pt>
                <c:pt idx="99">
                  <c:v>-83.152689187822531</c:v>
                </c:pt>
                <c:pt idx="100">
                  <c:v>-86.136035819091944</c:v>
                </c:pt>
                <c:pt idx="101">
                  <c:v>-88.432614826897094</c:v>
                </c:pt>
                <c:pt idx="102">
                  <c:v>-90.09133236591498</c:v>
                </c:pt>
                <c:pt idx="103">
                  <c:v>-91.162245236947626</c:v>
                </c:pt>
                <c:pt idx="104">
                  <c:v>-91.695700029204119</c:v>
                </c:pt>
                <c:pt idx="105">
                  <c:v>-91.741606067234315</c:v>
                </c:pt>
                <c:pt idx="106">
                  <c:v>-91.348832580761865</c:v>
                </c:pt>
                <c:pt idx="107">
                  <c:v>-90.564719541903017</c:v>
                </c:pt>
                <c:pt idx="108">
                  <c:v>-89.434691131901118</c:v>
                </c:pt>
                <c:pt idx="109">
                  <c:v>-88.001960707140327</c:v>
                </c:pt>
                <c:pt idx="110">
                  <c:v>-86.307316343143768</c:v>
                </c:pt>
                <c:pt idx="111">
                  <c:v>-84.388976469369183</c:v>
                </c:pt>
                <c:pt idx="112">
                  <c:v>-82.282505702613676</c:v>
                </c:pt>
                <c:pt idx="113">
                  <c:v>-80.020781689465977</c:v>
                </c:pt>
                <c:pt idx="114">
                  <c:v>-77.634004535090924</c:v>
                </c:pt>
                <c:pt idx="115">
                  <c:v>-75.149741192066415</c:v>
                </c:pt>
                <c:pt idx="116">
                  <c:v>-72.592997981952564</c:v>
                </c:pt>
                <c:pt idx="117">
                  <c:v>-69.986315203211291</c:v>
                </c:pt>
                <c:pt idx="118">
                  <c:v>-67.349878526905727</c:v>
                </c:pt>
                <c:pt idx="119">
                  <c:v>-64.701642585725679</c:v>
                </c:pt>
                <c:pt idx="120">
                  <c:v>-62.057462815434455</c:v>
                </c:pt>
                <c:pt idx="121">
                  <c:v>-59.431232206881305</c:v>
                </c:pt>
                <c:pt idx="122">
                  <c:v>-56.835020169700847</c:v>
                </c:pt>
                <c:pt idx="123">
                  <c:v>-54.279211195896906</c:v>
                </c:pt>
                <c:pt idx="124">
                  <c:v>-51.772641444251839</c:v>
                </c:pt>
                <c:pt idx="125">
                  <c:v>-49.322731747385042</c:v>
                </c:pt>
                <c:pt idx="126">
                  <c:v>-46.93561587548848</c:v>
                </c:pt>
                <c:pt idx="127">
                  <c:v>-44.616263177858059</c:v>
                </c:pt>
                <c:pt idx="128">
                  <c:v>-42.368594969127678</c:v>
                </c:pt>
                <c:pt idx="129">
                  <c:v>-40.195594235449271</c:v>
                </c:pt>
                <c:pt idx="130">
                  <c:v>-38.099408410592588</c:v>
                </c:pt>
                <c:pt idx="131">
                  <c:v>-36.081445116758061</c:v>
                </c:pt>
                <c:pt idx="132">
                  <c:v>-34.142460883304153</c:v>
                </c:pt>
                <c:pt idx="133">
                  <c:v>-32.282642951907164</c:v>
                </c:pt>
                <c:pt idx="134">
                  <c:v>-30.501684351905325</c:v>
                </c:pt>
                <c:pt idx="135">
                  <c:v>-28.798852487534759</c:v>
                </c:pt>
                <c:pt idx="136">
                  <c:v>-27.173051521945727</c:v>
                </c:pt>
                <c:pt idx="137">
                  <c:v>-25.622878873565956</c:v>
                </c:pt>
                <c:pt idx="138">
                  <c:v>-24.146676160553977</c:v>
                </c:pt>
                <c:pt idx="139">
                  <c:v>-22.742574940553805</c:v>
                </c:pt>
                <c:pt idx="140">
                  <c:v>-21.408537597272094</c:v>
                </c:pt>
                <c:pt idx="141">
                  <c:v>-20.142393723916836</c:v>
                </c:pt>
                <c:pt idx="142">
                  <c:v>-18.941872347436465</c:v>
                </c:pt>
                <c:pt idx="143">
                  <c:v>-17.804630327797209</c:v>
                </c:pt>
                <c:pt idx="144">
                  <c:v>-16.728277254082222</c:v>
                </c:pt>
                <c:pt idx="145">
                  <c:v>-15.710397144737044</c:v>
                </c:pt>
                <c:pt idx="146">
                  <c:v>-14.748567243414268</c:v>
                </c:pt>
                <c:pt idx="147">
                  <c:v>-13.84037418511226</c:v>
                </c:pt>
                <c:pt idx="148">
                  <c:v>-12.983427790059627</c:v>
                </c:pt>
                <c:pt idx="149">
                  <c:v>-12.175372725427158</c:v>
                </c:pt>
                <c:pt idx="150">
                  <c:v>-11.413898257708926</c:v>
                </c:pt>
                <c:pt idx="151">
                  <c:v>-10.696746301728808</c:v>
                </c:pt>
                <c:pt idx="152">
                  <c:v>-10.021717955865695</c:v>
                </c:pt>
                <c:pt idx="153">
                  <c:v>-9.3866786973639833</c:v>
                </c:pt>
                <c:pt idx="154">
                  <c:v>-8.7895623966090124</c:v>
                </c:pt>
                <c:pt idx="155">
                  <c:v>-8.2283742950501981</c:v>
                </c:pt>
                <c:pt idx="156">
                  <c:v>-7.7011930780913449</c:v>
                </c:pt>
                <c:pt idx="157">
                  <c:v>-7.2061721617528951</c:v>
                </c:pt>
                <c:pt idx="158">
                  <c:v>-6.7415403002450294</c:v>
                </c:pt>
                <c:pt idx="159">
                  <c:v>-6.3056016107687922</c:v>
                </c:pt>
                <c:pt idx="160">
                  <c:v>-5.8967351018564331</c:v>
                </c:pt>
                <c:pt idx="161">
                  <c:v>-5.5133937823516161</c:v>
                </c:pt>
                <c:pt idx="162">
                  <c:v>-5.1541034196776003</c:v>
                </c:pt>
                <c:pt idx="163">
                  <c:v>-4.8174610083105529</c:v>
                </c:pt>
                <c:pt idx="164">
                  <c:v>-4.5021330023278923</c:v>
                </c:pt>
                <c:pt idx="165">
                  <c:v>-4.2068533594951427</c:v>
                </c:pt>
                <c:pt idx="166">
                  <c:v>-3.9304214385492879</c:v>
                </c:pt>
                <c:pt idx="167">
                  <c:v>-3.67169978608925</c:v>
                </c:pt>
                <c:pt idx="168">
                  <c:v>-3.4296118447553572</c:v>
                </c:pt>
                <c:pt idx="169">
                  <c:v>-3.2031396101301364</c:v>
                </c:pt>
                <c:pt idx="170">
                  <c:v>-2.9913212599829158</c:v>
                </c:pt>
                <c:pt idx="171">
                  <c:v>-2.7932487760770397</c:v>
                </c:pt>
                <c:pt idx="172">
                  <c:v>-2.6080655757232183</c:v>
                </c:pt>
                <c:pt idx="173">
                  <c:v>-2.434964167566084</c:v>
                </c:pt>
                <c:pt idx="174">
                  <c:v>-2.2731838437010592</c:v>
                </c:pt>
                <c:pt idx="175">
                  <c:v>-2.1220084181075602</c:v>
                </c:pt>
                <c:pt idx="176">
                  <c:v>-1.9807640195257319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6-2C00-4C28-951D-B4BE550B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'New_cases_rates - LNorm'!$F$7</c15:sqref>
                        </c15:formulaRef>
                      </c:ext>
                    </c:extLst>
                    <c:strCache>
                      <c:ptCount val="1"/>
                      <c:pt idx="0">
                        <c:v>Spain cases acceleration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'New_cases_rates - LNorm'!$F$8:$F$184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-1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-1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4</c:v>
                      </c:pt>
                      <c:pt idx="56">
                        <c:v>3</c:v>
                      </c:pt>
                      <c:pt idx="57">
                        <c:v>-5</c:v>
                      </c:pt>
                      <c:pt idx="58">
                        <c:v>15</c:v>
                      </c:pt>
                      <c:pt idx="59">
                        <c:v>-4</c:v>
                      </c:pt>
                      <c:pt idx="60">
                        <c:v>26</c:v>
                      </c:pt>
                      <c:pt idx="61">
                        <c:v>-3</c:v>
                      </c:pt>
                      <c:pt idx="62">
                        <c:v>9</c:v>
                      </c:pt>
                      <c:pt idx="63">
                        <c:v>12</c:v>
                      </c:pt>
                      <c:pt idx="64">
                        <c:v>-20</c:v>
                      </c:pt>
                      <c:pt idx="65">
                        <c:v>104</c:v>
                      </c:pt>
                      <c:pt idx="66">
                        <c:v>-41</c:v>
                      </c:pt>
                      <c:pt idx="67">
                        <c:v>73</c:v>
                      </c:pt>
                      <c:pt idx="68">
                        <c:v>227</c:v>
                      </c:pt>
                      <c:pt idx="69">
                        <c:v>222</c:v>
                      </c:pt>
                      <c:pt idx="70">
                        <c:v>-40</c:v>
                      </c:pt>
                      <c:pt idx="71">
                        <c:v>-582</c:v>
                      </c:pt>
                      <c:pt idx="72">
                        <c:v>2955</c:v>
                      </c:pt>
                      <c:pt idx="73">
                        <c:v>-1796</c:v>
                      </c:pt>
                      <c:pt idx="74">
                        <c:v>248</c:v>
                      </c:pt>
                      <c:pt idx="75">
                        <c:v>737</c:v>
                      </c:pt>
                      <c:pt idx="76">
                        <c:v>-338</c:v>
                      </c:pt>
                      <c:pt idx="77">
                        <c:v>356</c:v>
                      </c:pt>
                      <c:pt idx="78">
                        <c:v>1891</c:v>
                      </c:pt>
                      <c:pt idx="79">
                        <c:v>-1606</c:v>
                      </c:pt>
                      <c:pt idx="80">
                        <c:v>2517</c:v>
                      </c:pt>
                      <c:pt idx="81">
                        <c:v>-1570</c:v>
                      </c:pt>
                      <c:pt idx="82">
                        <c:v>2974</c:v>
                      </c:pt>
                      <c:pt idx="83">
                        <c:v>-1619</c:v>
                      </c:pt>
                      <c:pt idx="84">
                        <c:v>4881</c:v>
                      </c:pt>
                      <c:pt idx="85">
                        <c:v>-1359</c:v>
                      </c:pt>
                      <c:pt idx="86">
                        <c:v>-338</c:v>
                      </c:pt>
                      <c:pt idx="87">
                        <c:v>-417</c:v>
                      </c:pt>
                      <c:pt idx="88">
                        <c:v>-641</c:v>
                      </c:pt>
                      <c:pt idx="89">
                        <c:v>971</c:v>
                      </c:pt>
                      <c:pt idx="90">
                        <c:v>121</c:v>
                      </c:pt>
                      <c:pt idx="91">
                        <c:v>228</c:v>
                      </c:pt>
                      <c:pt idx="92">
                        <c:v>-248</c:v>
                      </c:pt>
                      <c:pt idx="93">
                        <c:v>-813</c:v>
                      </c:pt>
                      <c:pt idx="94">
                        <c:v>-165</c:v>
                      </c:pt>
                      <c:pt idx="95">
                        <c:v>-1491</c:v>
                      </c:pt>
                      <c:pt idx="96">
                        <c:v>-449</c:v>
                      </c:pt>
                      <c:pt idx="97">
                        <c:v>238</c:v>
                      </c:pt>
                      <c:pt idx="98">
                        <c:v>1011</c:v>
                      </c:pt>
                      <c:pt idx="99">
                        <c:v>-1276</c:v>
                      </c:pt>
                      <c:pt idx="100">
                        <c:v>49</c:v>
                      </c:pt>
                      <c:pt idx="101">
                        <c:v>-297</c:v>
                      </c:pt>
                      <c:pt idx="102">
                        <c:v>-950</c:v>
                      </c:pt>
                      <c:pt idx="103">
                        <c:v>-536</c:v>
                      </c:pt>
                      <c:pt idx="104">
                        <c:v>-826</c:v>
                      </c:pt>
                      <c:pt idx="105">
                        <c:v>2661</c:v>
                      </c:pt>
                      <c:pt idx="106">
                        <c:v>2201</c:v>
                      </c:pt>
                      <c:pt idx="107">
                        <c:v>-1413</c:v>
                      </c:pt>
                      <c:pt idx="108">
                        <c:v>-5004</c:v>
                      </c:pt>
                      <c:pt idx="109">
                        <c:v>6061</c:v>
                      </c:pt>
                      <c:pt idx="110">
                        <c:v>-5412</c:v>
                      </c:pt>
                      <c:pt idx="111">
                        <c:v>2432</c:v>
                      </c:pt>
                      <c:pt idx="112">
                        <c:v>243</c:v>
                      </c:pt>
                      <c:pt idx="113">
                        <c:v>424</c:v>
                      </c:pt>
                      <c:pt idx="114">
                        <c:v>2105</c:v>
                      </c:pt>
                      <c:pt idx="115">
                        <c:v>-2745</c:v>
                      </c:pt>
                      <c:pt idx="116">
                        <c:v>-1125</c:v>
                      </c:pt>
                      <c:pt idx="117">
                        <c:v>-77</c:v>
                      </c:pt>
                      <c:pt idx="118">
                        <c:v>-87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C00-4C28-951D-B4BE550B5B7A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LNorm'!$Z$7</c15:sqref>
                        </c15:formulaRef>
                      </c:ext>
                    </c:extLst>
                    <c:strCache>
                      <c:ptCount val="1"/>
                      <c:pt idx="0">
                        <c:v>Spain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LNorm'!$Z$8:$Z$184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7.4503380089378552E-56</c:v>
                      </c:pt>
                      <c:pt idx="35">
                        <c:v>4.5292417300274101E-34</c:v>
                      </c:pt>
                      <c:pt idx="36">
                        <c:v>7.2415045172868066E-25</c:v>
                      </c:pt>
                      <c:pt idx="37">
                        <c:v>2.1642631146378989E-19</c:v>
                      </c:pt>
                      <c:pt idx="38">
                        <c:v>1.1810810747246602E-15</c:v>
                      </c:pt>
                      <c:pt idx="39">
                        <c:v>6.6664926728960362E-13</c:v>
                      </c:pt>
                      <c:pt idx="40">
                        <c:v>8.9244967530409856E-11</c:v>
                      </c:pt>
                      <c:pt idx="41">
                        <c:v>4.4723923201564357E-9</c:v>
                      </c:pt>
                      <c:pt idx="42">
                        <c:v>1.1051103871561197E-7</c:v>
                      </c:pt>
                      <c:pt idx="43">
                        <c:v>1.6084928818651373E-6</c:v>
                      </c:pt>
                      <c:pt idx="44">
                        <c:v>1.5561400052519099E-5</c:v>
                      </c:pt>
                      <c:pt idx="45">
                        <c:v>1.0899076000851929E-4</c:v>
                      </c:pt>
                      <c:pt idx="46">
                        <c:v>5.88204487493784E-4</c:v>
                      </c:pt>
                      <c:pt idx="47">
                        <c:v>2.5631553067953384E-3</c:v>
                      </c:pt>
                      <c:pt idx="48">
                        <c:v>9.3476450663861899E-3</c:v>
                      </c:pt>
                      <c:pt idx="49">
                        <c:v>2.9341284099183466E-2</c:v>
                      </c:pt>
                      <c:pt idx="50">
                        <c:v>8.1053399850958718E-2</c:v>
                      </c:pt>
                      <c:pt idx="51">
                        <c:v>0.20061604174061276</c:v>
                      </c:pt>
                      <c:pt idx="52">
                        <c:v>0.45145522924006792</c:v>
                      </c:pt>
                      <c:pt idx="53">
                        <c:v>0.93488368647520215</c:v>
                      </c:pt>
                      <c:pt idx="54">
                        <c:v>1.7995257359846462</c:v>
                      </c:pt>
                      <c:pt idx="55">
                        <c:v>3.2470019211924361</c:v>
                      </c:pt>
                      <c:pt idx="56">
                        <c:v>5.5314094974139243</c:v>
                      </c:pt>
                      <c:pt idx="57">
                        <c:v>8.9508778616135434</c:v>
                      </c:pt>
                      <c:pt idx="58">
                        <c:v>13.83070805492571</c:v>
                      </c:pt>
                      <c:pt idx="59">
                        <c:v>20.49904309571583</c:v>
                      </c:pt>
                      <c:pt idx="60">
                        <c:v>29.257341695768723</c:v>
                      </c:pt>
                      <c:pt idx="61">
                        <c:v>40.348872219105154</c:v>
                      </c:pt>
                      <c:pt idx="62">
                        <c:v>53.928846179729177</c:v>
                      </c:pt>
                      <c:pt idx="63">
                        <c:v>70.039639602371665</c:v>
                      </c:pt>
                      <c:pt idx="64">
                        <c:v>88.593887876056144</c:v>
                      </c:pt>
                      <c:pt idx="65">
                        <c:v>109.3672425866547</c:v>
                      </c:pt>
                      <c:pt idx="66">
                        <c:v>132.00143528926111</c:v>
                      </c:pt>
                      <c:pt idx="67">
                        <c:v>156.01718215324851</c:v>
                      </c:pt>
                      <c:pt idx="68">
                        <c:v>180.83552640827594</c:v>
                      </c:pt>
                      <c:pt idx="69">
                        <c:v>205.80554250512446</c:v>
                      </c:pt>
                      <c:pt idx="70">
                        <c:v>230.23595357168372</c:v>
                      </c:pt>
                      <c:pt idx="71">
                        <c:v>253.4281328284041</c:v>
                      </c:pt>
                      <c:pt idx="72">
                        <c:v>274.70812727903939</c:v>
                      </c:pt>
                      <c:pt idx="73">
                        <c:v>293.45569563194198</c:v>
                      </c:pt>
                      <c:pt idx="74">
                        <c:v>309.12882246624969</c:v>
                      </c:pt>
                      <c:pt idx="75">
                        <c:v>321.28269066285822</c:v>
                      </c:pt>
                      <c:pt idx="76">
                        <c:v>329.58260752038427</c:v>
                      </c:pt>
                      <c:pt idx="77">
                        <c:v>333.81084380247569</c:v>
                      </c:pt>
                      <c:pt idx="78">
                        <c:v>333.86773084120313</c:v>
                      </c:pt>
                      <c:pt idx="79">
                        <c:v>329.76765404326522</c:v>
                      </c:pt>
                      <c:pt idx="80">
                        <c:v>321.63077851943666</c:v>
                      </c:pt>
                      <c:pt idx="81">
                        <c:v>309.67144967376419</c:v>
                      </c:pt>
                      <c:pt idx="82">
                        <c:v>294.18423999213786</c:v>
                      </c:pt>
                      <c:pt idx="83">
                        <c:v>275.52857787027568</c:v>
                      </c:pt>
                      <c:pt idx="84">
                        <c:v>254.11281124074449</c:v>
                      </c:pt>
                      <c:pt idx="85">
                        <c:v>230.37844369198402</c:v>
                      </c:pt>
                      <c:pt idx="86">
                        <c:v>204.78514786090062</c:v>
                      </c:pt>
                      <c:pt idx="87">
                        <c:v>177.79702204532182</c:v>
                      </c:pt>
                      <c:pt idx="88">
                        <c:v>149.8704206331837</c:v>
                      </c:pt>
                      <c:pt idx="89">
                        <c:v>121.44356397374487</c:v>
                      </c:pt>
                      <c:pt idx="90">
                        <c:v>92.928023287988353</c:v>
                      </c:pt>
                      <c:pt idx="91">
                        <c:v>64.702083680192345</c:v>
                      </c:pt>
                      <c:pt idx="92">
                        <c:v>37.105914173188133</c:v>
                      </c:pt>
                      <c:pt idx="93">
                        <c:v>10.438417581414903</c:v>
                      </c:pt>
                      <c:pt idx="94">
                        <c:v>-15.044406314583052</c:v>
                      </c:pt>
                      <c:pt idx="95">
                        <c:v>-39.129775285430071</c:v>
                      </c:pt>
                      <c:pt idx="96">
                        <c:v>-61.647319608533643</c:v>
                      </c:pt>
                      <c:pt idx="97">
                        <c:v>-82.467361563200726</c:v>
                      </c:pt>
                      <c:pt idx="98">
                        <c:v>-101.49847678317107</c:v>
                      </c:pt>
                      <c:pt idx="99">
                        <c:v>-118.68452196951095</c:v>
                      </c:pt>
                      <c:pt idx="100">
                        <c:v>-134.00129650041194</c:v>
                      </c:pt>
                      <c:pt idx="101">
                        <c:v>-147.45298597323941</c:v>
                      </c:pt>
                      <c:pt idx="102">
                        <c:v>-159.06851501824127</c:v>
                      </c:pt>
                      <c:pt idx="103">
                        <c:v>-168.89791590225209</c:v>
                      </c:pt>
                      <c:pt idx="104">
                        <c:v>-177.00879931227584</c:v>
                      </c:pt>
                      <c:pt idx="105">
                        <c:v>-183.48299486565685</c:v>
                      </c:pt>
                      <c:pt idx="106">
                        <c:v>-188.41341173377171</c:v>
                      </c:pt>
                      <c:pt idx="107">
                        <c:v>-191.90115452579781</c:v>
                      </c:pt>
                      <c:pt idx="108">
                        <c:v>-194.05291636267432</c:v>
                      </c:pt>
                      <c:pt idx="109">
                        <c:v>-194.97865988134416</c:v>
                      </c:pt>
                      <c:pt idx="110">
                        <c:v>-194.78958767173594</c:v>
                      </c:pt>
                      <c:pt idx="111">
                        <c:v>-193.59639623563592</c:v>
                      </c:pt>
                      <c:pt idx="112">
                        <c:v>-191.50780180433586</c:v>
                      </c:pt>
                      <c:pt idx="113">
                        <c:v>-188.62932207734281</c:v>
                      </c:pt>
                      <c:pt idx="114">
                        <c:v>-185.06229495626229</c:v>
                      </c:pt>
                      <c:pt idx="115">
                        <c:v>-180.90311345620643</c:v>
                      </c:pt>
                      <c:pt idx="116">
                        <c:v>-176.24265499966526</c:v>
                      </c:pt>
                      <c:pt idx="117">
                        <c:v>-171.16588306528052</c:v>
                      </c:pt>
                      <c:pt idx="118">
                        <c:v>-165.75159952240267</c:v>
                      </c:pt>
                      <c:pt idx="119">
                        <c:v>-160.07232679480458</c:v>
                      </c:pt>
                      <c:pt idx="120">
                        <c:v>-154.19430014414286</c:v>
                      </c:pt>
                      <c:pt idx="121">
                        <c:v>-148.17755174360428</c:v>
                      </c:pt>
                      <c:pt idx="122">
                        <c:v>-142.07606973906297</c:v>
                      </c:pt>
                      <c:pt idx="123">
                        <c:v>-135.93801709857951</c:v>
                      </c:pt>
                      <c:pt idx="124">
                        <c:v>-129.805996674574</c:v>
                      </c:pt>
                      <c:pt idx="125">
                        <c:v>-123.71735050211919</c:v>
                      </c:pt>
                      <c:pt idx="126">
                        <c:v>-117.7044828978094</c:v>
                      </c:pt>
                      <c:pt idx="127">
                        <c:v>-111.79519838194943</c:v>
                      </c:pt>
                      <c:pt idx="128">
                        <c:v>-106.01304680550231</c:v>
                      </c:pt>
                      <c:pt idx="129">
                        <c:v>-100.37766931175865</c:v>
                      </c:pt>
                      <c:pt idx="130">
                        <c:v>-94.905139895665002</c:v>
                      </c:pt>
                      <c:pt idx="131">
                        <c:v>-89.608298339897416</c:v>
                      </c:pt>
                      <c:pt idx="132">
                        <c:v>-84.497071207948906</c:v>
                      </c:pt>
                      <c:pt idx="133">
                        <c:v>-79.578778364986164</c:v>
                      </c:pt>
                      <c:pt idx="134">
                        <c:v>-74.858423183015844</c:v>
                      </c:pt>
                      <c:pt idx="135">
                        <c:v>-70.338965175100583</c:v>
                      </c:pt>
                      <c:pt idx="136">
                        <c:v>-66.021574301827854</c:v>
                      </c:pt>
                      <c:pt idx="137">
                        <c:v>-61.905866610181043</c:v>
                      </c:pt>
                      <c:pt idx="138">
                        <c:v>-57.990121208584931</c:v>
                      </c:pt>
                      <c:pt idx="139">
                        <c:v>-54.271478860359998</c:v>
                      </c:pt>
                      <c:pt idx="140">
                        <c:v>-50.746122698843493</c:v>
                      </c:pt>
                      <c:pt idx="141">
                        <c:v>-47.409441738390804</c:v>
                      </c:pt>
                      <c:pt idx="142">
                        <c:v>-44.256177983195741</c:v>
                      </c:pt>
                      <c:pt idx="143">
                        <c:v>-41.280558026635525</c:v>
                      </c:pt>
                      <c:pt idx="144">
                        <c:v>-38.476410093367591</c:v>
                      </c:pt>
                      <c:pt idx="145">
                        <c:v>-35.837267509844303</c:v>
                      </c:pt>
                      <c:pt idx="146">
                        <c:v>-33.356459600797265</c:v>
                      </c:pt>
                      <c:pt idx="147">
                        <c:v>-31.027191003674005</c:v>
                      </c:pt>
                      <c:pt idx="148">
                        <c:v>-28.842610373472397</c:v>
                      </c:pt>
                      <c:pt idx="149">
                        <c:v>-26.795869420008792</c:v>
                      </c:pt>
                      <c:pt idx="150">
                        <c:v>-24.880173181000682</c:v>
                      </c:pt>
                      <c:pt idx="151">
                        <c:v>-23.088822389688033</c:v>
                      </c:pt>
                      <c:pt idx="152">
                        <c:v>-21.415248746943398</c:v>
                      </c:pt>
                      <c:pt idx="153">
                        <c:v>-19.853043856526515</c:v>
                      </c:pt>
                      <c:pt idx="154">
                        <c:v>-18.395982529598971</c:v>
                      </c:pt>
                      <c:pt idx="155">
                        <c:v>-17.038041111911863</c:v>
                      </c:pt>
                      <c:pt idx="156">
                        <c:v>-15.773411435031907</c:v>
                      </c:pt>
                      <c:pt idx="157">
                        <c:v>-14.596510942269758</c:v>
                      </c:pt>
                      <c:pt idx="158">
                        <c:v>-13.501989491102597</c:v>
                      </c:pt>
                      <c:pt idx="159">
                        <c:v>-12.484733287225488</c:v>
                      </c:pt>
                      <c:pt idx="160">
                        <c:v>-11.539866361187073</c:v>
                      </c:pt>
                      <c:pt idx="161">
                        <c:v>-10.662749957029003</c:v>
                      </c:pt>
                      <c:pt idx="162">
                        <c:v>-9.8489801635500296</c:v>
                      </c:pt>
                      <c:pt idx="163">
                        <c:v>-9.0943840827933702</c:v>
                      </c:pt>
                      <c:pt idx="164">
                        <c:v>-8.395014797081334</c:v>
                      </c:pt>
                      <c:pt idx="165">
                        <c:v>-7.7471453653470768</c:v>
                      </c:pt>
                      <c:pt idx="166">
                        <c:v>-7.1472620515462664</c:v>
                      </c:pt>
                      <c:pt idx="167">
                        <c:v>-6.5920569624662964</c:v>
                      </c:pt>
                      <c:pt idx="168">
                        <c:v>-6.0784202491611774</c:v>
                      </c:pt>
                      <c:pt idx="169">
                        <c:v>-5.6034320053900046</c:v>
                      </c:pt>
                      <c:pt idx="170">
                        <c:v>-5.1643539776841347</c:v>
                      </c:pt>
                      <c:pt idx="171">
                        <c:v>-4.7586211848710604</c:v>
                      </c:pt>
                      <c:pt idx="172">
                        <c:v>-4.3838335298913149</c:v>
                      </c:pt>
                      <c:pt idx="173">
                        <c:v>-4.0377474734234671</c:v>
                      </c:pt>
                      <c:pt idx="174">
                        <c:v>-3.7182678270369092</c:v>
                      </c:pt>
                      <c:pt idx="175">
                        <c:v>-3.4234397131939405</c:v>
                      </c:pt>
                      <c:pt idx="176">
                        <c:v>-3.1514407302945799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00-4C28-951D-B4BE550B5B7A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LNorm'!$L$7</c15:sqref>
                        </c15:formulaRef>
                      </c:ext>
                    </c:extLst>
                    <c:strCache>
                      <c:ptCount val="1"/>
                      <c:pt idx="0">
                        <c:v>Colonna4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C00-4C28-951D-B4BE550B5B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LNorm'!$AI$7</c15:sqref>
                        </c15:formulaRef>
                      </c:ext>
                    </c:extLst>
                    <c:strCache>
                      <c:ptCount val="1"/>
                      <c:pt idx="0">
                        <c:v>Lombardy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LNorm'!$AI$8:$AI$184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0</c:v>
                      </c:pt>
                      <c:pt idx="57" formatCode="General">
                        <c:v>0</c:v>
                      </c:pt>
                      <c:pt idx="58" formatCode="General">
                        <c:v>0</c:v>
                      </c:pt>
                      <c:pt idx="59" formatCode="General">
                        <c:v>0</c:v>
                      </c:pt>
                      <c:pt idx="60" formatCode="General">
                        <c:v>0</c:v>
                      </c:pt>
                      <c:pt idx="61" formatCode="General">
                        <c:v>0</c:v>
                      </c:pt>
                      <c:pt idx="62" formatCode="General">
                        <c:v>0</c:v>
                      </c:pt>
                      <c:pt idx="63" formatCode="General">
                        <c:v>0</c:v>
                      </c:pt>
                      <c:pt idx="64" formatCode="General">
                        <c:v>0</c:v>
                      </c:pt>
                      <c:pt idx="65" formatCode="General">
                        <c:v>0</c:v>
                      </c:pt>
                      <c:pt idx="66" formatCode="General">
                        <c:v>0</c:v>
                      </c:pt>
                      <c:pt idx="67" formatCode="General">
                        <c:v>0</c:v>
                      </c:pt>
                      <c:pt idx="68" formatCode="General">
                        <c:v>0</c:v>
                      </c:pt>
                      <c:pt idx="69" formatCode="General">
                        <c:v>0</c:v>
                      </c:pt>
                      <c:pt idx="70" formatCode="General">
                        <c:v>0</c:v>
                      </c:pt>
                      <c:pt idx="71" formatCode="General">
                        <c:v>0</c:v>
                      </c:pt>
                      <c:pt idx="72" formatCode="General">
                        <c:v>0</c:v>
                      </c:pt>
                      <c:pt idx="73" formatCode="General">
                        <c:v>0</c:v>
                      </c:pt>
                      <c:pt idx="74" formatCode="General">
                        <c:v>0</c:v>
                      </c:pt>
                      <c:pt idx="75" formatCode="General">
                        <c:v>0</c:v>
                      </c:pt>
                      <c:pt idx="76" formatCode="General">
                        <c:v>0</c:v>
                      </c:pt>
                      <c:pt idx="77" formatCode="General">
                        <c:v>0</c:v>
                      </c:pt>
                      <c:pt idx="78" formatCode="General">
                        <c:v>0</c:v>
                      </c:pt>
                      <c:pt idx="79" formatCode="General">
                        <c:v>0</c:v>
                      </c:pt>
                      <c:pt idx="80" formatCode="General">
                        <c:v>0</c:v>
                      </c:pt>
                      <c:pt idx="81" formatCode="General">
                        <c:v>0</c:v>
                      </c:pt>
                      <c:pt idx="82" formatCode="General">
                        <c:v>0</c:v>
                      </c:pt>
                      <c:pt idx="83" formatCode="General">
                        <c:v>0</c:v>
                      </c:pt>
                      <c:pt idx="84" formatCode="General">
                        <c:v>0</c:v>
                      </c:pt>
                      <c:pt idx="85" formatCode="General">
                        <c:v>0</c:v>
                      </c:pt>
                      <c:pt idx="86" formatCode="General">
                        <c:v>0</c:v>
                      </c:pt>
                      <c:pt idx="87" formatCode="General">
                        <c:v>0</c:v>
                      </c:pt>
                      <c:pt idx="88" formatCode="General">
                        <c:v>0</c:v>
                      </c:pt>
                      <c:pt idx="89" formatCode="General">
                        <c:v>0</c:v>
                      </c:pt>
                      <c:pt idx="90" formatCode="General">
                        <c:v>0</c:v>
                      </c:pt>
                      <c:pt idx="91" formatCode="General">
                        <c:v>0</c:v>
                      </c:pt>
                      <c:pt idx="92" formatCode="General">
                        <c:v>0</c:v>
                      </c:pt>
                      <c:pt idx="93" formatCode="General">
                        <c:v>0</c:v>
                      </c:pt>
                      <c:pt idx="94" formatCode="General">
                        <c:v>0</c:v>
                      </c:pt>
                      <c:pt idx="95" formatCode="General">
                        <c:v>0</c:v>
                      </c:pt>
                      <c:pt idx="96" formatCode="General">
                        <c:v>0</c:v>
                      </c:pt>
                      <c:pt idx="97" formatCode="General">
                        <c:v>0</c:v>
                      </c:pt>
                      <c:pt idx="98" formatCode="General">
                        <c:v>0</c:v>
                      </c:pt>
                      <c:pt idx="99" formatCode="General">
                        <c:v>0</c:v>
                      </c:pt>
                      <c:pt idx="100" formatCode="General">
                        <c:v>0</c:v>
                      </c:pt>
                      <c:pt idx="101" formatCode="General">
                        <c:v>0</c:v>
                      </c:pt>
                      <c:pt idx="102" formatCode="General">
                        <c:v>0</c:v>
                      </c:pt>
                      <c:pt idx="103" formatCode="General">
                        <c:v>0</c:v>
                      </c:pt>
                      <c:pt idx="104" formatCode="General">
                        <c:v>0</c:v>
                      </c:pt>
                      <c:pt idx="105" formatCode="General">
                        <c:v>0</c:v>
                      </c:pt>
                      <c:pt idx="106" formatCode="General">
                        <c:v>0</c:v>
                      </c:pt>
                      <c:pt idx="107" formatCode="General">
                        <c:v>0</c:v>
                      </c:pt>
                      <c:pt idx="108" formatCode="General">
                        <c:v>0</c:v>
                      </c:pt>
                      <c:pt idx="109" formatCode="General">
                        <c:v>0</c:v>
                      </c:pt>
                      <c:pt idx="110" formatCode="General">
                        <c:v>0</c:v>
                      </c:pt>
                      <c:pt idx="111" formatCode="General">
                        <c:v>0</c:v>
                      </c:pt>
                      <c:pt idx="112" formatCode="General">
                        <c:v>0</c:v>
                      </c:pt>
                      <c:pt idx="113" formatCode="General">
                        <c:v>0</c:v>
                      </c:pt>
                      <c:pt idx="114" formatCode="General">
                        <c:v>0</c:v>
                      </c:pt>
                      <c:pt idx="115" formatCode="General">
                        <c:v>0</c:v>
                      </c:pt>
                      <c:pt idx="116" formatCode="General">
                        <c:v>0</c:v>
                      </c:pt>
                      <c:pt idx="117" formatCode="General">
                        <c:v>0</c:v>
                      </c:pt>
                      <c:pt idx="118" formatCode="General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C00-4C28-951D-B4BE550B5B7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LNorm'!$AW$7</c15:sqref>
                        </c15:formulaRef>
                      </c:ext>
                    </c:extLst>
                    <c:strCache>
                      <c:ptCount val="1"/>
                      <c:pt idx="0">
                        <c:v>Lombardy acc. fit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LNorm'!$AW$8:$AW$184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1.6740471067881895E-3</c:v>
                      </c:pt>
                      <c:pt idx="40">
                        <c:v>7.3906161641102428E-3</c:v>
                      </c:pt>
                      <c:pt idx="41">
                        <c:v>2.5812516595785134E-2</c:v>
                      </c:pt>
                      <c:pt idx="42">
                        <c:v>7.4895805899814663E-2</c:v>
                      </c:pt>
                      <c:pt idx="43">
                        <c:v>0.1871090285506507</c:v>
                      </c:pt>
                      <c:pt idx="44">
                        <c:v>0.413428382823192</c:v>
                      </c:pt>
                      <c:pt idx="45">
                        <c:v>0.82474121383413956</c:v>
                      </c:pt>
                      <c:pt idx="46">
                        <c:v>1.5095127957912009</c:v>
                      </c:pt>
                      <c:pt idx="47">
                        <c:v>2.5674889867270139</c:v>
                      </c:pt>
                      <c:pt idx="48">
                        <c:v>4.1001814313513281</c:v>
                      </c:pt>
                      <c:pt idx="49">
                        <c:v>6.1996013340029643</c:v>
                      </c:pt>
                      <c:pt idx="50">
                        <c:v>8.9370124839382257</c:v>
                      </c:pt>
                      <c:pt idx="51">
                        <c:v>12.353364167517679</c:v>
                      </c:pt>
                      <c:pt idx="52">
                        <c:v>16.452649411897646</c:v>
                      </c:pt>
                      <c:pt idx="53">
                        <c:v>21.198866718914537</c:v>
                      </c:pt>
                      <c:pt idx="54">
                        <c:v>26.516687225262309</c:v>
                      </c:pt>
                      <c:pt idx="55">
                        <c:v>32.295447287359494</c:v>
                      </c:pt>
                      <c:pt idx="56">
                        <c:v>38.395753613130509</c:v>
                      </c:pt>
                      <c:pt idx="57">
                        <c:v>44.657816444615015</c:v>
                      </c:pt>
                      <c:pt idx="58">
                        <c:v>50.91059814721217</c:v>
                      </c:pt>
                      <c:pt idx="59">
                        <c:v>56.980945713333803</c:v>
                      </c:pt>
                      <c:pt idx="60">
                        <c:v>62.702026914326709</c:v>
                      </c:pt>
                      <c:pt idx="61">
                        <c:v>67.920574651300242</c:v>
                      </c:pt>
                      <c:pt idx="62">
                        <c:v>72.502633047918863</c:v>
                      </c:pt>
                      <c:pt idx="63">
                        <c:v>76.337671212250299</c:v>
                      </c:pt>
                      <c:pt idx="64">
                        <c:v>79.341073915082191</c:v>
                      </c:pt>
                      <c:pt idx="65">
                        <c:v>81.455127216322992</c:v>
                      </c:pt>
                      <c:pt idx="66">
                        <c:v>82.648691069935524</c:v>
                      </c:pt>
                      <c:pt idx="67">
                        <c:v>82.915793368882433</c:v>
                      </c:pt>
                      <c:pt idx="68">
                        <c:v>82.273395921496956</c:v>
                      </c:pt>
                      <c:pt idx="69">
                        <c:v>80.758578415298345</c:v>
                      </c:pt>
                      <c:pt idx="70">
                        <c:v>78.425367396800439</c:v>
                      </c:pt>
                      <c:pt idx="71">
                        <c:v>75.341408964180644</c:v>
                      </c:pt>
                      <c:pt idx="72">
                        <c:v>71.584650660600403</c:v>
                      </c:pt>
                      <c:pt idx="73">
                        <c:v>67.240163440892744</c:v>
                      </c:pt>
                      <c:pt idx="74">
                        <c:v>62.397201106535142</c:v>
                      </c:pt>
                      <c:pt idx="75">
                        <c:v>57.146563978544599</c:v>
                      </c:pt>
                      <c:pt idx="76">
                        <c:v>51.578306828231305</c:v>
                      </c:pt>
                      <c:pt idx="77">
                        <c:v>45.779808688402092</c:v>
                      </c:pt>
                      <c:pt idx="78">
                        <c:v>39.834204192229926</c:v>
                      </c:pt>
                      <c:pt idx="79">
                        <c:v>33.819162319102674</c:v>
                      </c:pt>
                      <c:pt idx="80">
                        <c:v>27.805988470199658</c:v>
                      </c:pt>
                      <c:pt idx="81">
                        <c:v>21.859019154803104</c:v>
                      </c:pt>
                      <c:pt idx="82">
                        <c:v>16.035274705755985</c:v>
                      </c:pt>
                      <c:pt idx="83">
                        <c:v>10.384333827829417</c:v>
                      </c:pt>
                      <c:pt idx="84">
                        <c:v>4.9483939186029984</c:v>
                      </c:pt>
                      <c:pt idx="85">
                        <c:v>-0.23751745843241842</c:v>
                      </c:pt>
                      <c:pt idx="86">
                        <c:v>-5.1452122105212963</c:v>
                      </c:pt>
                      <c:pt idx="87">
                        <c:v>-9.7529217709528435</c:v>
                      </c:pt>
                      <c:pt idx="88">
                        <c:v>-14.044813596877981</c:v>
                      </c:pt>
                      <c:pt idx="89">
                        <c:v>-18.010466723107886</c:v>
                      </c:pt>
                      <c:pt idx="90">
                        <c:v>-21.644325606604944</c:v>
                      </c:pt>
                      <c:pt idx="91">
                        <c:v>-24.945148263272305</c:v>
                      </c:pt>
                      <c:pt idx="92">
                        <c:v>-27.915461689443593</c:v>
                      </c:pt>
                      <c:pt idx="93">
                        <c:v>-30.561034824189441</c:v>
                      </c:pt>
                      <c:pt idx="94">
                        <c:v>-32.890376871160946</c:v>
                      </c:pt>
                      <c:pt idx="95">
                        <c:v>-34.914266668341909</c:v>
                      </c:pt>
                      <c:pt idx="96">
                        <c:v>-36.645316965780012</c:v>
                      </c:pt>
                      <c:pt idx="97">
                        <c:v>-38.097575930760819</c:v>
                      </c:pt>
                      <c:pt idx="98">
                        <c:v>-39.286166926325279</c:v>
                      </c:pt>
                      <c:pt idx="99">
                        <c:v>-40.226966578142893</c:v>
                      </c:pt>
                      <c:pt idx="100">
                        <c:v>-40.936320330259704</c:v>
                      </c:pt>
                      <c:pt idx="101">
                        <c:v>-41.430794065487923</c:v>
                      </c:pt>
                      <c:pt idx="102">
                        <c:v>-41.726959905161195</c:v>
                      </c:pt>
                      <c:pt idx="103">
                        <c:v>-41.841213980991569</c:v>
                      </c:pt>
                      <c:pt idx="104">
                        <c:v>-41.7896237660187</c:v>
                      </c:pt>
                      <c:pt idx="105">
                        <c:v>-41.587802441452652</c:v>
                      </c:pt>
                      <c:pt idx="106">
                        <c:v>-41.250807743118685</c:v>
                      </c:pt>
                      <c:pt idx="107">
                        <c:v>-40.793062759024679</c:v>
                      </c:pt>
                      <c:pt idx="108">
                        <c:v>-40.228296224249831</c:v>
                      </c:pt>
                      <c:pt idx="109">
                        <c:v>-39.569499968936469</c:v>
                      </c:pt>
                      <c:pt idx="110">
                        <c:v>-38.828901309557644</c:v>
                      </c:pt>
                      <c:pt idx="111">
                        <c:v>-38.017948324466445</c:v>
                      </c:pt>
                      <c:pt idx="112">
                        <c:v>-37.147306115152809</c:v>
                      </c:pt>
                      <c:pt idx="113">
                        <c:v>-36.226862319130966</c:v>
                      </c:pt>
                      <c:pt idx="114">
                        <c:v>-35.265740304606901</c:v>
                      </c:pt>
                      <c:pt idx="115">
                        <c:v>-34.272318637670665</c:v>
                      </c:pt>
                      <c:pt idx="116">
                        <c:v>-33.254255567219786</c:v>
                      </c:pt>
                      <c:pt idx="117">
                        <c:v>-32.218517419327846</c:v>
                      </c:pt>
                      <c:pt idx="118">
                        <c:v>-31.171409930109657</c:v>
                      </c:pt>
                      <c:pt idx="119">
                        <c:v>-30.118611673543604</c:v>
                      </c:pt>
                      <c:pt idx="120">
                        <c:v>-29.065208857820355</c:v>
                      </c:pt>
                      <c:pt idx="121">
                        <c:v>-28.015730870524134</c:v>
                      </c:pt>
                      <c:pt idx="122">
                        <c:v>-26.974186049477773</c:v>
                      </c:pt>
                      <c:pt idx="123">
                        <c:v>-25.944097242721867</c:v>
                      </c:pt>
                      <c:pt idx="124">
                        <c:v>-24.928536798321485</c:v>
                      </c:pt>
                      <c:pt idx="125">
                        <c:v>-23.930160693036999</c:v>
                      </c:pt>
                      <c:pt idx="126">
                        <c:v>-22.951241568968133</c:v>
                      </c:pt>
                      <c:pt idx="127">
                        <c:v>-21.993700499707469</c:v>
                      </c:pt>
                      <c:pt idx="128">
                        <c:v>-21.059137352968424</c:v>
                      </c:pt>
                      <c:pt idx="129">
                        <c:v>-20.148859655713835</c:v>
                      </c:pt>
                      <c:pt idx="130">
                        <c:v>-19.263909901126588</c:v>
                      </c:pt>
                      <c:pt idx="131">
                        <c:v>-18.40509126492115</c:v>
                      </c:pt>
                      <c:pt idx="132">
                        <c:v>-17.572991722059733</c:v>
                      </c:pt>
                      <c:pt idx="133">
                        <c:v>-16.768006574426934</c:v>
                      </c:pt>
                      <c:pt idx="134">
                        <c:v>-15.990359415924694</c:v>
                      </c:pt>
                      <c:pt idx="135">
                        <c:v>-15.240121574217195</c:v>
                      </c:pt>
                      <c:pt idx="136">
                        <c:v>-14.517230078392585</c:v>
                      </c:pt>
                      <c:pt idx="137">
                        <c:v>-13.82150420948942</c:v>
                      </c:pt>
                      <c:pt idx="138">
                        <c:v>-13.152660696485565</c:v>
                      </c:pt>
                      <c:pt idx="139">
                        <c:v>-12.510327624274115</c:v>
                      </c:pt>
                      <c:pt idx="140">
                        <c:v>-11.89405712261615</c:v>
                      </c:pt>
                      <c:pt idx="141">
                        <c:v>-11.303336906300101</c:v>
                      </c:pt>
                      <c:pt idx="142">
                        <c:v>-10.737600736961605</c:v>
                      </c:pt>
                      <c:pt idx="143">
                        <c:v>-10.196237876409175</c:v>
                      </c:pt>
                      <c:pt idx="144">
                        <c:v>-9.6786016000166608</c:v>
                      </c:pt>
                      <c:pt idx="145">
                        <c:v>-9.1840168369236554</c:v>
                      </c:pt>
                      <c:pt idx="146">
                        <c:v>-8.7117870015480143</c:v>
                      </c:pt>
                      <c:pt idx="147">
                        <c:v>-8.2612000783621458</c:v>
                      </c:pt>
                      <c:pt idx="148">
                        <c:v>-7.8315340191043958</c:v>
                      </c:pt>
                      <c:pt idx="149">
                        <c:v>-7.422061508663786</c:v>
                      </c:pt>
                      <c:pt idx="150">
                        <c:v>-7.032054152847282</c:v>
                      </c:pt>
                      <c:pt idx="151">
                        <c:v>-6.6607861381723907</c:v>
                      </c:pt>
                      <c:pt idx="152">
                        <c:v>-6.3075374107600348</c:v>
                      </c:pt>
                      <c:pt idx="153">
                        <c:v>-5.9715964183716927</c:v>
                      </c:pt>
                      <c:pt idx="154">
                        <c:v>-5.6522624566664277</c:v>
                      </c:pt>
                      <c:pt idx="155">
                        <c:v>-5.3488476578705031</c:v>
                      </c:pt>
                      <c:pt idx="156">
                        <c:v>-5.0606786572708176</c:v>
                      </c:pt>
                      <c:pt idx="157">
                        <c:v>-4.7870979702756422</c:v>
                      </c:pt>
                      <c:pt idx="158">
                        <c:v>-4.5274651102420895</c:v>
                      </c:pt>
                      <c:pt idx="159">
                        <c:v>-4.2811574748531438</c:v>
                      </c:pt>
                      <c:pt idx="160">
                        <c:v>-4.0475710265428066</c:v>
                      </c:pt>
                      <c:pt idx="161">
                        <c:v>-3.8261207903171881</c:v>
                      </c:pt>
                      <c:pt idx="162">
                        <c:v>-3.6162411902989624</c:v>
                      </c:pt>
                      <c:pt idx="163">
                        <c:v>-3.4173862444345571</c:v>
                      </c:pt>
                      <c:pt idx="164">
                        <c:v>-3.2290296350408356</c:v>
                      </c:pt>
                      <c:pt idx="165">
                        <c:v>-3.0506646712296752</c:v>
                      </c:pt>
                      <c:pt idx="166">
                        <c:v>-2.8818041577284772</c:v>
                      </c:pt>
                      <c:pt idx="167">
                        <c:v>-2.7219801832077586</c:v>
                      </c:pt>
                      <c:pt idx="168">
                        <c:v>-2.5707438399288631</c:v>
                      </c:pt>
                      <c:pt idx="169">
                        <c:v>-2.4276648853277516</c:v>
                      </c:pt>
                      <c:pt idx="170">
                        <c:v>-2.2923313550527409</c:v>
                      </c:pt>
                      <c:pt idx="171">
                        <c:v>-2.1643491359646867</c:v>
                      </c:pt>
                      <c:pt idx="172">
                        <c:v>-2.0433415066861755</c:v>
                      </c:pt>
                      <c:pt idx="173">
                        <c:v>-1.9289486524430557</c:v>
                      </c:pt>
                      <c:pt idx="174">
                        <c:v>-1.8208271601732986</c:v>
                      </c:pt>
                      <c:pt idx="175">
                        <c:v>-1.7186494991794115</c:v>
                      </c:pt>
                      <c:pt idx="176">
                        <c:v>-1.6221034919655621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C00-4C28-951D-B4BE550B5B7A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case</a:t>
                </a:r>
                <a:r>
                  <a:rPr lang="it-IT"/>
                  <a:t>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- rate of new cases per day (acceleration) - Lognormal fit</a:t>
            </a:r>
          </a:p>
          <a:p>
            <a:pPr>
              <a:defRPr/>
            </a:pPr>
            <a:r>
              <a:rPr lang="it-IT">
                <a:solidFill>
                  <a:srgbClr val="FF0000"/>
                </a:solidFill>
              </a:rPr>
              <a:t>Lombardy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'New_cases_rates - LNorm'!$AI$7</c:f>
              <c:strCache>
                <c:ptCount val="1"/>
                <c:pt idx="0">
                  <c:v>Lombardy acc.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LNorm'!$AI$8:$AI$184</c:f>
              <c:numCache>
                <c:formatCode>0</c:formatCode>
                <c:ptCount val="177"/>
                <c:pt idx="56" formatCode="General">
                  <c:v>0</c:v>
                </c:pt>
                <c:pt idx="57" formatCode="General">
                  <c:v>0</c:v>
                </c:pt>
                <c:pt idx="58" formatCode="General">
                  <c:v>0</c:v>
                </c:pt>
                <c:pt idx="59" formatCode="General">
                  <c:v>0</c:v>
                </c:pt>
                <c:pt idx="60" formatCode="General">
                  <c:v>0</c:v>
                </c:pt>
                <c:pt idx="61" formatCode="General">
                  <c:v>0</c:v>
                </c:pt>
                <c:pt idx="62" formatCode="General">
                  <c:v>0</c:v>
                </c:pt>
                <c:pt idx="63" formatCode="General">
                  <c:v>0</c:v>
                </c:pt>
                <c:pt idx="64" formatCode="General">
                  <c:v>0</c:v>
                </c:pt>
                <c:pt idx="65" formatCode="General">
                  <c:v>0</c:v>
                </c:pt>
                <c:pt idx="66" formatCode="General">
                  <c:v>0</c:v>
                </c:pt>
                <c:pt idx="67" formatCode="General">
                  <c:v>0</c:v>
                </c:pt>
                <c:pt idx="68" formatCode="General">
                  <c:v>0</c:v>
                </c:pt>
                <c:pt idx="69" formatCode="General">
                  <c:v>0</c:v>
                </c:pt>
                <c:pt idx="70" formatCode="General">
                  <c:v>0</c:v>
                </c:pt>
                <c:pt idx="71" formatCode="General">
                  <c:v>0</c:v>
                </c:pt>
                <c:pt idx="72" formatCode="General">
                  <c:v>0</c:v>
                </c:pt>
                <c:pt idx="73" formatCode="General">
                  <c:v>0</c:v>
                </c:pt>
                <c:pt idx="74" formatCode="General">
                  <c:v>0</c:v>
                </c:pt>
                <c:pt idx="75" formatCode="General">
                  <c:v>0</c:v>
                </c:pt>
                <c:pt idx="76" formatCode="General">
                  <c:v>0</c:v>
                </c:pt>
                <c:pt idx="77" formatCode="General">
                  <c:v>0</c:v>
                </c:pt>
                <c:pt idx="78" formatCode="General">
                  <c:v>0</c:v>
                </c:pt>
                <c:pt idx="79" formatCode="General">
                  <c:v>0</c:v>
                </c:pt>
                <c:pt idx="80" formatCode="General">
                  <c:v>0</c:v>
                </c:pt>
                <c:pt idx="81" formatCode="General">
                  <c:v>0</c:v>
                </c:pt>
                <c:pt idx="82" formatCode="General">
                  <c:v>0</c:v>
                </c:pt>
                <c:pt idx="83" formatCode="General">
                  <c:v>0</c:v>
                </c:pt>
                <c:pt idx="84" formatCode="General">
                  <c:v>0</c:v>
                </c:pt>
                <c:pt idx="85" formatCode="General">
                  <c:v>0</c:v>
                </c:pt>
                <c:pt idx="86" formatCode="General">
                  <c:v>0</c:v>
                </c:pt>
                <c:pt idx="87" formatCode="General">
                  <c:v>0</c:v>
                </c:pt>
                <c:pt idx="88" formatCode="General">
                  <c:v>0</c:v>
                </c:pt>
                <c:pt idx="89" formatCode="General">
                  <c:v>0</c:v>
                </c:pt>
                <c:pt idx="90" formatCode="General">
                  <c:v>0</c:v>
                </c:pt>
                <c:pt idx="91" formatCode="General">
                  <c:v>0</c:v>
                </c:pt>
                <c:pt idx="92" formatCode="General">
                  <c:v>0</c:v>
                </c:pt>
                <c:pt idx="93" formatCode="General">
                  <c:v>0</c:v>
                </c:pt>
                <c:pt idx="94" formatCode="General">
                  <c:v>0</c:v>
                </c:pt>
                <c:pt idx="95" formatCode="General">
                  <c:v>0</c:v>
                </c:pt>
                <c:pt idx="96" formatCode="General">
                  <c:v>0</c:v>
                </c:pt>
                <c:pt idx="97" formatCode="General">
                  <c:v>0</c:v>
                </c:pt>
                <c:pt idx="98" formatCode="General">
                  <c:v>0</c:v>
                </c:pt>
                <c:pt idx="99" formatCode="General">
                  <c:v>0</c:v>
                </c:pt>
                <c:pt idx="100" formatCode="General">
                  <c:v>0</c:v>
                </c:pt>
                <c:pt idx="101" formatCode="General">
                  <c:v>0</c:v>
                </c:pt>
                <c:pt idx="102" formatCode="General">
                  <c:v>0</c:v>
                </c:pt>
                <c:pt idx="103" formatCode="General">
                  <c:v>0</c:v>
                </c:pt>
                <c:pt idx="104" formatCode="General">
                  <c:v>0</c:v>
                </c:pt>
                <c:pt idx="105" formatCode="General">
                  <c:v>0</c:v>
                </c:pt>
                <c:pt idx="106" formatCode="General">
                  <c:v>0</c:v>
                </c:pt>
                <c:pt idx="107" formatCode="General">
                  <c:v>0</c:v>
                </c:pt>
                <c:pt idx="108" formatCode="General">
                  <c:v>0</c:v>
                </c:pt>
                <c:pt idx="109" formatCode="General">
                  <c:v>0</c:v>
                </c:pt>
                <c:pt idx="110" formatCode="General">
                  <c:v>0</c:v>
                </c:pt>
                <c:pt idx="111" formatCode="General">
                  <c:v>0</c:v>
                </c:pt>
                <c:pt idx="112" formatCode="General">
                  <c:v>0</c:v>
                </c:pt>
                <c:pt idx="113" formatCode="General">
                  <c:v>0</c:v>
                </c:pt>
                <c:pt idx="114" formatCode="General">
                  <c:v>0</c:v>
                </c:pt>
                <c:pt idx="115" formatCode="General">
                  <c:v>0</c:v>
                </c:pt>
                <c:pt idx="116" formatCode="General">
                  <c:v>0</c:v>
                </c:pt>
                <c:pt idx="117" formatCode="General">
                  <c:v>0</c:v>
                </c:pt>
                <c:pt idx="118" formatCode="General">
                  <c:v>0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E0A0-4A36-B1E8-B5700649E747}"/>
            </c:ext>
          </c:extLst>
        </c:ser>
        <c:ser>
          <c:idx val="4"/>
          <c:order val="4"/>
          <c:tx>
            <c:strRef>
              <c:f>'New_cases_rates - LNorm'!$AW$7</c:f>
              <c:strCache>
                <c:ptCount val="1"/>
                <c:pt idx="0">
                  <c:v>Lombardy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'New_cases_rates - LNorm'!$AW$8:$AW$184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1.0357459388113259E-29</c:v>
                </c:pt>
                <c:pt idx="32">
                  <c:v>2.8814628352738055E-18</c:v>
                </c:pt>
                <c:pt idx="33">
                  <c:v>3.6604532127729472E-13</c:v>
                </c:pt>
                <c:pt idx="34">
                  <c:v>4.3676335556564761E-10</c:v>
                </c:pt>
                <c:pt idx="35">
                  <c:v>5.5925767239256224E-8</c:v>
                </c:pt>
                <c:pt idx="36">
                  <c:v>1.989643440667207E-6</c:v>
                </c:pt>
                <c:pt idx="37">
                  <c:v>3.1241245058196413E-5</c:v>
                </c:pt>
                <c:pt idx="38">
                  <c:v>2.7997160474704661E-4</c:v>
                </c:pt>
                <c:pt idx="39">
                  <c:v>1.6740471067881895E-3</c:v>
                </c:pt>
                <c:pt idx="40">
                  <c:v>7.3906161641102428E-3</c:v>
                </c:pt>
                <c:pt idx="41">
                  <c:v>2.5812516595785134E-2</c:v>
                </c:pt>
                <c:pt idx="42">
                  <c:v>7.4895805899814663E-2</c:v>
                </c:pt>
                <c:pt idx="43">
                  <c:v>0.1871090285506507</c:v>
                </c:pt>
                <c:pt idx="44">
                  <c:v>0.413428382823192</c:v>
                </c:pt>
                <c:pt idx="45">
                  <c:v>0.82474121383413956</c:v>
                </c:pt>
                <c:pt idx="46">
                  <c:v>1.5095127957912009</c:v>
                </c:pt>
                <c:pt idx="47">
                  <c:v>2.5674889867270139</c:v>
                </c:pt>
                <c:pt idx="48">
                  <c:v>4.1001814313513281</c:v>
                </c:pt>
                <c:pt idx="49">
                  <c:v>6.1996013340029643</c:v>
                </c:pt>
                <c:pt idx="50">
                  <c:v>8.9370124839382257</c:v>
                </c:pt>
                <c:pt idx="51">
                  <c:v>12.353364167517679</c:v>
                </c:pt>
                <c:pt idx="52">
                  <c:v>16.452649411897646</c:v>
                </c:pt>
                <c:pt idx="53">
                  <c:v>21.198866718914537</c:v>
                </c:pt>
                <c:pt idx="54">
                  <c:v>26.516687225262309</c:v>
                </c:pt>
                <c:pt idx="55">
                  <c:v>32.295447287359494</c:v>
                </c:pt>
                <c:pt idx="56">
                  <c:v>38.395753613130509</c:v>
                </c:pt>
                <c:pt idx="57">
                  <c:v>44.657816444615015</c:v>
                </c:pt>
                <c:pt idx="58">
                  <c:v>50.91059814721217</c:v>
                </c:pt>
                <c:pt idx="59">
                  <c:v>56.980945713333803</c:v>
                </c:pt>
                <c:pt idx="60">
                  <c:v>62.702026914326709</c:v>
                </c:pt>
                <c:pt idx="61">
                  <c:v>67.920574651300242</c:v>
                </c:pt>
                <c:pt idx="62">
                  <c:v>72.502633047918863</c:v>
                </c:pt>
                <c:pt idx="63">
                  <c:v>76.337671212250299</c:v>
                </c:pt>
                <c:pt idx="64">
                  <c:v>79.341073915082191</c:v>
                </c:pt>
                <c:pt idx="65">
                  <c:v>81.455127216322992</c:v>
                </c:pt>
                <c:pt idx="66">
                  <c:v>82.648691069935524</c:v>
                </c:pt>
                <c:pt idx="67">
                  <c:v>82.915793368882433</c:v>
                </c:pt>
                <c:pt idx="68">
                  <c:v>82.273395921496956</c:v>
                </c:pt>
                <c:pt idx="69">
                  <c:v>80.758578415298345</c:v>
                </c:pt>
                <c:pt idx="70">
                  <c:v>78.425367396800439</c:v>
                </c:pt>
                <c:pt idx="71">
                  <c:v>75.341408964180644</c:v>
                </c:pt>
                <c:pt idx="72">
                  <c:v>71.584650660600403</c:v>
                </c:pt>
                <c:pt idx="73">
                  <c:v>67.240163440892744</c:v>
                </c:pt>
                <c:pt idx="74">
                  <c:v>62.397201106535142</c:v>
                </c:pt>
                <c:pt idx="75">
                  <c:v>57.146563978544599</c:v>
                </c:pt>
                <c:pt idx="76">
                  <c:v>51.578306828231305</c:v>
                </c:pt>
                <c:pt idx="77">
                  <c:v>45.779808688402092</c:v>
                </c:pt>
                <c:pt idx="78">
                  <c:v>39.834204192229926</c:v>
                </c:pt>
                <c:pt idx="79">
                  <c:v>33.819162319102674</c:v>
                </c:pt>
                <c:pt idx="80">
                  <c:v>27.805988470199658</c:v>
                </c:pt>
                <c:pt idx="81">
                  <c:v>21.859019154803104</c:v>
                </c:pt>
                <c:pt idx="82">
                  <c:v>16.035274705755985</c:v>
                </c:pt>
                <c:pt idx="83">
                  <c:v>10.384333827829417</c:v>
                </c:pt>
                <c:pt idx="84">
                  <c:v>4.9483939186029984</c:v>
                </c:pt>
                <c:pt idx="85">
                  <c:v>-0.23751745843241842</c:v>
                </c:pt>
                <c:pt idx="86">
                  <c:v>-5.1452122105212963</c:v>
                </c:pt>
                <c:pt idx="87">
                  <c:v>-9.7529217709528435</c:v>
                </c:pt>
                <c:pt idx="88">
                  <c:v>-14.044813596877981</c:v>
                </c:pt>
                <c:pt idx="89">
                  <c:v>-18.010466723107886</c:v>
                </c:pt>
                <c:pt idx="90">
                  <c:v>-21.644325606604944</c:v>
                </c:pt>
                <c:pt idx="91">
                  <c:v>-24.945148263272305</c:v>
                </c:pt>
                <c:pt idx="92">
                  <c:v>-27.915461689443593</c:v>
                </c:pt>
                <c:pt idx="93">
                  <c:v>-30.561034824189441</c:v>
                </c:pt>
                <c:pt idx="94">
                  <c:v>-32.890376871160946</c:v>
                </c:pt>
                <c:pt idx="95">
                  <c:v>-34.914266668341909</c:v>
                </c:pt>
                <c:pt idx="96">
                  <c:v>-36.645316965780012</c:v>
                </c:pt>
                <c:pt idx="97">
                  <c:v>-38.097575930760819</c:v>
                </c:pt>
                <c:pt idx="98">
                  <c:v>-39.286166926325279</c:v>
                </c:pt>
                <c:pt idx="99">
                  <c:v>-40.226966578142893</c:v>
                </c:pt>
                <c:pt idx="100">
                  <c:v>-40.936320330259704</c:v>
                </c:pt>
                <c:pt idx="101">
                  <c:v>-41.430794065487923</c:v>
                </c:pt>
                <c:pt idx="102">
                  <c:v>-41.726959905161195</c:v>
                </c:pt>
                <c:pt idx="103">
                  <c:v>-41.841213980991569</c:v>
                </c:pt>
                <c:pt idx="104">
                  <c:v>-41.7896237660187</c:v>
                </c:pt>
                <c:pt idx="105">
                  <c:v>-41.587802441452652</c:v>
                </c:pt>
                <c:pt idx="106">
                  <c:v>-41.250807743118685</c:v>
                </c:pt>
                <c:pt idx="107">
                  <c:v>-40.793062759024679</c:v>
                </c:pt>
                <c:pt idx="108">
                  <c:v>-40.228296224249831</c:v>
                </c:pt>
                <c:pt idx="109">
                  <c:v>-39.569499968936469</c:v>
                </c:pt>
                <c:pt idx="110">
                  <c:v>-38.828901309557644</c:v>
                </c:pt>
                <c:pt idx="111">
                  <c:v>-38.017948324466445</c:v>
                </c:pt>
                <c:pt idx="112">
                  <c:v>-37.147306115152809</c:v>
                </c:pt>
                <c:pt idx="113">
                  <c:v>-36.226862319130966</c:v>
                </c:pt>
                <c:pt idx="114">
                  <c:v>-35.265740304606901</c:v>
                </c:pt>
                <c:pt idx="115">
                  <c:v>-34.272318637670665</c:v>
                </c:pt>
                <c:pt idx="116">
                  <c:v>-33.254255567219786</c:v>
                </c:pt>
                <c:pt idx="117">
                  <c:v>-32.218517419327846</c:v>
                </c:pt>
                <c:pt idx="118">
                  <c:v>-31.171409930109657</c:v>
                </c:pt>
                <c:pt idx="119">
                  <c:v>-30.118611673543604</c:v>
                </c:pt>
                <c:pt idx="120">
                  <c:v>-29.065208857820355</c:v>
                </c:pt>
                <c:pt idx="121">
                  <c:v>-28.015730870524134</c:v>
                </c:pt>
                <c:pt idx="122">
                  <c:v>-26.974186049477773</c:v>
                </c:pt>
                <c:pt idx="123">
                  <c:v>-25.944097242721867</c:v>
                </c:pt>
                <c:pt idx="124">
                  <c:v>-24.928536798321485</c:v>
                </c:pt>
                <c:pt idx="125">
                  <c:v>-23.930160693036999</c:v>
                </c:pt>
                <c:pt idx="126">
                  <c:v>-22.951241568968133</c:v>
                </c:pt>
                <c:pt idx="127">
                  <c:v>-21.993700499707469</c:v>
                </c:pt>
                <c:pt idx="128">
                  <c:v>-21.059137352968424</c:v>
                </c:pt>
                <c:pt idx="129">
                  <c:v>-20.148859655713835</c:v>
                </c:pt>
                <c:pt idx="130">
                  <c:v>-19.263909901126588</c:v>
                </c:pt>
                <c:pt idx="131">
                  <c:v>-18.40509126492115</c:v>
                </c:pt>
                <c:pt idx="132">
                  <c:v>-17.572991722059733</c:v>
                </c:pt>
                <c:pt idx="133">
                  <c:v>-16.768006574426934</c:v>
                </c:pt>
                <c:pt idx="134">
                  <c:v>-15.990359415924694</c:v>
                </c:pt>
                <c:pt idx="135">
                  <c:v>-15.240121574217195</c:v>
                </c:pt>
                <c:pt idx="136">
                  <c:v>-14.517230078392585</c:v>
                </c:pt>
                <c:pt idx="137">
                  <c:v>-13.82150420948942</c:v>
                </c:pt>
                <c:pt idx="138">
                  <c:v>-13.152660696485565</c:v>
                </c:pt>
                <c:pt idx="139">
                  <c:v>-12.510327624274115</c:v>
                </c:pt>
                <c:pt idx="140">
                  <c:v>-11.89405712261615</c:v>
                </c:pt>
                <c:pt idx="141">
                  <c:v>-11.303336906300101</c:v>
                </c:pt>
                <c:pt idx="142">
                  <c:v>-10.737600736961605</c:v>
                </c:pt>
                <c:pt idx="143">
                  <c:v>-10.196237876409175</c:v>
                </c:pt>
                <c:pt idx="144">
                  <c:v>-9.6786016000166608</c:v>
                </c:pt>
                <c:pt idx="145">
                  <c:v>-9.1840168369236554</c:v>
                </c:pt>
                <c:pt idx="146">
                  <c:v>-8.7117870015480143</c:v>
                </c:pt>
                <c:pt idx="147">
                  <c:v>-8.2612000783621458</c:v>
                </c:pt>
                <c:pt idx="148">
                  <c:v>-7.8315340191043958</c:v>
                </c:pt>
                <c:pt idx="149">
                  <c:v>-7.422061508663786</c:v>
                </c:pt>
                <c:pt idx="150">
                  <c:v>-7.032054152847282</c:v>
                </c:pt>
                <c:pt idx="151">
                  <c:v>-6.6607861381723907</c:v>
                </c:pt>
                <c:pt idx="152">
                  <c:v>-6.3075374107600348</c:v>
                </c:pt>
                <c:pt idx="153">
                  <c:v>-5.9715964183716927</c:v>
                </c:pt>
                <c:pt idx="154">
                  <c:v>-5.6522624566664277</c:v>
                </c:pt>
                <c:pt idx="155">
                  <c:v>-5.3488476578705031</c:v>
                </c:pt>
                <c:pt idx="156">
                  <c:v>-5.0606786572708176</c:v>
                </c:pt>
                <c:pt idx="157">
                  <c:v>-4.7870979702756422</c:v>
                </c:pt>
                <c:pt idx="158">
                  <c:v>-4.5274651102420895</c:v>
                </c:pt>
                <c:pt idx="159">
                  <c:v>-4.2811574748531438</c:v>
                </c:pt>
                <c:pt idx="160">
                  <c:v>-4.0475710265428066</c:v>
                </c:pt>
                <c:pt idx="161">
                  <c:v>-3.8261207903171881</c:v>
                </c:pt>
                <c:pt idx="162">
                  <c:v>-3.6162411902989624</c:v>
                </c:pt>
                <c:pt idx="163">
                  <c:v>-3.4173862444345571</c:v>
                </c:pt>
                <c:pt idx="164">
                  <c:v>-3.2290296350408356</c:v>
                </c:pt>
                <c:pt idx="165">
                  <c:v>-3.0506646712296752</c:v>
                </c:pt>
                <c:pt idx="166">
                  <c:v>-2.8818041577284772</c:v>
                </c:pt>
                <c:pt idx="167">
                  <c:v>-2.7219801832077586</c:v>
                </c:pt>
                <c:pt idx="168">
                  <c:v>-2.5707438399288631</c:v>
                </c:pt>
                <c:pt idx="169">
                  <c:v>-2.4276648853277516</c:v>
                </c:pt>
                <c:pt idx="170">
                  <c:v>-2.2923313550527409</c:v>
                </c:pt>
                <c:pt idx="171">
                  <c:v>-2.1643491359646867</c:v>
                </c:pt>
                <c:pt idx="172">
                  <c:v>-2.0433415066861755</c:v>
                </c:pt>
                <c:pt idx="173">
                  <c:v>-1.9289486524430557</c:v>
                </c:pt>
                <c:pt idx="174">
                  <c:v>-1.8208271601732986</c:v>
                </c:pt>
                <c:pt idx="175">
                  <c:v>-1.7186494991794115</c:v>
                </c:pt>
                <c:pt idx="176">
                  <c:v>-1.6221034919655621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E0A0-4A36-B1E8-B5700649E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'New_cases_rates - LNorm'!$F$7</c15:sqref>
                        </c15:formulaRef>
                      </c:ext>
                    </c:extLst>
                    <c:strCache>
                      <c:ptCount val="1"/>
                      <c:pt idx="0">
                        <c:v>Spain cases acceleration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'New_cases_rates - LNorm'!$F$8:$F$184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-1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-1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4</c:v>
                      </c:pt>
                      <c:pt idx="56">
                        <c:v>3</c:v>
                      </c:pt>
                      <c:pt idx="57">
                        <c:v>-5</c:v>
                      </c:pt>
                      <c:pt idx="58">
                        <c:v>15</c:v>
                      </c:pt>
                      <c:pt idx="59">
                        <c:v>-4</c:v>
                      </c:pt>
                      <c:pt idx="60">
                        <c:v>26</c:v>
                      </c:pt>
                      <c:pt idx="61">
                        <c:v>-3</c:v>
                      </c:pt>
                      <c:pt idx="62">
                        <c:v>9</c:v>
                      </c:pt>
                      <c:pt idx="63">
                        <c:v>12</c:v>
                      </c:pt>
                      <c:pt idx="64">
                        <c:v>-20</c:v>
                      </c:pt>
                      <c:pt idx="65">
                        <c:v>104</c:v>
                      </c:pt>
                      <c:pt idx="66">
                        <c:v>-41</c:v>
                      </c:pt>
                      <c:pt idx="67">
                        <c:v>73</c:v>
                      </c:pt>
                      <c:pt idx="68">
                        <c:v>227</c:v>
                      </c:pt>
                      <c:pt idx="69">
                        <c:v>222</c:v>
                      </c:pt>
                      <c:pt idx="70">
                        <c:v>-40</c:v>
                      </c:pt>
                      <c:pt idx="71">
                        <c:v>-582</c:v>
                      </c:pt>
                      <c:pt idx="72">
                        <c:v>2955</c:v>
                      </c:pt>
                      <c:pt idx="73">
                        <c:v>-1796</c:v>
                      </c:pt>
                      <c:pt idx="74">
                        <c:v>248</c:v>
                      </c:pt>
                      <c:pt idx="75">
                        <c:v>737</c:v>
                      </c:pt>
                      <c:pt idx="76">
                        <c:v>-338</c:v>
                      </c:pt>
                      <c:pt idx="77">
                        <c:v>356</c:v>
                      </c:pt>
                      <c:pt idx="78">
                        <c:v>1891</c:v>
                      </c:pt>
                      <c:pt idx="79">
                        <c:v>-1606</c:v>
                      </c:pt>
                      <c:pt idx="80">
                        <c:v>2517</c:v>
                      </c:pt>
                      <c:pt idx="81">
                        <c:v>-1570</c:v>
                      </c:pt>
                      <c:pt idx="82">
                        <c:v>2974</c:v>
                      </c:pt>
                      <c:pt idx="83">
                        <c:v>-1619</c:v>
                      </c:pt>
                      <c:pt idx="84">
                        <c:v>4881</c:v>
                      </c:pt>
                      <c:pt idx="85">
                        <c:v>-1359</c:v>
                      </c:pt>
                      <c:pt idx="86">
                        <c:v>-338</c:v>
                      </c:pt>
                      <c:pt idx="87">
                        <c:v>-417</c:v>
                      </c:pt>
                      <c:pt idx="88">
                        <c:v>-641</c:v>
                      </c:pt>
                      <c:pt idx="89">
                        <c:v>971</c:v>
                      </c:pt>
                      <c:pt idx="90">
                        <c:v>121</c:v>
                      </c:pt>
                      <c:pt idx="91">
                        <c:v>228</c:v>
                      </c:pt>
                      <c:pt idx="92">
                        <c:v>-248</c:v>
                      </c:pt>
                      <c:pt idx="93">
                        <c:v>-813</c:v>
                      </c:pt>
                      <c:pt idx="94">
                        <c:v>-165</c:v>
                      </c:pt>
                      <c:pt idx="95">
                        <c:v>-1491</c:v>
                      </c:pt>
                      <c:pt idx="96">
                        <c:v>-449</c:v>
                      </c:pt>
                      <c:pt idx="97">
                        <c:v>238</c:v>
                      </c:pt>
                      <c:pt idx="98">
                        <c:v>1011</c:v>
                      </c:pt>
                      <c:pt idx="99">
                        <c:v>-1276</c:v>
                      </c:pt>
                      <c:pt idx="100">
                        <c:v>49</c:v>
                      </c:pt>
                      <c:pt idx="101">
                        <c:v>-297</c:v>
                      </c:pt>
                      <c:pt idx="102">
                        <c:v>-950</c:v>
                      </c:pt>
                      <c:pt idx="103">
                        <c:v>-536</c:v>
                      </c:pt>
                      <c:pt idx="104">
                        <c:v>-826</c:v>
                      </c:pt>
                      <c:pt idx="105">
                        <c:v>2661</c:v>
                      </c:pt>
                      <c:pt idx="106">
                        <c:v>2201</c:v>
                      </c:pt>
                      <c:pt idx="107">
                        <c:v>-1413</c:v>
                      </c:pt>
                      <c:pt idx="108">
                        <c:v>-5004</c:v>
                      </c:pt>
                      <c:pt idx="109">
                        <c:v>6061</c:v>
                      </c:pt>
                      <c:pt idx="110">
                        <c:v>-5412</c:v>
                      </c:pt>
                      <c:pt idx="111">
                        <c:v>2432</c:v>
                      </c:pt>
                      <c:pt idx="112">
                        <c:v>243</c:v>
                      </c:pt>
                      <c:pt idx="113">
                        <c:v>424</c:v>
                      </c:pt>
                      <c:pt idx="114">
                        <c:v>2105</c:v>
                      </c:pt>
                      <c:pt idx="115">
                        <c:v>-2745</c:v>
                      </c:pt>
                      <c:pt idx="116">
                        <c:v>-1125</c:v>
                      </c:pt>
                      <c:pt idx="117">
                        <c:v>-77</c:v>
                      </c:pt>
                      <c:pt idx="118">
                        <c:v>-87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0A0-4A36-B1E8-B5700649E747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LNorm'!$Z$7</c15:sqref>
                        </c15:formulaRef>
                      </c:ext>
                    </c:extLst>
                    <c:strCache>
                      <c:ptCount val="1"/>
                      <c:pt idx="0">
                        <c:v>Spain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LNorm'!$Z$8:$Z$184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7.4503380089378552E-56</c:v>
                      </c:pt>
                      <c:pt idx="35">
                        <c:v>4.5292417300274101E-34</c:v>
                      </c:pt>
                      <c:pt idx="36">
                        <c:v>7.2415045172868066E-25</c:v>
                      </c:pt>
                      <c:pt idx="37">
                        <c:v>2.1642631146378989E-19</c:v>
                      </c:pt>
                      <c:pt idx="38">
                        <c:v>1.1810810747246602E-15</c:v>
                      </c:pt>
                      <c:pt idx="39">
                        <c:v>6.6664926728960362E-13</c:v>
                      </c:pt>
                      <c:pt idx="40">
                        <c:v>8.9244967530409856E-11</c:v>
                      </c:pt>
                      <c:pt idx="41">
                        <c:v>4.4723923201564357E-9</c:v>
                      </c:pt>
                      <c:pt idx="42">
                        <c:v>1.1051103871561197E-7</c:v>
                      </c:pt>
                      <c:pt idx="43">
                        <c:v>1.6084928818651373E-6</c:v>
                      </c:pt>
                      <c:pt idx="44">
                        <c:v>1.5561400052519099E-5</c:v>
                      </c:pt>
                      <c:pt idx="45">
                        <c:v>1.0899076000851929E-4</c:v>
                      </c:pt>
                      <c:pt idx="46">
                        <c:v>5.88204487493784E-4</c:v>
                      </c:pt>
                      <c:pt idx="47">
                        <c:v>2.5631553067953384E-3</c:v>
                      </c:pt>
                      <c:pt idx="48">
                        <c:v>9.3476450663861899E-3</c:v>
                      </c:pt>
                      <c:pt idx="49">
                        <c:v>2.9341284099183466E-2</c:v>
                      </c:pt>
                      <c:pt idx="50">
                        <c:v>8.1053399850958718E-2</c:v>
                      </c:pt>
                      <c:pt idx="51">
                        <c:v>0.20061604174061276</c:v>
                      </c:pt>
                      <c:pt idx="52">
                        <c:v>0.45145522924006792</c:v>
                      </c:pt>
                      <c:pt idx="53">
                        <c:v>0.93488368647520215</c:v>
                      </c:pt>
                      <c:pt idx="54">
                        <c:v>1.7995257359846462</c:v>
                      </c:pt>
                      <c:pt idx="55">
                        <c:v>3.2470019211924361</c:v>
                      </c:pt>
                      <c:pt idx="56">
                        <c:v>5.5314094974139243</c:v>
                      </c:pt>
                      <c:pt idx="57">
                        <c:v>8.9508778616135434</c:v>
                      </c:pt>
                      <c:pt idx="58">
                        <c:v>13.83070805492571</c:v>
                      </c:pt>
                      <c:pt idx="59">
                        <c:v>20.49904309571583</c:v>
                      </c:pt>
                      <c:pt idx="60">
                        <c:v>29.257341695768723</c:v>
                      </c:pt>
                      <c:pt idx="61">
                        <c:v>40.348872219105154</c:v>
                      </c:pt>
                      <c:pt idx="62">
                        <c:v>53.928846179729177</c:v>
                      </c:pt>
                      <c:pt idx="63">
                        <c:v>70.039639602371665</c:v>
                      </c:pt>
                      <c:pt idx="64">
                        <c:v>88.593887876056144</c:v>
                      </c:pt>
                      <c:pt idx="65">
                        <c:v>109.3672425866547</c:v>
                      </c:pt>
                      <c:pt idx="66">
                        <c:v>132.00143528926111</c:v>
                      </c:pt>
                      <c:pt idx="67">
                        <c:v>156.01718215324851</c:v>
                      </c:pt>
                      <c:pt idx="68">
                        <c:v>180.83552640827594</c:v>
                      </c:pt>
                      <c:pt idx="69">
                        <c:v>205.80554250512446</c:v>
                      </c:pt>
                      <c:pt idx="70">
                        <c:v>230.23595357168372</c:v>
                      </c:pt>
                      <c:pt idx="71">
                        <c:v>253.4281328284041</c:v>
                      </c:pt>
                      <c:pt idx="72">
                        <c:v>274.70812727903939</c:v>
                      </c:pt>
                      <c:pt idx="73">
                        <c:v>293.45569563194198</c:v>
                      </c:pt>
                      <c:pt idx="74">
                        <c:v>309.12882246624969</c:v>
                      </c:pt>
                      <c:pt idx="75">
                        <c:v>321.28269066285822</c:v>
                      </c:pt>
                      <c:pt idx="76">
                        <c:v>329.58260752038427</c:v>
                      </c:pt>
                      <c:pt idx="77">
                        <c:v>333.81084380247569</c:v>
                      </c:pt>
                      <c:pt idx="78">
                        <c:v>333.86773084120313</c:v>
                      </c:pt>
                      <c:pt idx="79">
                        <c:v>329.76765404326522</c:v>
                      </c:pt>
                      <c:pt idx="80">
                        <c:v>321.63077851943666</c:v>
                      </c:pt>
                      <c:pt idx="81">
                        <c:v>309.67144967376419</c:v>
                      </c:pt>
                      <c:pt idx="82">
                        <c:v>294.18423999213786</c:v>
                      </c:pt>
                      <c:pt idx="83">
                        <c:v>275.52857787027568</c:v>
                      </c:pt>
                      <c:pt idx="84">
                        <c:v>254.11281124074449</c:v>
                      </c:pt>
                      <c:pt idx="85">
                        <c:v>230.37844369198402</c:v>
                      </c:pt>
                      <c:pt idx="86">
                        <c:v>204.78514786090062</c:v>
                      </c:pt>
                      <c:pt idx="87">
                        <c:v>177.79702204532182</c:v>
                      </c:pt>
                      <c:pt idx="88">
                        <c:v>149.8704206331837</c:v>
                      </c:pt>
                      <c:pt idx="89">
                        <c:v>121.44356397374487</c:v>
                      </c:pt>
                      <c:pt idx="90">
                        <c:v>92.928023287988353</c:v>
                      </c:pt>
                      <c:pt idx="91">
                        <c:v>64.702083680192345</c:v>
                      </c:pt>
                      <c:pt idx="92">
                        <c:v>37.105914173188133</c:v>
                      </c:pt>
                      <c:pt idx="93">
                        <c:v>10.438417581414903</c:v>
                      </c:pt>
                      <c:pt idx="94">
                        <c:v>-15.044406314583052</c:v>
                      </c:pt>
                      <c:pt idx="95">
                        <c:v>-39.129775285430071</c:v>
                      </c:pt>
                      <c:pt idx="96">
                        <c:v>-61.647319608533643</c:v>
                      </c:pt>
                      <c:pt idx="97">
                        <c:v>-82.467361563200726</c:v>
                      </c:pt>
                      <c:pt idx="98">
                        <c:v>-101.49847678317107</c:v>
                      </c:pt>
                      <c:pt idx="99">
                        <c:v>-118.68452196951095</c:v>
                      </c:pt>
                      <c:pt idx="100">
                        <c:v>-134.00129650041194</c:v>
                      </c:pt>
                      <c:pt idx="101">
                        <c:v>-147.45298597323941</c:v>
                      </c:pt>
                      <c:pt idx="102">
                        <c:v>-159.06851501824127</c:v>
                      </c:pt>
                      <c:pt idx="103">
                        <c:v>-168.89791590225209</c:v>
                      </c:pt>
                      <c:pt idx="104">
                        <c:v>-177.00879931227584</c:v>
                      </c:pt>
                      <c:pt idx="105">
                        <c:v>-183.48299486565685</c:v>
                      </c:pt>
                      <c:pt idx="106">
                        <c:v>-188.41341173377171</c:v>
                      </c:pt>
                      <c:pt idx="107">
                        <c:v>-191.90115452579781</c:v>
                      </c:pt>
                      <c:pt idx="108">
                        <c:v>-194.05291636267432</c:v>
                      </c:pt>
                      <c:pt idx="109">
                        <c:v>-194.97865988134416</c:v>
                      </c:pt>
                      <c:pt idx="110">
                        <c:v>-194.78958767173594</c:v>
                      </c:pt>
                      <c:pt idx="111">
                        <c:v>-193.59639623563592</c:v>
                      </c:pt>
                      <c:pt idx="112">
                        <c:v>-191.50780180433586</c:v>
                      </c:pt>
                      <c:pt idx="113">
                        <c:v>-188.62932207734281</c:v>
                      </c:pt>
                      <c:pt idx="114">
                        <c:v>-185.06229495626229</c:v>
                      </c:pt>
                      <c:pt idx="115">
                        <c:v>-180.90311345620643</c:v>
                      </c:pt>
                      <c:pt idx="116">
                        <c:v>-176.24265499966526</c:v>
                      </c:pt>
                      <c:pt idx="117">
                        <c:v>-171.16588306528052</c:v>
                      </c:pt>
                      <c:pt idx="118">
                        <c:v>-165.75159952240267</c:v>
                      </c:pt>
                      <c:pt idx="119">
                        <c:v>-160.07232679480458</c:v>
                      </c:pt>
                      <c:pt idx="120">
                        <c:v>-154.19430014414286</c:v>
                      </c:pt>
                      <c:pt idx="121">
                        <c:v>-148.17755174360428</c:v>
                      </c:pt>
                      <c:pt idx="122">
                        <c:v>-142.07606973906297</c:v>
                      </c:pt>
                      <c:pt idx="123">
                        <c:v>-135.93801709857951</c:v>
                      </c:pt>
                      <c:pt idx="124">
                        <c:v>-129.805996674574</c:v>
                      </c:pt>
                      <c:pt idx="125">
                        <c:v>-123.71735050211919</c:v>
                      </c:pt>
                      <c:pt idx="126">
                        <c:v>-117.7044828978094</c:v>
                      </c:pt>
                      <c:pt idx="127">
                        <c:v>-111.79519838194943</c:v>
                      </c:pt>
                      <c:pt idx="128">
                        <c:v>-106.01304680550231</c:v>
                      </c:pt>
                      <c:pt idx="129">
                        <c:v>-100.37766931175865</c:v>
                      </c:pt>
                      <c:pt idx="130">
                        <c:v>-94.905139895665002</c:v>
                      </c:pt>
                      <c:pt idx="131">
                        <c:v>-89.608298339897416</c:v>
                      </c:pt>
                      <c:pt idx="132">
                        <c:v>-84.497071207948906</c:v>
                      </c:pt>
                      <c:pt idx="133">
                        <c:v>-79.578778364986164</c:v>
                      </c:pt>
                      <c:pt idx="134">
                        <c:v>-74.858423183015844</c:v>
                      </c:pt>
                      <c:pt idx="135">
                        <c:v>-70.338965175100583</c:v>
                      </c:pt>
                      <c:pt idx="136">
                        <c:v>-66.021574301827854</c:v>
                      </c:pt>
                      <c:pt idx="137">
                        <c:v>-61.905866610181043</c:v>
                      </c:pt>
                      <c:pt idx="138">
                        <c:v>-57.990121208584931</c:v>
                      </c:pt>
                      <c:pt idx="139">
                        <c:v>-54.271478860359998</c:v>
                      </c:pt>
                      <c:pt idx="140">
                        <c:v>-50.746122698843493</c:v>
                      </c:pt>
                      <c:pt idx="141">
                        <c:v>-47.409441738390804</c:v>
                      </c:pt>
                      <c:pt idx="142">
                        <c:v>-44.256177983195741</c:v>
                      </c:pt>
                      <c:pt idx="143">
                        <c:v>-41.280558026635525</c:v>
                      </c:pt>
                      <c:pt idx="144">
                        <c:v>-38.476410093367591</c:v>
                      </c:pt>
                      <c:pt idx="145">
                        <c:v>-35.837267509844303</c:v>
                      </c:pt>
                      <c:pt idx="146">
                        <c:v>-33.356459600797265</c:v>
                      </c:pt>
                      <c:pt idx="147">
                        <c:v>-31.027191003674005</c:v>
                      </c:pt>
                      <c:pt idx="148">
                        <c:v>-28.842610373472397</c:v>
                      </c:pt>
                      <c:pt idx="149">
                        <c:v>-26.795869420008792</c:v>
                      </c:pt>
                      <c:pt idx="150">
                        <c:v>-24.880173181000682</c:v>
                      </c:pt>
                      <c:pt idx="151">
                        <c:v>-23.088822389688033</c:v>
                      </c:pt>
                      <c:pt idx="152">
                        <c:v>-21.415248746943398</c:v>
                      </c:pt>
                      <c:pt idx="153">
                        <c:v>-19.853043856526515</c:v>
                      </c:pt>
                      <c:pt idx="154">
                        <c:v>-18.395982529598971</c:v>
                      </c:pt>
                      <c:pt idx="155">
                        <c:v>-17.038041111911863</c:v>
                      </c:pt>
                      <c:pt idx="156">
                        <c:v>-15.773411435031907</c:v>
                      </c:pt>
                      <c:pt idx="157">
                        <c:v>-14.596510942269758</c:v>
                      </c:pt>
                      <c:pt idx="158">
                        <c:v>-13.501989491102597</c:v>
                      </c:pt>
                      <c:pt idx="159">
                        <c:v>-12.484733287225488</c:v>
                      </c:pt>
                      <c:pt idx="160">
                        <c:v>-11.539866361187073</c:v>
                      </c:pt>
                      <c:pt idx="161">
                        <c:v>-10.662749957029003</c:v>
                      </c:pt>
                      <c:pt idx="162">
                        <c:v>-9.8489801635500296</c:v>
                      </c:pt>
                      <c:pt idx="163">
                        <c:v>-9.0943840827933702</c:v>
                      </c:pt>
                      <c:pt idx="164">
                        <c:v>-8.395014797081334</c:v>
                      </c:pt>
                      <c:pt idx="165">
                        <c:v>-7.7471453653470768</c:v>
                      </c:pt>
                      <c:pt idx="166">
                        <c:v>-7.1472620515462664</c:v>
                      </c:pt>
                      <c:pt idx="167">
                        <c:v>-6.5920569624662964</c:v>
                      </c:pt>
                      <c:pt idx="168">
                        <c:v>-6.0784202491611774</c:v>
                      </c:pt>
                      <c:pt idx="169">
                        <c:v>-5.6034320053900046</c:v>
                      </c:pt>
                      <c:pt idx="170">
                        <c:v>-5.1643539776841347</c:v>
                      </c:pt>
                      <c:pt idx="171">
                        <c:v>-4.7586211848710604</c:v>
                      </c:pt>
                      <c:pt idx="172">
                        <c:v>-4.3838335298913149</c:v>
                      </c:pt>
                      <c:pt idx="173">
                        <c:v>-4.0377474734234671</c:v>
                      </c:pt>
                      <c:pt idx="174">
                        <c:v>-3.7182678270369092</c:v>
                      </c:pt>
                      <c:pt idx="175">
                        <c:v>-3.4234397131939405</c:v>
                      </c:pt>
                      <c:pt idx="176">
                        <c:v>-3.1514407302945799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A0-4A36-B1E8-B5700649E747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LNorm'!$L$7</c15:sqref>
                        </c15:formulaRef>
                      </c:ext>
                    </c:extLst>
                    <c:strCache>
                      <c:ptCount val="1"/>
                      <c:pt idx="0">
                        <c:v>Colonna4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LNorm'!$L$8:$L$184</c15:sqref>
                        </c15:formulaRef>
                      </c:ext>
                    </c:extLst>
                    <c:numCache>
                      <c:formatCode>General</c:formatCode>
                      <c:ptCount val="177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A0-4A36-B1E8-B5700649E74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LNorm'!$BD$8:$BD$184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3</c:v>
                      </c:pt>
                      <c:pt idx="57">
                        <c:v>-5</c:v>
                      </c:pt>
                      <c:pt idx="58">
                        <c:v>15</c:v>
                      </c:pt>
                      <c:pt idx="59">
                        <c:v>-4</c:v>
                      </c:pt>
                      <c:pt idx="60">
                        <c:v>26</c:v>
                      </c:pt>
                      <c:pt idx="61">
                        <c:v>-3</c:v>
                      </c:pt>
                      <c:pt idx="62">
                        <c:v>9</c:v>
                      </c:pt>
                      <c:pt idx="63">
                        <c:v>12</c:v>
                      </c:pt>
                      <c:pt idx="64">
                        <c:v>-20</c:v>
                      </c:pt>
                      <c:pt idx="65">
                        <c:v>104</c:v>
                      </c:pt>
                      <c:pt idx="66">
                        <c:v>-41</c:v>
                      </c:pt>
                      <c:pt idx="67">
                        <c:v>73</c:v>
                      </c:pt>
                      <c:pt idx="68">
                        <c:v>227</c:v>
                      </c:pt>
                      <c:pt idx="69">
                        <c:v>222</c:v>
                      </c:pt>
                      <c:pt idx="70">
                        <c:v>-40</c:v>
                      </c:pt>
                      <c:pt idx="71">
                        <c:v>-582</c:v>
                      </c:pt>
                      <c:pt idx="72">
                        <c:v>2955</c:v>
                      </c:pt>
                      <c:pt idx="73">
                        <c:v>-1796</c:v>
                      </c:pt>
                      <c:pt idx="74">
                        <c:v>248</c:v>
                      </c:pt>
                      <c:pt idx="75">
                        <c:v>737</c:v>
                      </c:pt>
                      <c:pt idx="76">
                        <c:v>-338</c:v>
                      </c:pt>
                      <c:pt idx="77">
                        <c:v>356</c:v>
                      </c:pt>
                      <c:pt idx="78">
                        <c:v>1891</c:v>
                      </c:pt>
                      <c:pt idx="79">
                        <c:v>-1606</c:v>
                      </c:pt>
                      <c:pt idx="80">
                        <c:v>2517</c:v>
                      </c:pt>
                      <c:pt idx="81">
                        <c:v>-1570</c:v>
                      </c:pt>
                      <c:pt idx="82">
                        <c:v>2974</c:v>
                      </c:pt>
                      <c:pt idx="83">
                        <c:v>-1619</c:v>
                      </c:pt>
                      <c:pt idx="84">
                        <c:v>4881</c:v>
                      </c:pt>
                      <c:pt idx="85">
                        <c:v>-1359</c:v>
                      </c:pt>
                      <c:pt idx="86">
                        <c:v>-338</c:v>
                      </c:pt>
                      <c:pt idx="87">
                        <c:v>-417</c:v>
                      </c:pt>
                      <c:pt idx="88">
                        <c:v>-641</c:v>
                      </c:pt>
                      <c:pt idx="89">
                        <c:v>971</c:v>
                      </c:pt>
                      <c:pt idx="90">
                        <c:v>121</c:v>
                      </c:pt>
                      <c:pt idx="91">
                        <c:v>228</c:v>
                      </c:pt>
                      <c:pt idx="92">
                        <c:v>-248</c:v>
                      </c:pt>
                      <c:pt idx="93">
                        <c:v>-813</c:v>
                      </c:pt>
                      <c:pt idx="94">
                        <c:v>-165</c:v>
                      </c:pt>
                      <c:pt idx="95">
                        <c:v>-1491</c:v>
                      </c:pt>
                      <c:pt idx="96">
                        <c:v>-449</c:v>
                      </c:pt>
                      <c:pt idx="97">
                        <c:v>238</c:v>
                      </c:pt>
                      <c:pt idx="98">
                        <c:v>1011</c:v>
                      </c:pt>
                      <c:pt idx="99">
                        <c:v>-1276</c:v>
                      </c:pt>
                      <c:pt idx="100">
                        <c:v>49</c:v>
                      </c:pt>
                      <c:pt idx="101">
                        <c:v>-297</c:v>
                      </c:pt>
                      <c:pt idx="102">
                        <c:v>-950</c:v>
                      </c:pt>
                      <c:pt idx="103">
                        <c:v>-536</c:v>
                      </c:pt>
                      <c:pt idx="104">
                        <c:v>-826</c:v>
                      </c:pt>
                      <c:pt idx="105">
                        <c:v>2661</c:v>
                      </c:pt>
                      <c:pt idx="106">
                        <c:v>2201</c:v>
                      </c:pt>
                      <c:pt idx="107">
                        <c:v>-1413</c:v>
                      </c:pt>
                      <c:pt idx="108">
                        <c:v>-5004</c:v>
                      </c:pt>
                      <c:pt idx="109">
                        <c:v>6061</c:v>
                      </c:pt>
                      <c:pt idx="110">
                        <c:v>-5412</c:v>
                      </c:pt>
                      <c:pt idx="111">
                        <c:v>2432</c:v>
                      </c:pt>
                      <c:pt idx="112">
                        <c:v>243</c:v>
                      </c:pt>
                      <c:pt idx="113">
                        <c:v>424</c:v>
                      </c:pt>
                      <c:pt idx="114">
                        <c:v>2105</c:v>
                      </c:pt>
                      <c:pt idx="115">
                        <c:v>-2745</c:v>
                      </c:pt>
                      <c:pt idx="116">
                        <c:v>-1125</c:v>
                      </c:pt>
                      <c:pt idx="117">
                        <c:v>-77</c:v>
                      </c:pt>
                      <c:pt idx="118">
                        <c:v>-87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A0-4A36-B1E8-B5700649E74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'New_cases_rates - LNorm'!$BR$8:$BR$184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6.348426818434302E-52</c:v>
                      </c:pt>
                      <c:pt idx="38">
                        <c:v>1.9511492919272573E-24</c:v>
                      </c:pt>
                      <c:pt idx="39">
                        <c:v>1.6517557707556378E-16</c:v>
                      </c:pt>
                      <c:pt idx="40">
                        <c:v>3.0901386225569382E-12</c:v>
                      </c:pt>
                      <c:pt idx="41">
                        <c:v>1.8218461942811726E-9</c:v>
                      </c:pt>
                      <c:pt idx="42">
                        <c:v>1.7126539780957474E-7</c:v>
                      </c:pt>
                      <c:pt idx="43">
                        <c:v>5.2645961155145335E-6</c:v>
                      </c:pt>
                      <c:pt idx="44">
                        <c:v>7.707334468850613E-5</c:v>
                      </c:pt>
                      <c:pt idx="45">
                        <c:v>6.6913992383279923E-4</c:v>
                      </c:pt>
                      <c:pt idx="46">
                        <c:v>3.9546723514040458E-3</c:v>
                      </c:pt>
                      <c:pt idx="47">
                        <c:v>1.7440581945414365E-2</c:v>
                      </c:pt>
                      <c:pt idx="48">
                        <c:v>6.1178488039223364E-2</c:v>
                      </c:pt>
                      <c:pt idx="49">
                        <c:v>0.17872858448727882</c:v>
                      </c:pt>
                      <c:pt idx="50">
                        <c:v>0.44993039065524787</c:v>
                      </c:pt>
                      <c:pt idx="51">
                        <c:v>1.0015735603680451</c:v>
                      </c:pt>
                      <c:pt idx="52">
                        <c:v>2.011416002394891</c:v>
                      </c:pt>
                      <c:pt idx="53">
                        <c:v>3.7021317471923627</c:v>
                      </c:pt>
                      <c:pt idx="54">
                        <c:v>6.3242469240574071</c:v>
                      </c:pt>
                      <c:pt idx="55">
                        <c:v>10.129961125217116</c:v>
                      </c:pt>
                      <c:pt idx="56">
                        <c:v>15.341983488725358</c:v>
                      </c:pt>
                      <c:pt idx="57">
                        <c:v>22.122556767047598</c:v>
                      </c:pt>
                      <c:pt idx="58">
                        <c:v>30.547607631094792</c:v>
                      </c:pt>
                      <c:pt idx="59">
                        <c:v>40.589735373046594</c:v>
                      </c:pt>
                      <c:pt idx="60">
                        <c:v>52.112002160648089</c:v>
                      </c:pt>
                      <c:pt idx="61">
                        <c:v>64.872682667764323</c:v>
                      </c:pt>
                      <c:pt idx="62">
                        <c:v>78.539619751792202</c:v>
                      </c:pt>
                      <c:pt idx="63">
                        <c:v>92.711808392393735</c:v>
                      </c:pt>
                      <c:pt idx="64">
                        <c:v>106.94533873686915</c:v>
                      </c:pt>
                      <c:pt idx="65">
                        <c:v>120.78081113007438</c:v>
                      </c:pt>
                      <c:pt idx="66">
                        <c:v>133.76967272659624</c:v>
                      </c:pt>
                      <c:pt idx="67">
                        <c:v>145.49747968518801</c:v>
                      </c:pt>
                      <c:pt idx="68">
                        <c:v>155.60273436199978</c:v>
                      </c:pt>
                      <c:pt idx="69">
                        <c:v>163.7905829823153</c:v>
                      </c:pt>
                      <c:pt idx="70">
                        <c:v>169.84121751276737</c:v>
                      </c:pt>
                      <c:pt idx="71">
                        <c:v>173.61326783432554</c:v>
                      </c:pt>
                      <c:pt idx="72">
                        <c:v>175.04278380140286</c:v>
                      </c:pt>
                      <c:pt idx="73">
                        <c:v>174.13859645161847</c:v>
                      </c:pt>
                      <c:pt idx="74">
                        <c:v>170.97492995786618</c:v>
                      </c:pt>
                      <c:pt idx="75">
                        <c:v>165.68213300763978</c:v>
                      </c:pt>
                      <c:pt idx="76">
                        <c:v>158.43633364260052</c:v>
                      </c:pt>
                      <c:pt idx="77">
                        <c:v>149.44871716774392</c:v>
                      </c:pt>
                      <c:pt idx="78">
                        <c:v>138.95500133363271</c:v>
                      </c:pt>
                      <c:pt idx="79">
                        <c:v>127.20555148449284</c:v>
                      </c:pt>
                      <c:pt idx="80">
                        <c:v>114.45645164856597</c:v>
                      </c:pt>
                      <c:pt idx="81">
                        <c:v>100.96173289446709</c:v>
                      </c:pt>
                      <c:pt idx="82">
                        <c:v>86.966861897501289</c:v>
                      </c:pt>
                      <c:pt idx="83">
                        <c:v>72.703512350311613</c:v>
                      </c:pt>
                      <c:pt idx="84">
                        <c:v>58.385579633296679</c:v>
                      </c:pt>
                      <c:pt idx="85">
                        <c:v>44.206353841394645</c:v>
                      </c:pt>
                      <c:pt idx="86">
                        <c:v>30.336735914512595</c:v>
                      </c:pt>
                      <c:pt idx="87">
                        <c:v>16.924363937557889</c:v>
                      </c:pt>
                      <c:pt idx="88">
                        <c:v>4.0935092629257488</c:v>
                      </c:pt>
                      <c:pt idx="89">
                        <c:v>-8.0543973461382627</c:v>
                      </c:pt>
                      <c:pt idx="90">
                        <c:v>-19.439742948705497</c:v>
                      </c:pt>
                      <c:pt idx="91">
                        <c:v>-30.003335995654862</c:v>
                      </c:pt>
                      <c:pt idx="92">
                        <c:v>-39.704746249160529</c:v>
                      </c:pt>
                      <c:pt idx="93">
                        <c:v>-48.520476838214385</c:v>
                      </c:pt>
                      <c:pt idx="94">
                        <c:v>-56.442049676677009</c:v>
                      </c:pt>
                      <c:pt idx="95">
                        <c:v>-63.474071281982802</c:v>
                      </c:pt>
                      <c:pt idx="96">
                        <c:v>-69.632332707767702</c:v>
                      </c:pt>
                      <c:pt idx="97">
                        <c:v>-74.941985160700028</c:v>
                      </c:pt>
                      <c:pt idx="98">
                        <c:v>-79.435822089839561</c:v>
                      </c:pt>
                      <c:pt idx="99">
                        <c:v>-83.152689187822531</c:v>
                      </c:pt>
                      <c:pt idx="100">
                        <c:v>-86.136035819091944</c:v>
                      </c:pt>
                      <c:pt idx="101">
                        <c:v>-88.432614826897094</c:v>
                      </c:pt>
                      <c:pt idx="102">
                        <c:v>-90.09133236591498</c:v>
                      </c:pt>
                      <c:pt idx="103">
                        <c:v>-91.162245236947626</c:v>
                      </c:pt>
                      <c:pt idx="104">
                        <c:v>-91.695700029204119</c:v>
                      </c:pt>
                      <c:pt idx="105">
                        <c:v>-91.741606067234315</c:v>
                      </c:pt>
                      <c:pt idx="106">
                        <c:v>-91.348832580761865</c:v>
                      </c:pt>
                      <c:pt idx="107">
                        <c:v>-90.564719541903017</c:v>
                      </c:pt>
                      <c:pt idx="108">
                        <c:v>-89.434691131901118</c:v>
                      </c:pt>
                      <c:pt idx="109">
                        <c:v>-88.001960707140327</c:v>
                      </c:pt>
                      <c:pt idx="110">
                        <c:v>-86.307316343143768</c:v>
                      </c:pt>
                      <c:pt idx="111">
                        <c:v>-84.388976469369183</c:v>
                      </c:pt>
                      <c:pt idx="112">
                        <c:v>-82.282505702613676</c:v>
                      </c:pt>
                      <c:pt idx="113">
                        <c:v>-80.020781689465977</c:v>
                      </c:pt>
                      <c:pt idx="114">
                        <c:v>-77.634004535090924</c:v>
                      </c:pt>
                      <c:pt idx="115">
                        <c:v>-75.149741192066415</c:v>
                      </c:pt>
                      <c:pt idx="116">
                        <c:v>-72.592997981952564</c:v>
                      </c:pt>
                      <c:pt idx="117">
                        <c:v>-69.986315203211291</c:v>
                      </c:pt>
                      <c:pt idx="118">
                        <c:v>-67.349878526905727</c:v>
                      </c:pt>
                      <c:pt idx="119">
                        <c:v>-64.701642585725679</c:v>
                      </c:pt>
                      <c:pt idx="120">
                        <c:v>-62.057462815434455</c:v>
                      </c:pt>
                      <c:pt idx="121">
                        <c:v>-59.431232206881305</c:v>
                      </c:pt>
                      <c:pt idx="122">
                        <c:v>-56.835020169700847</c:v>
                      </c:pt>
                      <c:pt idx="123">
                        <c:v>-54.279211195896906</c:v>
                      </c:pt>
                      <c:pt idx="124">
                        <c:v>-51.772641444251839</c:v>
                      </c:pt>
                      <c:pt idx="125">
                        <c:v>-49.322731747385042</c:v>
                      </c:pt>
                      <c:pt idx="126">
                        <c:v>-46.93561587548848</c:v>
                      </c:pt>
                      <c:pt idx="127">
                        <c:v>-44.616263177858059</c:v>
                      </c:pt>
                      <c:pt idx="128">
                        <c:v>-42.368594969127678</c:v>
                      </c:pt>
                      <c:pt idx="129">
                        <c:v>-40.195594235449271</c:v>
                      </c:pt>
                      <c:pt idx="130">
                        <c:v>-38.099408410592588</c:v>
                      </c:pt>
                      <c:pt idx="131">
                        <c:v>-36.081445116758061</c:v>
                      </c:pt>
                      <c:pt idx="132">
                        <c:v>-34.142460883304153</c:v>
                      </c:pt>
                      <c:pt idx="133">
                        <c:v>-32.282642951907164</c:v>
                      </c:pt>
                      <c:pt idx="134">
                        <c:v>-30.501684351905325</c:v>
                      </c:pt>
                      <c:pt idx="135">
                        <c:v>-28.798852487534759</c:v>
                      </c:pt>
                      <c:pt idx="136">
                        <c:v>-27.173051521945727</c:v>
                      </c:pt>
                      <c:pt idx="137">
                        <c:v>-25.622878873565956</c:v>
                      </c:pt>
                      <c:pt idx="138">
                        <c:v>-24.146676160553977</c:v>
                      </c:pt>
                      <c:pt idx="139">
                        <c:v>-22.742574940553805</c:v>
                      </c:pt>
                      <c:pt idx="140">
                        <c:v>-21.408537597272094</c:v>
                      </c:pt>
                      <c:pt idx="141">
                        <c:v>-20.142393723916836</c:v>
                      </c:pt>
                      <c:pt idx="142">
                        <c:v>-18.941872347436465</c:v>
                      </c:pt>
                      <c:pt idx="143">
                        <c:v>-17.804630327797209</c:v>
                      </c:pt>
                      <c:pt idx="144">
                        <c:v>-16.728277254082222</c:v>
                      </c:pt>
                      <c:pt idx="145">
                        <c:v>-15.710397144737044</c:v>
                      </c:pt>
                      <c:pt idx="146">
                        <c:v>-14.748567243414268</c:v>
                      </c:pt>
                      <c:pt idx="147">
                        <c:v>-13.84037418511226</c:v>
                      </c:pt>
                      <c:pt idx="148">
                        <c:v>-12.983427790059627</c:v>
                      </c:pt>
                      <c:pt idx="149">
                        <c:v>-12.175372725427158</c:v>
                      </c:pt>
                      <c:pt idx="150">
                        <c:v>-11.413898257708926</c:v>
                      </c:pt>
                      <c:pt idx="151">
                        <c:v>-10.696746301728808</c:v>
                      </c:pt>
                      <c:pt idx="152">
                        <c:v>-10.021717955865695</c:v>
                      </c:pt>
                      <c:pt idx="153">
                        <c:v>-9.3866786973639833</c:v>
                      </c:pt>
                      <c:pt idx="154">
                        <c:v>-8.7895623966090124</c:v>
                      </c:pt>
                      <c:pt idx="155">
                        <c:v>-8.2283742950501981</c:v>
                      </c:pt>
                      <c:pt idx="156">
                        <c:v>-7.7011930780913449</c:v>
                      </c:pt>
                      <c:pt idx="157">
                        <c:v>-7.2061721617528951</c:v>
                      </c:pt>
                      <c:pt idx="158">
                        <c:v>-6.7415403002450294</c:v>
                      </c:pt>
                      <c:pt idx="159">
                        <c:v>-6.3056016107687922</c:v>
                      </c:pt>
                      <c:pt idx="160">
                        <c:v>-5.8967351018564331</c:v>
                      </c:pt>
                      <c:pt idx="161">
                        <c:v>-5.5133937823516161</c:v>
                      </c:pt>
                      <c:pt idx="162">
                        <c:v>-5.1541034196776003</c:v>
                      </c:pt>
                      <c:pt idx="163">
                        <c:v>-4.8174610083105529</c:v>
                      </c:pt>
                      <c:pt idx="164">
                        <c:v>-4.5021330023278923</c:v>
                      </c:pt>
                      <c:pt idx="165">
                        <c:v>-4.2068533594951427</c:v>
                      </c:pt>
                      <c:pt idx="166">
                        <c:v>-3.9304214385492879</c:v>
                      </c:pt>
                      <c:pt idx="167">
                        <c:v>-3.67169978608925</c:v>
                      </c:pt>
                      <c:pt idx="168">
                        <c:v>-3.4296118447553572</c:v>
                      </c:pt>
                      <c:pt idx="169">
                        <c:v>-3.2031396101301364</c:v>
                      </c:pt>
                      <c:pt idx="170">
                        <c:v>-2.9913212599829158</c:v>
                      </c:pt>
                      <c:pt idx="171">
                        <c:v>-2.7932487760770397</c:v>
                      </c:pt>
                      <c:pt idx="172">
                        <c:v>-2.6080655757232183</c:v>
                      </c:pt>
                      <c:pt idx="173">
                        <c:v>-2.434964167566084</c:v>
                      </c:pt>
                      <c:pt idx="174">
                        <c:v>-2.2731838437010592</c:v>
                      </c:pt>
                      <c:pt idx="175">
                        <c:v>-2.1220084181075602</c:v>
                      </c:pt>
                      <c:pt idx="176">
                        <c:v>-1.9807640195257319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0A0-4A36-B1E8-B5700649E74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case</a:t>
                </a:r>
                <a:r>
                  <a:rPr lang="it-IT"/>
                  <a:t>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growth rates and dubling time - Lognormal fit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'New_cases_rates - LNorm'!$P$7</c:f>
              <c:strCache>
                <c:ptCount val="1"/>
                <c:pt idx="0">
                  <c:v>Spain fitted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LNorm'!$C$62:$C$130</c:f>
              <c:numCache>
                <c:formatCode>General</c:formatCode>
                <c:ptCount val="69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</c:numCache>
            </c:numRef>
          </c:xVal>
          <c:yVal>
            <c:numRef>
              <c:f>'New_cases_rates - LNorm'!$P$62:$P$130</c:f>
              <c:numCache>
                <c:formatCode>0%</c:formatCode>
                <c:ptCount val="69"/>
                <c:pt idx="0">
                  <c:v>0.80206666276612815</c:v>
                </c:pt>
                <c:pt idx="1">
                  <c:v>0.73617735922834782</c:v>
                </c:pt>
                <c:pt idx="2">
                  <c:v>0.67742900189422239</c:v>
                </c:pt>
                <c:pt idx="3">
                  <c:v>0.62481002004173936</c:v>
                </c:pt>
                <c:pt idx="4">
                  <c:v>0.57748569184927678</c:v>
                </c:pt>
                <c:pt idx="5">
                  <c:v>0.53476173718452402</c:v>
                </c:pt>
                <c:pt idx="6">
                  <c:v>0.4960564619811309</c:v>
                </c:pt>
                <c:pt idx="7">
                  <c:v>0.46087921381190411</c:v>
                </c:pt>
                <c:pt idx="8">
                  <c:v>0.42881355191701143</c:v>
                </c:pt>
                <c:pt idx="9">
                  <c:v>0.39950397844197266</c:v>
                </c:pt>
                <c:pt idx="10">
                  <c:v>0.37264538766344724</c:v>
                </c:pt>
                <c:pt idx="11">
                  <c:v>0.3479746096087396</c:v>
                </c:pt>
                <c:pt idx="12">
                  <c:v>0.32526358199970146</c:v>
                </c:pt>
                <c:pt idx="13">
                  <c:v>0.30431379873977482</c:v>
                </c:pt>
                <c:pt idx="14">
                  <c:v>0.28495176697467417</c:v>
                </c:pt>
                <c:pt idx="15">
                  <c:v>0.26702526683811278</c:v>
                </c:pt>
                <c:pt idx="16">
                  <c:v>0.25040025441152408</c:v>
                </c:pt>
                <c:pt idx="17">
                  <c:v>0.23495828343979538</c:v>
                </c:pt>
                <c:pt idx="18">
                  <c:v>0.22059434797511179</c:v>
                </c:pt>
                <c:pt idx="19">
                  <c:v>0.20721506853378704</c:v>
                </c:pt>
                <c:pt idx="20">
                  <c:v>0.19473716011368497</c:v>
                </c:pt>
                <c:pt idx="21">
                  <c:v>0.18308613267671076</c:v>
                </c:pt>
                <c:pt idx="22">
                  <c:v>0.1721951842948104</c:v>
                </c:pt>
                <c:pt idx="23">
                  <c:v>0.16200425471444205</c:v>
                </c:pt>
                <c:pt idx="24">
                  <c:v>0.15245921308184673</c:v>
                </c:pt>
                <c:pt idx="25">
                  <c:v>0.14351115834222852</c:v>
                </c:pt>
                <c:pt idx="26">
                  <c:v>0.13511581464794023</c:v>
                </c:pt>
                <c:pt idx="27">
                  <c:v>0.1272330071883116</c:v>
                </c:pt>
                <c:pt idx="28">
                  <c:v>0.11982620634403918</c:v>
                </c:pt>
                <c:pt idx="29">
                  <c:v>0.11286213009355568</c:v>
                </c:pt>
                <c:pt idx="30">
                  <c:v>0.10631039625198631</c:v>
                </c:pt>
                <c:pt idx="31">
                  <c:v>0.10014321747906026</c:v>
                </c:pt>
                <c:pt idx="32">
                  <c:v>9.4335133108747068E-2</c:v>
                </c:pt>
                <c:pt idx="33">
                  <c:v>8.8862772776258855E-2</c:v>
                </c:pt>
                <c:pt idx="34">
                  <c:v>8.3704647583851197E-2</c:v>
                </c:pt>
                <c:pt idx="35">
                  <c:v>7.884096518454238E-2</c:v>
                </c:pt>
                <c:pt idx="36">
                  <c:v>7.4253465695746618E-2</c:v>
                </c:pt>
                <c:pt idx="37">
                  <c:v>6.9925275801536499E-2</c:v>
                </c:pt>
                <c:pt idx="38">
                  <c:v>6.5840778777954564E-2</c:v>
                </c:pt>
                <c:pt idx="39">
                  <c:v>6.1985498492698618E-2</c:v>
                </c:pt>
                <c:pt idx="40">
                  <c:v>5.8345995698589434E-2</c:v>
                </c:pt>
                <c:pt idx="41">
                  <c:v>5.4909775167641166E-2</c:v>
                </c:pt>
                <c:pt idx="42">
                  <c:v>5.1665202405962805E-2</c:v>
                </c:pt>
                <c:pt idx="43">
                  <c:v>4.8601428854618052E-2</c:v>
                </c:pt>
                <c:pt idx="44">
                  <c:v>4.5708324622508928E-2</c:v>
                </c:pt>
                <c:pt idx="45">
                  <c:v>4.2976417918070518E-2</c:v>
                </c:pt>
                <c:pt idx="46">
                  <c:v>4.0396840450209068E-2</c:v>
                </c:pt>
                <c:pt idx="47">
                  <c:v>3.7961278158078315E-2</c:v>
                </c:pt>
                <c:pt idx="48">
                  <c:v>3.5661926706157747E-2</c:v>
                </c:pt>
                <c:pt idx="49">
                  <c:v>3.3491451247498534E-2</c:v>
                </c:pt>
                <c:pt idx="50">
                  <c:v>3.1442950015484195E-2</c:v>
                </c:pt>
                <c:pt idx="51">
                  <c:v>2.9509921354299685E-2</c:v>
                </c:pt>
                <c:pt idx="52">
                  <c:v>2.7686233841644523E-2</c:v>
                </c:pt>
                <c:pt idx="53">
                  <c:v>2.5966099194961519E-2</c:v>
                </c:pt>
                <c:pt idx="54">
                  <c:v>2.4344047685414389E-2</c:v>
                </c:pt>
                <c:pt idx="55">
                  <c:v>2.2814905812686803E-2</c:v>
                </c:pt>
                <c:pt idx="56">
                  <c:v>2.1373776018989103E-2</c:v>
                </c:pt>
                <c:pt idx="57">
                  <c:v>2.0016018242934662E-2</c:v>
                </c:pt>
                <c:pt idx="58">
                  <c:v>1.8737233133613744E-2</c:v>
                </c:pt>
                <c:pt idx="59">
                  <c:v>1.7533246762614658E-2</c:v>
                </c:pt>
                <c:pt idx="60">
                  <c:v>1.6400096687228156E-2</c:v>
                </c:pt>
                <c:pt idx="61">
                  <c:v>1.5334019231893569E-2</c:v>
                </c:pt>
                <c:pt idx="62">
                  <c:v>1.4331437867328356E-2</c:v>
                </c:pt>
                <c:pt idx="63">
                  <c:v>1.3388952577924747E-2</c:v>
                </c:pt>
                <c:pt idx="64">
                  <c:v>1.25033301180643E-2</c:v>
                </c:pt>
                <c:pt idx="65">
                  <c:v>1.1671495067129811E-2</c:v>
                </c:pt>
                <c:pt idx="66">
                  <c:v>1.0890521601313478E-2</c:v>
                </c:pt>
                <c:pt idx="67">
                  <c:v>1.0157625907916435E-2</c:v>
                </c:pt>
                <c:pt idx="68">
                  <c:v>9.4701591748066801E-3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A9-42FF-9A8C-8F9F7969DD5C}"/>
            </c:ext>
          </c:extLst>
        </c:ser>
        <c:ser>
          <c:idx val="4"/>
          <c:order val="4"/>
          <c:tx>
            <c:strRef>
              <c:f>'New_cases_rates - LNorm'!$AO$7</c:f>
              <c:strCache>
                <c:ptCount val="1"/>
                <c:pt idx="0">
                  <c:v>Lombardy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LNorm'!$AO$63:$AO$130</c:f>
              <c:numCache>
                <c:formatCode>0%</c:formatCode>
                <c:ptCount val="68"/>
                <c:pt idx="0">
                  <c:v>0.35289468264905571</c:v>
                </c:pt>
                <c:pt idx="1">
                  <c:v>0.3270787923247464</c:v>
                </c:pt>
                <c:pt idx="2">
                  <c:v>0.30369337463318974</c:v>
                </c:pt>
                <c:pt idx="3">
                  <c:v>0.28244222863411134</c:v>
                </c:pt>
                <c:pt idx="4">
                  <c:v>0.26307380925042234</c:v>
                </c:pt>
                <c:pt idx="5">
                  <c:v>0.24537326709096341</c:v>
                </c:pt>
                <c:pt idx="6">
                  <c:v>0.22915611382482493</c:v>
                </c:pt>
                <c:pt idx="7">
                  <c:v>0.21426314131436699</c:v>
                </c:pt>
                <c:pt idx="8">
                  <c:v>0.20055631634398277</c:v>
                </c:pt>
                <c:pt idx="9">
                  <c:v>0.18791544078999148</c:v>
                </c:pt>
                <c:pt idx="10">
                  <c:v>0.17623541700307194</c:v>
                </c:pt>
                <c:pt idx="11">
                  <c:v>0.16542399519227738</c:v>
                </c:pt>
                <c:pt idx="12">
                  <c:v>0.15539990730309677</c:v>
                </c:pt>
                <c:pt idx="13">
                  <c:v>0.14609131279691001</c:v>
                </c:pt>
                <c:pt idx="14">
                  <c:v>0.13743449765935739</c:v>
                </c:pt>
                <c:pt idx="15">
                  <c:v>0.1293727801776853</c:v>
                </c:pt>
                <c:pt idx="16">
                  <c:v>0.12185558646431192</c:v>
                </c:pt>
                <c:pt idx="17">
                  <c:v>0.11483766604698344</c:v>
                </c:pt>
                <c:pt idx="18">
                  <c:v>0.10827842359721744</c:v>
                </c:pt>
                <c:pt idx="19">
                  <c:v>0.10214134740135478</c:v>
                </c:pt>
                <c:pt idx="20">
                  <c:v>9.6393518771884748E-2</c:v>
                </c:pt>
                <c:pt idx="21">
                  <c:v>9.1005189461424538E-2</c:v>
                </c:pt>
                <c:pt idx="22">
                  <c:v>8.5949416437812523E-2</c:v>
                </c:pt>
                <c:pt idx="23">
                  <c:v>8.120174522848092E-2</c:v>
                </c:pt>
                <c:pt idx="24">
                  <c:v>7.6739934539658078E-2</c:v>
                </c:pt>
                <c:pt idx="25">
                  <c:v>7.2543716073749015E-2</c:v>
                </c:pt>
                <c:pt idx="26">
                  <c:v>6.8594584463072525E-2</c:v>
                </c:pt>
                <c:pt idx="27">
                  <c:v>6.4875613054290418E-2</c:v>
                </c:pt>
                <c:pt idx="28">
                  <c:v>6.1371291950147726E-2</c:v>
                </c:pt>
                <c:pt idx="29">
                  <c:v>5.8067385271109433E-2</c:v>
                </c:pt>
                <c:pt idx="30">
                  <c:v>5.4950805060957765E-2</c:v>
                </c:pt>
                <c:pt idx="31">
                  <c:v>5.2009499644861706E-2</c:v>
                </c:pt>
                <c:pt idx="32">
                  <c:v>4.9232354569802628E-2</c:v>
                </c:pt>
                <c:pt idx="33">
                  <c:v>4.6609104526795092E-2</c:v>
                </c:pt>
                <c:pt idx="34">
                  <c:v>4.4130254881150598E-2</c:v>
                </c:pt>
                <c:pt idx="35">
                  <c:v>4.1787011628470039E-2</c:v>
                </c:pt>
                <c:pt idx="36">
                  <c:v>3.9571218756117826E-2</c:v>
                </c:pt>
                <c:pt idx="37">
                  <c:v>3.7475302127522571E-2</c:v>
                </c:pt>
                <c:pt idx="38">
                  <c:v>3.54922191237989E-2</c:v>
                </c:pt>
                <c:pt idx="39">
                  <c:v>3.3615413377186557E-2</c:v>
                </c:pt>
                <c:pt idx="40">
                  <c:v>3.1838774016399084E-2</c:v>
                </c:pt>
                <c:pt idx="41">
                  <c:v>3.0156598917424442E-2</c:v>
                </c:pt>
                <c:pt idx="42">
                  <c:v>2.8563561516494255E-2</c:v>
                </c:pt>
                <c:pt idx="43">
                  <c:v>2.7054680796421336E-2</c:v>
                </c:pt>
                <c:pt idx="44">
                  <c:v>2.562529410458099E-2</c:v>
                </c:pt>
                <c:pt idx="45">
                  <c:v>2.42710325015996E-2</c:v>
                </c:pt>
                <c:pt idx="46">
                  <c:v>2.2987798375218534E-2</c:v>
                </c:pt>
                <c:pt idx="47">
                  <c:v>2.1771745084603968E-2</c:v>
                </c:pt>
                <c:pt idx="48">
                  <c:v>2.0619258427231873E-2</c:v>
                </c:pt>
                <c:pt idx="49">
                  <c:v>1.9526939743939663E-2</c:v>
                </c:pt>
                <c:pt idx="50">
                  <c:v>1.8491590498276943E-2</c:v>
                </c:pt>
                <c:pt idx="51">
                  <c:v>1.7510198184306623E-2</c:v>
                </c:pt>
                <c:pt idx="52">
                  <c:v>1.657992343284026E-2</c:v>
                </c:pt>
                <c:pt idx="53">
                  <c:v>1.5698088200039234E-2</c:v>
                </c:pt>
                <c:pt idx="54">
                  <c:v>1.4862164934611396E-2</c:v>
                </c:pt>
                <c:pt idx="55">
                  <c:v>1.4069766630706023E-2</c:v>
                </c:pt>
                <c:pt idx="56">
                  <c:v>1.3318637683235317E-2</c:v>
                </c:pt>
                <c:pt idx="57">
                  <c:v>1.2606645470889112E-2</c:v>
                </c:pt>
                <c:pt idx="58">
                  <c:v>1.1931772599692516E-2</c:v>
                </c:pt>
                <c:pt idx="59">
                  <c:v>1.1292109746707685E-2</c:v>
                </c:pt>
                <c:pt idx="60">
                  <c:v>1.068584904949584E-2</c:v>
                </c:pt>
                <c:pt idx="61">
                  <c:v>1.0111277992326795E-2</c:v>
                </c:pt>
                <c:pt idx="62">
                  <c:v>9.5667737449239686E-3</c:v>
                </c:pt>
                <c:pt idx="63">
                  <c:v>9.0507979138310206E-3</c:v>
                </c:pt>
                <c:pt idx="64">
                  <c:v>8.5618916703399071E-3</c:v>
                </c:pt>
                <c:pt idx="65">
                  <c:v>8.0986712223774706E-3</c:v>
                </c:pt>
                <c:pt idx="66">
                  <c:v>7.6598236008559688E-3</c:v>
                </c:pt>
                <c:pt idx="67">
                  <c:v>7.2441027337891966E-3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3A9-42FF-9A8C-8F9F7969DD5C}"/>
            </c:ext>
          </c:extLst>
        </c:ser>
        <c:ser>
          <c:idx val="5"/>
          <c:order val="5"/>
          <c:tx>
            <c:strRef>
              <c:f>'New_cases_rates - LNorm'!$BJ$7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LNorm'!$BJ$63:$BJ$130</c:f>
              <c:numCache>
                <c:formatCode>0%</c:formatCode>
                <c:ptCount val="68"/>
                <c:pt idx="0">
                  <c:v>0.64623059731343746</c:v>
                </c:pt>
                <c:pt idx="1">
                  <c:v>0.5875383464578201</c:v>
                </c:pt>
                <c:pt idx="2">
                  <c:v>0.5359417988058327</c:v>
                </c:pt>
                <c:pt idx="3">
                  <c:v>0.49032436549777869</c:v>
                </c:pt>
                <c:pt idx="4">
                  <c:v>0.44978532820055289</c:v>
                </c:pt>
                <c:pt idx="5">
                  <c:v>0.41359088357587548</c:v>
                </c:pt>
                <c:pt idx="6">
                  <c:v>0.38113780799085417</c:v>
                </c:pt>
                <c:pt idx="7">
                  <c:v>0.35192612632186826</c:v>
                </c:pt>
                <c:pt idx="8">
                  <c:v>0.32553830130170636</c:v>
                </c:pt>
                <c:pt idx="9">
                  <c:v>0.30162320964408512</c:v>
                </c:pt>
                <c:pt idx="10">
                  <c:v>0.27988367637905137</c:v>
                </c:pt>
                <c:pt idx="11">
                  <c:v>0.26006668478484946</c:v>
                </c:pt>
                <c:pt idx="12">
                  <c:v>0.24195561975646504</c:v>
                </c:pt>
                <c:pt idx="13">
                  <c:v>0.22536407189177263</c:v>
                </c:pt>
                <c:pt idx="14">
                  <c:v>0.21013085050474101</c:v>
                </c:pt>
                <c:pt idx="15">
                  <c:v>0.19611594110699512</c:v>
                </c:pt>
                <c:pt idx="16">
                  <c:v>0.1831972066661017</c:v>
                </c:pt>
                <c:pt idx="17">
                  <c:v>0.17126767899074108</c:v>
                </c:pt>
                <c:pt idx="18">
                  <c:v>0.16023332163156281</c:v>
                </c:pt>
                <c:pt idx="19">
                  <c:v>0.15001117202123257</c:v>
                </c:pt>
                <c:pt idx="20">
                  <c:v>0.14052779053851441</c:v>
                </c:pt>
                <c:pt idx="21">
                  <c:v>0.13171795943294887</c:v>
                </c:pt>
                <c:pt idx="22">
                  <c:v>0.12352358628794134</c:v>
                </c:pt>
                <c:pt idx="23">
                  <c:v>0.11589277580342515</c:v>
                </c:pt>
                <c:pt idx="24">
                  <c:v>0.10877904078500635</c:v>
                </c:pt>
                <c:pt idx="25">
                  <c:v>0.10214062880847133</c:v>
                </c:pt>
                <c:pt idx="26">
                  <c:v>9.5939945440125921E-2</c:v>
                </c:pt>
                <c:pt idx="27">
                  <c:v>9.0143058400144582E-2</c:v>
                </c:pt>
                <c:pt idx="28">
                  <c:v>8.471926985883052E-2</c:v>
                </c:pt>
                <c:pt idx="29">
                  <c:v>7.964074630746297E-2</c:v>
                </c:pt>
                <c:pt idx="30">
                  <c:v>7.4882197263546099E-2</c:v>
                </c:pt>
                <c:pt idx="31">
                  <c:v>7.0420595545268305E-2</c:v>
                </c:pt>
                <c:pt idx="32">
                  <c:v>6.6234933052021217E-2</c:v>
                </c:pt>
                <c:pt idx="33">
                  <c:v>6.230600697168992E-2</c:v>
                </c:pt>
                <c:pt idx="34">
                  <c:v>5.8616232144055244E-2</c:v>
                </c:pt>
                <c:pt idx="35">
                  <c:v>5.5149475976899141E-2</c:v>
                </c:pt>
                <c:pt idx="36">
                  <c:v>5.1890912864106908E-2</c:v>
                </c:pt>
                <c:pt idx="37">
                  <c:v>4.8826895514551022E-2</c:v>
                </c:pt>
                <c:pt idx="38">
                  <c:v>4.594484098389124E-2</c:v>
                </c:pt>
                <c:pt idx="39">
                  <c:v>4.3233129522337467E-2</c:v>
                </c:pt>
                <c:pt idx="40">
                  <c:v>4.0681014620939662E-2</c:v>
                </c:pt>
                <c:pt idx="41">
                  <c:v>3.8278542866045817E-2</c:v>
                </c:pt>
                <c:pt idx="42">
                  <c:v>3.601648240345881E-2</c:v>
                </c:pt>
                <c:pt idx="43">
                  <c:v>3.3886258976474182E-2</c:v>
                </c:pt>
                <c:pt idx="44">
                  <c:v>3.1879898640223898E-2</c:v>
                </c:pt>
                <c:pt idx="45">
                  <c:v>2.9989976372600965E-2</c:v>
                </c:pt>
                <c:pt idx="46">
                  <c:v>2.8209569902746184E-2</c:v>
                </c:pt>
                <c:pt idx="47">
                  <c:v>2.6532218164403258E-2</c:v>
                </c:pt>
                <c:pt idx="48">
                  <c:v>2.4951883855594579E-2</c:v>
                </c:pt>
                <c:pt idx="49">
                  <c:v>2.3462919649960209E-2</c:v>
                </c:pt>
                <c:pt idx="50">
                  <c:v>2.2060037660260108E-2</c:v>
                </c:pt>
                <c:pt idx="51">
                  <c:v>2.0738281802298801E-2</c:v>
                </c:pt>
                <c:pt idx="52">
                  <c:v>1.9493002748973764E-2</c:v>
                </c:pt>
                <c:pt idx="53">
                  <c:v>1.8319835200202621E-2</c:v>
                </c:pt>
                <c:pt idx="54">
                  <c:v>1.721467722592122E-2</c:v>
                </c:pt>
                <c:pt idx="55">
                  <c:v>1.6173671466824899E-2</c:v>
                </c:pt>
                <c:pt idx="56">
                  <c:v>1.5193188001598934E-2</c:v>
                </c:pt>
                <c:pt idx="57">
                  <c:v>1.4269808710523038E-2</c:v>
                </c:pt>
                <c:pt idx="58">
                  <c:v>1.3400312983940756E-2</c:v>
                </c:pt>
                <c:pt idx="59">
                  <c:v>1.2581664640491198E-2</c:v>
                </c:pt>
                <c:pt idx="60">
                  <c:v>1.1810999934505507E-2</c:v>
                </c:pt>
                <c:pt idx="61">
                  <c:v>1.1085616544812578E-2</c:v>
                </c:pt>
                <c:pt idx="62">
                  <c:v>1.0402963448596977E-2</c:v>
                </c:pt>
                <c:pt idx="63">
                  <c:v>9.7606315940833768E-3</c:v>
                </c:pt>
                <c:pt idx="64">
                  <c:v>9.1563452948430941E-3</c:v>
                </c:pt>
                <c:pt idx="65">
                  <c:v>8.5879542765640981E-3</c:v>
                </c:pt>
                <c:pt idx="66">
                  <c:v>8.053426314311227E-3</c:v>
                </c:pt>
                <c:pt idx="67">
                  <c:v>7.5508404047279314E-3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'New_cases_rates - LNorm'!$I$7</c:f>
              <c:strCache>
                <c:ptCount val="1"/>
                <c:pt idx="0">
                  <c:v>Spain fitted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LNorm'!$I$62:$I$101</c:f>
              <c:numCache>
                <c:formatCode>General</c:formatCode>
                <c:ptCount val="40"/>
                <c:pt idx="0">
                  <c:v>0.89811107065550644</c:v>
                </c:pt>
                <c:pt idx="1">
                  <c:v>0.98066850870038635</c:v>
                </c:pt>
                <c:pt idx="2">
                  <c:v>1.0682078489668783</c:v>
                </c:pt>
                <c:pt idx="3">
                  <c:v>1.1610236768290818</c:v>
                </c:pt>
                <c:pt idx="4">
                  <c:v>1.2594364547337094</c:v>
                </c:pt>
                <c:pt idx="5">
                  <c:v>1.363795081876912</c:v>
                </c:pt>
                <c:pt idx="6">
                  <c:v>1.4744798083422701</c:v>
                </c:pt>
                <c:pt idx="7">
                  <c:v>1.5919055560088893</c:v>
                </c:pt>
                <c:pt idx="8">
                  <c:v>1.7165257093383488</c:v>
                </c:pt>
                <c:pt idx="9">
                  <c:v>1.8488364521717209</c:v>
                </c:pt>
                <c:pt idx="10">
                  <c:v>1.9893817425465272</c:v>
                </c:pt>
                <c:pt idx="11">
                  <c:v>2.138759037083112</c:v>
                </c:pt>
                <c:pt idx="12">
                  <c:v>2.2976259007327329</c:v>
                </c:pt>
                <c:pt idx="13">
                  <c:v>2.4667076679883593</c:v>
                </c:pt>
                <c:pt idx="14">
                  <c:v>2.6468063598402054</c:v>
                </c:pt>
                <c:pt idx="15">
                  <c:v>2.8388111092215595</c:v>
                </c:pt>
                <c:pt idx="16">
                  <c:v>3.0437104096916769</c:v>
                </c:pt>
                <c:pt idx="17">
                  <c:v>3.2626065820749588</c:v>
                </c:pt>
                <c:pt idx="18">
                  <c:v>3.4967329578260546</c:v>
                </c:pt>
                <c:pt idx="19">
                  <c:v>3.7474744145183863</c:v>
                </c:pt>
                <c:pt idx="20">
                  <c:v>4.0163920800251915</c:v>
                </c:pt>
                <c:pt idx="21">
                  <c:v>4.3052532647474209</c:v>
                </c:pt>
                <c:pt idx="22">
                  <c:v>4.6160680102898155</c:v>
                </c:pt>
                <c:pt idx="23">
                  <c:v>4.9511340944421747</c:v>
                </c:pt>
                <c:pt idx="24">
                  <c:v>5.313092959978178</c:v>
                </c:pt>
                <c:pt idx="25">
                  <c:v>5.7049999200930372</c:v>
                </c:pt>
                <c:pt idx="26">
                  <c:v>6.1304132618487372</c:v>
                </c:pt>
                <c:pt idx="27">
                  <c:v>6.5935087183775565</c:v>
                </c:pt>
                <c:pt idx="28">
                  <c:v>7.0992285286095012</c:v>
                </c:pt>
                <c:pt idx="29">
                  <c:v>7.6534784737245261</c:v>
                </c:pt>
                <c:pt idx="30">
                  <c:v>8.2633927593510066</c:v>
                </c:pt>
                <c:pt idx="31">
                  <c:v>8.937696949947302</c:v>
                </c:pt>
                <c:pt idx="32">
                  <c:v>9.6872161529546901</c:v>
                </c:pt>
                <c:pt idx="33">
                  <c:v>10.525604544644253</c:v>
                </c:pt>
                <c:pt idx="34">
                  <c:v>11.470423429524942</c:v>
                </c:pt>
                <c:pt idx="35">
                  <c:v>12.544789617338409</c:v>
                </c:pt>
                <c:pt idx="36">
                  <c:v>13.78000070704995</c:v>
                </c:pt>
                <c:pt idx="37">
                  <c:v>15.219929102958005</c:v>
                </c:pt>
                <c:pt idx="38">
                  <c:v>16.928846160593764</c:v>
                </c:pt>
                <c:pt idx="39">
                  <c:v>19.006508203058502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A9-42FF-9A8C-8F9F7969DD5C}"/>
            </c:ext>
          </c:extLst>
        </c:ser>
        <c:ser>
          <c:idx val="1"/>
          <c:order val="1"/>
          <c:tx>
            <c:strRef>
              <c:f>'New_cases_rates - LNorm'!$AL$7</c:f>
              <c:strCache>
                <c:ptCount val="1"/>
                <c:pt idx="0">
                  <c:v>Lombardy d.t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>
                    <a:alpha val="99000"/>
                  </a:srgbClr>
                </a:solidFill>
              </a:ln>
              <a:effectLst/>
            </c:spPr>
          </c:marker>
          <c:xVal>
            <c:numRef>
              <c:f>'New_cases_rates - LNorm'!$C$62:$C$99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'New_cases_rates - LNorm'!$AL$62:$AL$99</c:f>
              <c:numCache>
                <c:formatCode>General</c:formatCode>
                <c:ptCount val="38"/>
                <c:pt idx="0">
                  <c:v>1.9585803411095704</c:v>
                </c:pt>
                <c:pt idx="1">
                  <c:v>2.1263016705482691</c:v>
                </c:pt>
                <c:pt idx="2">
                  <c:v>2.3044162402813448</c:v>
                </c:pt>
                <c:pt idx="3">
                  <c:v>2.4936128779493636</c:v>
                </c:pt>
                <c:pt idx="4">
                  <c:v>2.6946459127522857</c:v>
                </c:pt>
                <c:pt idx="5">
                  <c:v>2.9083429191150714</c:v>
                </c:pt>
                <c:pt idx="6">
                  <c:v>3.1356136792830149</c:v>
                </c:pt>
                <c:pt idx="7">
                  <c:v>3.3774605947578813</c:v>
                </c:pt>
                <c:pt idx="8">
                  <c:v>3.6349908304177951</c:v>
                </c:pt>
                <c:pt idx="9">
                  <c:v>3.9094305437078773</c:v>
                </c:pt>
                <c:pt idx="10">
                  <c:v>4.202141639148941</c:v>
                </c:pt>
                <c:pt idx="11">
                  <c:v>4.5146416020071101</c:v>
                </c:pt>
                <c:pt idx="12">
                  <c:v>4.8486271131660743</c:v>
                </c:pt>
                <c:pt idx="13">
                  <c:v>5.2060023424234387</c:v>
                </c:pt>
                <c:pt idx="14">
                  <c:v>5.5889130770940909</c:v>
                </c:pt>
                <c:pt idx="15">
                  <c:v>5.9997881919861697</c:v>
                </c:pt>
                <c:pt idx="16">
                  <c:v>6.4413904418615999</c:v>
                </c:pt>
                <c:pt idx="17">
                  <c:v>6.9168792118976725</c:v>
                </c:pt>
                <c:pt idx="18">
                  <c:v>7.4298887754686476</c:v>
                </c:pt>
                <c:pt idx="19">
                  <c:v>7.9846269035611996</c:v>
                </c:pt>
                <c:pt idx="20">
                  <c:v>8.5860005352132518</c:v>
                </c:pt>
                <c:pt idx="21">
                  <c:v>9.2397779525181605</c:v>
                </c:pt>
                <c:pt idx="22">
                  <c:v>9.9528009911198438</c:v>
                </c:pt>
                <c:pt idx="23">
                  <c:v>10.733267061569258</c:v>
                </c:pt>
                <c:pt idx="24">
                  <c:v>11.591110530717224</c:v>
                </c:pt>
                <c:pt idx="25">
                  <c:v>12.538528732472578</c:v>
                </c:pt>
                <c:pt idx="26">
                  <c:v>13.590723953151617</c:v>
                </c:pt>
                <c:pt idx="27">
                  <c:v>14.766977540909892</c:v>
                </c:pt>
                <c:pt idx="28">
                  <c:v>16.092252467244421</c:v>
                </c:pt>
                <c:pt idx="29">
                  <c:v>17.599671131563994</c:v>
                </c:pt>
                <c:pt idx="30">
                  <c:v>19.33451392052477</c:v>
                </c:pt>
                <c:pt idx="31">
                  <c:v>21.36101882592969</c:v>
                </c:pt>
                <c:pt idx="32">
                  <c:v>23.774729533513465</c:v>
                </c:pt>
                <c:pt idx="33">
                  <c:v>26.726912334079998</c:v>
                </c:pt>
                <c:pt idx="34">
                  <c:v>30.478740815269546</c:v>
                </c:pt>
                <c:pt idx="35">
                  <c:v>35.543386013479832</c:v>
                </c:pt>
                <c:pt idx="36">
                  <c:v>43.174187218562636</c:v>
                </c:pt>
                <c:pt idx="37">
                  <c:v>58.307140641134268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A9-42FF-9A8C-8F9F7969DD5C}"/>
            </c:ext>
          </c:extLst>
        </c:ser>
        <c:ser>
          <c:idx val="2"/>
          <c:order val="2"/>
          <c:tx>
            <c:strRef>
              <c:f>'New_cases_rates - LNorm'!$BG$7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LNorm'!$BG$62:$BG$101</c:f>
              <c:numCache>
                <c:formatCode>General</c:formatCode>
                <c:ptCount val="40"/>
                <c:pt idx="0">
                  <c:v>1.0218391596502805</c:v>
                </c:pt>
                <c:pt idx="1">
                  <c:v>1.13170405971265</c:v>
                </c:pt>
                <c:pt idx="2">
                  <c:v>1.2489716615944069</c:v>
                </c:pt>
                <c:pt idx="3">
                  <c:v>1.3741064128278317</c:v>
                </c:pt>
                <c:pt idx="4">
                  <c:v>1.5076174862893517</c:v>
                </c:pt>
                <c:pt idx="5">
                  <c:v>1.6500635045572594</c:v>
                </c:pt>
                <c:pt idx="6">
                  <c:v>1.8020580121810745</c:v>
                </c:pt>
                <c:pt idx="7">
                  <c:v>1.9642758151927531</c:v>
                </c:pt>
                <c:pt idx="8">
                  <c:v>2.1374603361735929</c:v>
                </c:pt>
                <c:pt idx="9">
                  <c:v>2.3224321686080316</c:v>
                </c:pt>
                <c:pt idx="10">
                  <c:v>2.5200990582817298</c:v>
                </c:pt>
                <c:pt idx="11">
                  <c:v>2.7314675949398151</c:v>
                </c:pt>
                <c:pt idx="12">
                  <c:v>2.9576569680619542</c:v>
                </c:pt>
                <c:pt idx="13">
                  <c:v>3.1999152315051376</c:v>
                </c:pt>
                <c:pt idx="14">
                  <c:v>3.4596386398690271</c:v>
                </c:pt>
                <c:pt idx="15">
                  <c:v>3.7383947744129458</c:v>
                </c:pt>
                <c:pt idx="16">
                  <c:v>4.0379503817983462</c:v>
                </c:pt>
                <c:pt idx="17">
                  <c:v>4.3603051242150386</c:v>
                </c:pt>
                <c:pt idx="18">
                  <c:v>4.7077328125698372</c:v>
                </c:pt>
                <c:pt idx="19">
                  <c:v>5.08283220639251</c:v>
                </c:pt>
                <c:pt idx="20">
                  <c:v>5.4885901760191018</c:v>
                </c:pt>
                <c:pt idx="21">
                  <c:v>5.9284610269048201</c:v>
                </c:pt>
                <c:pt idx="22">
                  <c:v>6.4064672251588632</c:v>
                </c:pt>
                <c:pt idx="23">
                  <c:v>6.9273288618755302</c:v>
                </c:pt>
                <c:pt idx="24">
                  <c:v>7.4966323122490337</c:v>
                </c:pt>
                <c:pt idx="25">
                  <c:v>8.121053278192349</c:v>
                </c:pt>
                <c:pt idx="26">
                  <c:v>8.808656756494436</c:v>
                </c:pt>
                <c:pt idx="27">
                  <c:v>9.5693082042581068</c:v>
                </c:pt>
                <c:pt idx="28">
                  <c:v>10.415249449034846</c:v>
                </c:pt>
                <c:pt idx="29">
                  <c:v>11.361925659387857</c:v>
                </c:pt>
                <c:pt idx="30">
                  <c:v>12.429207613467682</c:v>
                </c:pt>
                <c:pt idx="31">
                  <c:v>13.64326064508996</c:v>
                </c:pt>
                <c:pt idx="32">
                  <c:v>15.039520753454553</c:v>
                </c:pt>
                <c:pt idx="33">
                  <c:v>16.66767361753179</c:v>
                </c:pt>
                <c:pt idx="34">
                  <c:v>18.600512695785355</c:v>
                </c:pt>
                <c:pt idx="35">
                  <c:v>20.950992319485024</c:v>
                </c:pt>
                <c:pt idx="36">
                  <c:v>23.908707735389129</c:v>
                </c:pt>
                <c:pt idx="37">
                  <c:v>27.830509376180089</c:v>
                </c:pt>
                <c:pt idx="38">
                  <c:v>33.524589998605194</c:v>
                </c:pt>
                <c:pt idx="39">
                  <c:v>43.632633802842435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A9-42FF-9A8C-8F9F7969DD5C}"/>
            </c:ext>
          </c:extLst>
        </c:ser>
        <c:ser>
          <c:idx val="6"/>
          <c:order val="6"/>
          <c:tx>
            <c:strRef>
              <c:f>'New_cases_rates - LNorm'!$B$6</c:f>
              <c:strCache>
                <c:ptCount val="1"/>
                <c:pt idx="0">
                  <c:v>30-Apr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121</c:v>
                </c:pt>
                <c:pt idx="1">
                  <c:v>121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Italy - growth rates and dubling time - Lognormal </a:t>
            </a:r>
            <a:r>
              <a:rPr lang="it-IT" sz="1800" b="0" i="0" baseline="0">
                <a:effectLst/>
              </a:rPr>
              <a:t>fit (log-linear plot)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'New_cases_rates - LNorm'!$P$7</c:f>
              <c:strCache>
                <c:ptCount val="1"/>
                <c:pt idx="0">
                  <c:v>Spain fitted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LNorm'!$C$62:$C$130</c:f>
              <c:numCache>
                <c:formatCode>General</c:formatCode>
                <c:ptCount val="69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</c:numCache>
            </c:numRef>
          </c:xVal>
          <c:yVal>
            <c:numRef>
              <c:f>'New_cases_rates - LNorm'!$P$62:$P$130</c:f>
              <c:numCache>
                <c:formatCode>0%</c:formatCode>
                <c:ptCount val="69"/>
                <c:pt idx="0">
                  <c:v>0.80206666276612815</c:v>
                </c:pt>
                <c:pt idx="1">
                  <c:v>0.73617735922834782</c:v>
                </c:pt>
                <c:pt idx="2">
                  <c:v>0.67742900189422239</c:v>
                </c:pt>
                <c:pt idx="3">
                  <c:v>0.62481002004173936</c:v>
                </c:pt>
                <c:pt idx="4">
                  <c:v>0.57748569184927678</c:v>
                </c:pt>
                <c:pt idx="5">
                  <c:v>0.53476173718452402</c:v>
                </c:pt>
                <c:pt idx="6">
                  <c:v>0.4960564619811309</c:v>
                </c:pt>
                <c:pt idx="7">
                  <c:v>0.46087921381190411</c:v>
                </c:pt>
                <c:pt idx="8">
                  <c:v>0.42881355191701143</c:v>
                </c:pt>
                <c:pt idx="9">
                  <c:v>0.39950397844197266</c:v>
                </c:pt>
                <c:pt idx="10">
                  <c:v>0.37264538766344724</c:v>
                </c:pt>
                <c:pt idx="11">
                  <c:v>0.3479746096087396</c:v>
                </c:pt>
                <c:pt idx="12">
                  <c:v>0.32526358199970146</c:v>
                </c:pt>
                <c:pt idx="13">
                  <c:v>0.30431379873977482</c:v>
                </c:pt>
                <c:pt idx="14">
                  <c:v>0.28495176697467417</c:v>
                </c:pt>
                <c:pt idx="15">
                  <c:v>0.26702526683811278</c:v>
                </c:pt>
                <c:pt idx="16">
                  <c:v>0.25040025441152408</c:v>
                </c:pt>
                <c:pt idx="17">
                  <c:v>0.23495828343979538</c:v>
                </c:pt>
                <c:pt idx="18">
                  <c:v>0.22059434797511179</c:v>
                </c:pt>
                <c:pt idx="19">
                  <c:v>0.20721506853378704</c:v>
                </c:pt>
                <c:pt idx="20">
                  <c:v>0.19473716011368497</c:v>
                </c:pt>
                <c:pt idx="21">
                  <c:v>0.18308613267671076</c:v>
                </c:pt>
                <c:pt idx="22">
                  <c:v>0.1721951842948104</c:v>
                </c:pt>
                <c:pt idx="23">
                  <c:v>0.16200425471444205</c:v>
                </c:pt>
                <c:pt idx="24">
                  <c:v>0.15245921308184673</c:v>
                </c:pt>
                <c:pt idx="25">
                  <c:v>0.14351115834222852</c:v>
                </c:pt>
                <c:pt idx="26">
                  <c:v>0.13511581464794023</c:v>
                </c:pt>
                <c:pt idx="27">
                  <c:v>0.1272330071883116</c:v>
                </c:pt>
                <c:pt idx="28">
                  <c:v>0.11982620634403918</c:v>
                </c:pt>
                <c:pt idx="29">
                  <c:v>0.11286213009355568</c:v>
                </c:pt>
                <c:pt idx="30">
                  <c:v>0.10631039625198631</c:v>
                </c:pt>
                <c:pt idx="31">
                  <c:v>0.10014321747906026</c:v>
                </c:pt>
                <c:pt idx="32">
                  <c:v>9.4335133108747068E-2</c:v>
                </c:pt>
                <c:pt idx="33">
                  <c:v>8.8862772776258855E-2</c:v>
                </c:pt>
                <c:pt idx="34">
                  <c:v>8.3704647583851197E-2</c:v>
                </c:pt>
                <c:pt idx="35">
                  <c:v>7.884096518454238E-2</c:v>
                </c:pt>
                <c:pt idx="36">
                  <c:v>7.4253465695746618E-2</c:v>
                </c:pt>
                <c:pt idx="37">
                  <c:v>6.9925275801536499E-2</c:v>
                </c:pt>
                <c:pt idx="38">
                  <c:v>6.5840778777954564E-2</c:v>
                </c:pt>
                <c:pt idx="39">
                  <c:v>6.1985498492698618E-2</c:v>
                </c:pt>
                <c:pt idx="40">
                  <c:v>5.8345995698589434E-2</c:v>
                </c:pt>
                <c:pt idx="41">
                  <c:v>5.4909775167641166E-2</c:v>
                </c:pt>
                <c:pt idx="42">
                  <c:v>5.1665202405962805E-2</c:v>
                </c:pt>
                <c:pt idx="43">
                  <c:v>4.8601428854618052E-2</c:v>
                </c:pt>
                <c:pt idx="44">
                  <c:v>4.5708324622508928E-2</c:v>
                </c:pt>
                <c:pt idx="45">
                  <c:v>4.2976417918070518E-2</c:v>
                </c:pt>
                <c:pt idx="46">
                  <c:v>4.0396840450209068E-2</c:v>
                </c:pt>
                <c:pt idx="47">
                  <c:v>3.7961278158078315E-2</c:v>
                </c:pt>
                <c:pt idx="48">
                  <c:v>3.5661926706157747E-2</c:v>
                </c:pt>
                <c:pt idx="49">
                  <c:v>3.3491451247498534E-2</c:v>
                </c:pt>
                <c:pt idx="50">
                  <c:v>3.1442950015484195E-2</c:v>
                </c:pt>
                <c:pt idx="51">
                  <c:v>2.9509921354299685E-2</c:v>
                </c:pt>
                <c:pt idx="52">
                  <c:v>2.7686233841644523E-2</c:v>
                </c:pt>
                <c:pt idx="53">
                  <c:v>2.5966099194961519E-2</c:v>
                </c:pt>
                <c:pt idx="54">
                  <c:v>2.4344047685414389E-2</c:v>
                </c:pt>
                <c:pt idx="55">
                  <c:v>2.2814905812686803E-2</c:v>
                </c:pt>
                <c:pt idx="56">
                  <c:v>2.1373776018989103E-2</c:v>
                </c:pt>
                <c:pt idx="57">
                  <c:v>2.0016018242934662E-2</c:v>
                </c:pt>
                <c:pt idx="58">
                  <c:v>1.8737233133613744E-2</c:v>
                </c:pt>
                <c:pt idx="59">
                  <c:v>1.7533246762614658E-2</c:v>
                </c:pt>
                <c:pt idx="60">
                  <c:v>1.6400096687228156E-2</c:v>
                </c:pt>
                <c:pt idx="61">
                  <c:v>1.5334019231893569E-2</c:v>
                </c:pt>
                <c:pt idx="62">
                  <c:v>1.4331437867328356E-2</c:v>
                </c:pt>
                <c:pt idx="63">
                  <c:v>1.3388952577924747E-2</c:v>
                </c:pt>
                <c:pt idx="64">
                  <c:v>1.25033301180643E-2</c:v>
                </c:pt>
                <c:pt idx="65">
                  <c:v>1.1671495067129811E-2</c:v>
                </c:pt>
                <c:pt idx="66">
                  <c:v>1.0890521601313478E-2</c:v>
                </c:pt>
                <c:pt idx="67">
                  <c:v>1.0157625907916435E-2</c:v>
                </c:pt>
                <c:pt idx="68">
                  <c:v>9.4701591748066801E-3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69-408E-A0BB-3BFDA5FABBA5}"/>
            </c:ext>
          </c:extLst>
        </c:ser>
        <c:ser>
          <c:idx val="4"/>
          <c:order val="4"/>
          <c:tx>
            <c:strRef>
              <c:f>'New_cases_rates - LNorm'!$AO$7</c:f>
              <c:strCache>
                <c:ptCount val="1"/>
                <c:pt idx="0">
                  <c:v>Lombardy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LNorm'!$AO$63:$AO$130</c:f>
              <c:numCache>
                <c:formatCode>0%</c:formatCode>
                <c:ptCount val="68"/>
                <c:pt idx="0">
                  <c:v>0.35289468264905571</c:v>
                </c:pt>
                <c:pt idx="1">
                  <c:v>0.3270787923247464</c:v>
                </c:pt>
                <c:pt idx="2">
                  <c:v>0.30369337463318974</c:v>
                </c:pt>
                <c:pt idx="3">
                  <c:v>0.28244222863411134</c:v>
                </c:pt>
                <c:pt idx="4">
                  <c:v>0.26307380925042234</c:v>
                </c:pt>
                <c:pt idx="5">
                  <c:v>0.24537326709096341</c:v>
                </c:pt>
                <c:pt idx="6">
                  <c:v>0.22915611382482493</c:v>
                </c:pt>
                <c:pt idx="7">
                  <c:v>0.21426314131436699</c:v>
                </c:pt>
                <c:pt idx="8">
                  <c:v>0.20055631634398277</c:v>
                </c:pt>
                <c:pt idx="9">
                  <c:v>0.18791544078999148</c:v>
                </c:pt>
                <c:pt idx="10">
                  <c:v>0.17623541700307194</c:v>
                </c:pt>
                <c:pt idx="11">
                  <c:v>0.16542399519227738</c:v>
                </c:pt>
                <c:pt idx="12">
                  <c:v>0.15539990730309677</c:v>
                </c:pt>
                <c:pt idx="13">
                  <c:v>0.14609131279691001</c:v>
                </c:pt>
                <c:pt idx="14">
                  <c:v>0.13743449765935739</c:v>
                </c:pt>
                <c:pt idx="15">
                  <c:v>0.1293727801776853</c:v>
                </c:pt>
                <c:pt idx="16">
                  <c:v>0.12185558646431192</c:v>
                </c:pt>
                <c:pt idx="17">
                  <c:v>0.11483766604698344</c:v>
                </c:pt>
                <c:pt idx="18">
                  <c:v>0.10827842359721744</c:v>
                </c:pt>
                <c:pt idx="19">
                  <c:v>0.10214134740135478</c:v>
                </c:pt>
                <c:pt idx="20">
                  <c:v>9.6393518771884748E-2</c:v>
                </c:pt>
                <c:pt idx="21">
                  <c:v>9.1005189461424538E-2</c:v>
                </c:pt>
                <c:pt idx="22">
                  <c:v>8.5949416437812523E-2</c:v>
                </c:pt>
                <c:pt idx="23">
                  <c:v>8.120174522848092E-2</c:v>
                </c:pt>
                <c:pt idx="24">
                  <c:v>7.6739934539658078E-2</c:v>
                </c:pt>
                <c:pt idx="25">
                  <c:v>7.2543716073749015E-2</c:v>
                </c:pt>
                <c:pt idx="26">
                  <c:v>6.8594584463072525E-2</c:v>
                </c:pt>
                <c:pt idx="27">
                  <c:v>6.4875613054290418E-2</c:v>
                </c:pt>
                <c:pt idx="28">
                  <c:v>6.1371291950147726E-2</c:v>
                </c:pt>
                <c:pt idx="29">
                  <c:v>5.8067385271109433E-2</c:v>
                </c:pt>
                <c:pt idx="30">
                  <c:v>5.4950805060957765E-2</c:v>
                </c:pt>
                <c:pt idx="31">
                  <c:v>5.2009499644861706E-2</c:v>
                </c:pt>
                <c:pt idx="32">
                  <c:v>4.9232354569802628E-2</c:v>
                </c:pt>
                <c:pt idx="33">
                  <c:v>4.6609104526795092E-2</c:v>
                </c:pt>
                <c:pt idx="34">
                  <c:v>4.4130254881150598E-2</c:v>
                </c:pt>
                <c:pt idx="35">
                  <c:v>4.1787011628470039E-2</c:v>
                </c:pt>
                <c:pt idx="36">
                  <c:v>3.9571218756117826E-2</c:v>
                </c:pt>
                <c:pt idx="37">
                  <c:v>3.7475302127522571E-2</c:v>
                </c:pt>
                <c:pt idx="38">
                  <c:v>3.54922191237989E-2</c:v>
                </c:pt>
                <c:pt idx="39">
                  <c:v>3.3615413377186557E-2</c:v>
                </c:pt>
                <c:pt idx="40">
                  <c:v>3.1838774016399084E-2</c:v>
                </c:pt>
                <c:pt idx="41">
                  <c:v>3.0156598917424442E-2</c:v>
                </c:pt>
                <c:pt idx="42">
                  <c:v>2.8563561516494255E-2</c:v>
                </c:pt>
                <c:pt idx="43">
                  <c:v>2.7054680796421336E-2</c:v>
                </c:pt>
                <c:pt idx="44">
                  <c:v>2.562529410458099E-2</c:v>
                </c:pt>
                <c:pt idx="45">
                  <c:v>2.42710325015996E-2</c:v>
                </c:pt>
                <c:pt idx="46">
                  <c:v>2.2987798375218534E-2</c:v>
                </c:pt>
                <c:pt idx="47">
                  <c:v>2.1771745084603968E-2</c:v>
                </c:pt>
                <c:pt idx="48">
                  <c:v>2.0619258427231873E-2</c:v>
                </c:pt>
                <c:pt idx="49">
                  <c:v>1.9526939743939663E-2</c:v>
                </c:pt>
                <c:pt idx="50">
                  <c:v>1.8491590498276943E-2</c:v>
                </c:pt>
                <c:pt idx="51">
                  <c:v>1.7510198184306623E-2</c:v>
                </c:pt>
                <c:pt idx="52">
                  <c:v>1.657992343284026E-2</c:v>
                </c:pt>
                <c:pt idx="53">
                  <c:v>1.5698088200039234E-2</c:v>
                </c:pt>
                <c:pt idx="54">
                  <c:v>1.4862164934611396E-2</c:v>
                </c:pt>
                <c:pt idx="55">
                  <c:v>1.4069766630706023E-2</c:v>
                </c:pt>
                <c:pt idx="56">
                  <c:v>1.3318637683235317E-2</c:v>
                </c:pt>
                <c:pt idx="57">
                  <c:v>1.2606645470889112E-2</c:v>
                </c:pt>
                <c:pt idx="58">
                  <c:v>1.1931772599692516E-2</c:v>
                </c:pt>
                <c:pt idx="59">
                  <c:v>1.1292109746707685E-2</c:v>
                </c:pt>
                <c:pt idx="60">
                  <c:v>1.068584904949584E-2</c:v>
                </c:pt>
                <c:pt idx="61">
                  <c:v>1.0111277992326795E-2</c:v>
                </c:pt>
                <c:pt idx="62">
                  <c:v>9.5667737449239686E-3</c:v>
                </c:pt>
                <c:pt idx="63">
                  <c:v>9.0507979138310206E-3</c:v>
                </c:pt>
                <c:pt idx="64">
                  <c:v>8.5618916703399071E-3</c:v>
                </c:pt>
                <c:pt idx="65">
                  <c:v>8.0986712223774706E-3</c:v>
                </c:pt>
                <c:pt idx="66">
                  <c:v>7.6598236008559688E-3</c:v>
                </c:pt>
                <c:pt idx="67">
                  <c:v>7.2441027337891966E-3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69-408E-A0BB-3BFDA5FABBA5}"/>
            </c:ext>
          </c:extLst>
        </c:ser>
        <c:ser>
          <c:idx val="5"/>
          <c:order val="5"/>
          <c:tx>
            <c:strRef>
              <c:f>'New_cases_rates - LNorm'!$BJ$7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'New_cases_rates - LNorm'!$BJ$63:$BJ$130</c:f>
              <c:numCache>
                <c:formatCode>0%</c:formatCode>
                <c:ptCount val="68"/>
                <c:pt idx="0">
                  <c:v>0.64623059731343746</c:v>
                </c:pt>
                <c:pt idx="1">
                  <c:v>0.5875383464578201</c:v>
                </c:pt>
                <c:pt idx="2">
                  <c:v>0.5359417988058327</c:v>
                </c:pt>
                <c:pt idx="3">
                  <c:v>0.49032436549777869</c:v>
                </c:pt>
                <c:pt idx="4">
                  <c:v>0.44978532820055289</c:v>
                </c:pt>
                <c:pt idx="5">
                  <c:v>0.41359088357587548</c:v>
                </c:pt>
                <c:pt idx="6">
                  <c:v>0.38113780799085417</c:v>
                </c:pt>
                <c:pt idx="7">
                  <c:v>0.35192612632186826</c:v>
                </c:pt>
                <c:pt idx="8">
                  <c:v>0.32553830130170636</c:v>
                </c:pt>
                <c:pt idx="9">
                  <c:v>0.30162320964408512</c:v>
                </c:pt>
                <c:pt idx="10">
                  <c:v>0.27988367637905137</c:v>
                </c:pt>
                <c:pt idx="11">
                  <c:v>0.26006668478484946</c:v>
                </c:pt>
                <c:pt idx="12">
                  <c:v>0.24195561975646504</c:v>
                </c:pt>
                <c:pt idx="13">
                  <c:v>0.22536407189177263</c:v>
                </c:pt>
                <c:pt idx="14">
                  <c:v>0.21013085050474101</c:v>
                </c:pt>
                <c:pt idx="15">
                  <c:v>0.19611594110699512</c:v>
                </c:pt>
                <c:pt idx="16">
                  <c:v>0.1831972066661017</c:v>
                </c:pt>
                <c:pt idx="17">
                  <c:v>0.17126767899074108</c:v>
                </c:pt>
                <c:pt idx="18">
                  <c:v>0.16023332163156281</c:v>
                </c:pt>
                <c:pt idx="19">
                  <c:v>0.15001117202123257</c:v>
                </c:pt>
                <c:pt idx="20">
                  <c:v>0.14052779053851441</c:v>
                </c:pt>
                <c:pt idx="21">
                  <c:v>0.13171795943294887</c:v>
                </c:pt>
                <c:pt idx="22">
                  <c:v>0.12352358628794134</c:v>
                </c:pt>
                <c:pt idx="23">
                  <c:v>0.11589277580342515</c:v>
                </c:pt>
                <c:pt idx="24">
                  <c:v>0.10877904078500635</c:v>
                </c:pt>
                <c:pt idx="25">
                  <c:v>0.10214062880847133</c:v>
                </c:pt>
                <c:pt idx="26">
                  <c:v>9.5939945440125921E-2</c:v>
                </c:pt>
                <c:pt idx="27">
                  <c:v>9.0143058400144582E-2</c:v>
                </c:pt>
                <c:pt idx="28">
                  <c:v>8.471926985883052E-2</c:v>
                </c:pt>
                <c:pt idx="29">
                  <c:v>7.964074630746297E-2</c:v>
                </c:pt>
                <c:pt idx="30">
                  <c:v>7.4882197263546099E-2</c:v>
                </c:pt>
                <c:pt idx="31">
                  <c:v>7.0420595545268305E-2</c:v>
                </c:pt>
                <c:pt idx="32">
                  <c:v>6.6234933052021217E-2</c:v>
                </c:pt>
                <c:pt idx="33">
                  <c:v>6.230600697168992E-2</c:v>
                </c:pt>
                <c:pt idx="34">
                  <c:v>5.8616232144055244E-2</c:v>
                </c:pt>
                <c:pt idx="35">
                  <c:v>5.5149475976899141E-2</c:v>
                </c:pt>
                <c:pt idx="36">
                  <c:v>5.1890912864106908E-2</c:v>
                </c:pt>
                <c:pt idx="37">
                  <c:v>4.8826895514551022E-2</c:v>
                </c:pt>
                <c:pt idx="38">
                  <c:v>4.594484098389124E-2</c:v>
                </c:pt>
                <c:pt idx="39">
                  <c:v>4.3233129522337467E-2</c:v>
                </c:pt>
                <c:pt idx="40">
                  <c:v>4.0681014620939662E-2</c:v>
                </c:pt>
                <c:pt idx="41">
                  <c:v>3.8278542866045817E-2</c:v>
                </c:pt>
                <c:pt idx="42">
                  <c:v>3.601648240345881E-2</c:v>
                </c:pt>
                <c:pt idx="43">
                  <c:v>3.3886258976474182E-2</c:v>
                </c:pt>
                <c:pt idx="44">
                  <c:v>3.1879898640223898E-2</c:v>
                </c:pt>
                <c:pt idx="45">
                  <c:v>2.9989976372600965E-2</c:v>
                </c:pt>
                <c:pt idx="46">
                  <c:v>2.8209569902746184E-2</c:v>
                </c:pt>
                <c:pt idx="47">
                  <c:v>2.6532218164403258E-2</c:v>
                </c:pt>
                <c:pt idx="48">
                  <c:v>2.4951883855594579E-2</c:v>
                </c:pt>
                <c:pt idx="49">
                  <c:v>2.3462919649960209E-2</c:v>
                </c:pt>
                <c:pt idx="50">
                  <c:v>2.2060037660260108E-2</c:v>
                </c:pt>
                <c:pt idx="51">
                  <c:v>2.0738281802298801E-2</c:v>
                </c:pt>
                <c:pt idx="52">
                  <c:v>1.9493002748973764E-2</c:v>
                </c:pt>
                <c:pt idx="53">
                  <c:v>1.8319835200202621E-2</c:v>
                </c:pt>
                <c:pt idx="54">
                  <c:v>1.721467722592122E-2</c:v>
                </c:pt>
                <c:pt idx="55">
                  <c:v>1.6173671466824899E-2</c:v>
                </c:pt>
                <c:pt idx="56">
                  <c:v>1.5193188001598934E-2</c:v>
                </c:pt>
                <c:pt idx="57">
                  <c:v>1.4269808710523038E-2</c:v>
                </c:pt>
                <c:pt idx="58">
                  <c:v>1.3400312983940756E-2</c:v>
                </c:pt>
                <c:pt idx="59">
                  <c:v>1.2581664640491198E-2</c:v>
                </c:pt>
                <c:pt idx="60">
                  <c:v>1.1810999934505507E-2</c:v>
                </c:pt>
                <c:pt idx="61">
                  <c:v>1.1085616544812578E-2</c:v>
                </c:pt>
                <c:pt idx="62">
                  <c:v>1.0402963448596977E-2</c:v>
                </c:pt>
                <c:pt idx="63">
                  <c:v>9.7606315940833768E-3</c:v>
                </c:pt>
                <c:pt idx="64">
                  <c:v>9.1563452948430941E-3</c:v>
                </c:pt>
                <c:pt idx="65">
                  <c:v>8.5879542765640981E-3</c:v>
                </c:pt>
                <c:pt idx="66">
                  <c:v>8.053426314311227E-3</c:v>
                </c:pt>
                <c:pt idx="67">
                  <c:v>7.5508404047279314E-3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'New_cases_rates - LNorm'!$I$7</c:f>
              <c:strCache>
                <c:ptCount val="1"/>
                <c:pt idx="0">
                  <c:v>Spain fitted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LNorm'!$I$62:$I$101</c:f>
              <c:numCache>
                <c:formatCode>General</c:formatCode>
                <c:ptCount val="40"/>
                <c:pt idx="0">
                  <c:v>0.89811107065550644</c:v>
                </c:pt>
                <c:pt idx="1">
                  <c:v>0.98066850870038635</c:v>
                </c:pt>
                <c:pt idx="2">
                  <c:v>1.0682078489668783</c:v>
                </c:pt>
                <c:pt idx="3">
                  <c:v>1.1610236768290818</c:v>
                </c:pt>
                <c:pt idx="4">
                  <c:v>1.2594364547337094</c:v>
                </c:pt>
                <c:pt idx="5">
                  <c:v>1.363795081876912</c:v>
                </c:pt>
                <c:pt idx="6">
                  <c:v>1.4744798083422701</c:v>
                </c:pt>
                <c:pt idx="7">
                  <c:v>1.5919055560088893</c:v>
                </c:pt>
                <c:pt idx="8">
                  <c:v>1.7165257093383488</c:v>
                </c:pt>
                <c:pt idx="9">
                  <c:v>1.8488364521717209</c:v>
                </c:pt>
                <c:pt idx="10">
                  <c:v>1.9893817425465272</c:v>
                </c:pt>
                <c:pt idx="11">
                  <c:v>2.138759037083112</c:v>
                </c:pt>
                <c:pt idx="12">
                  <c:v>2.2976259007327329</c:v>
                </c:pt>
                <c:pt idx="13">
                  <c:v>2.4667076679883593</c:v>
                </c:pt>
                <c:pt idx="14">
                  <c:v>2.6468063598402054</c:v>
                </c:pt>
                <c:pt idx="15">
                  <c:v>2.8388111092215595</c:v>
                </c:pt>
                <c:pt idx="16">
                  <c:v>3.0437104096916769</c:v>
                </c:pt>
                <c:pt idx="17">
                  <c:v>3.2626065820749588</c:v>
                </c:pt>
                <c:pt idx="18">
                  <c:v>3.4967329578260546</c:v>
                </c:pt>
                <c:pt idx="19">
                  <c:v>3.7474744145183863</c:v>
                </c:pt>
                <c:pt idx="20">
                  <c:v>4.0163920800251915</c:v>
                </c:pt>
                <c:pt idx="21">
                  <c:v>4.3052532647474209</c:v>
                </c:pt>
                <c:pt idx="22">
                  <c:v>4.6160680102898155</c:v>
                </c:pt>
                <c:pt idx="23">
                  <c:v>4.9511340944421747</c:v>
                </c:pt>
                <c:pt idx="24">
                  <c:v>5.313092959978178</c:v>
                </c:pt>
                <c:pt idx="25">
                  <c:v>5.7049999200930372</c:v>
                </c:pt>
                <c:pt idx="26">
                  <c:v>6.1304132618487372</c:v>
                </c:pt>
                <c:pt idx="27">
                  <c:v>6.5935087183775565</c:v>
                </c:pt>
                <c:pt idx="28">
                  <c:v>7.0992285286095012</c:v>
                </c:pt>
                <c:pt idx="29">
                  <c:v>7.6534784737245261</c:v>
                </c:pt>
                <c:pt idx="30">
                  <c:v>8.2633927593510066</c:v>
                </c:pt>
                <c:pt idx="31">
                  <c:v>8.937696949947302</c:v>
                </c:pt>
                <c:pt idx="32">
                  <c:v>9.6872161529546901</c:v>
                </c:pt>
                <c:pt idx="33">
                  <c:v>10.525604544644253</c:v>
                </c:pt>
                <c:pt idx="34">
                  <c:v>11.470423429524942</c:v>
                </c:pt>
                <c:pt idx="35">
                  <c:v>12.544789617338409</c:v>
                </c:pt>
                <c:pt idx="36">
                  <c:v>13.78000070704995</c:v>
                </c:pt>
                <c:pt idx="37">
                  <c:v>15.219929102958005</c:v>
                </c:pt>
                <c:pt idx="38">
                  <c:v>16.928846160593764</c:v>
                </c:pt>
                <c:pt idx="39">
                  <c:v>19.006508203058502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69-408E-A0BB-3BFDA5FABBA5}"/>
            </c:ext>
          </c:extLst>
        </c:ser>
        <c:ser>
          <c:idx val="1"/>
          <c:order val="1"/>
          <c:tx>
            <c:strRef>
              <c:f>'New_cases_rates - LNorm'!$AL$7</c:f>
              <c:strCache>
                <c:ptCount val="1"/>
                <c:pt idx="0">
                  <c:v>Lombardy d.t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'New_cases_rates - LNorm'!$C$62:$C$99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'New_cases_rates - LNorm'!$AL$62:$AL$99</c:f>
              <c:numCache>
                <c:formatCode>General</c:formatCode>
                <c:ptCount val="38"/>
                <c:pt idx="0">
                  <c:v>1.9585803411095704</c:v>
                </c:pt>
                <c:pt idx="1">
                  <c:v>2.1263016705482691</c:v>
                </c:pt>
                <c:pt idx="2">
                  <c:v>2.3044162402813448</c:v>
                </c:pt>
                <c:pt idx="3">
                  <c:v>2.4936128779493636</c:v>
                </c:pt>
                <c:pt idx="4">
                  <c:v>2.6946459127522857</c:v>
                </c:pt>
                <c:pt idx="5">
                  <c:v>2.9083429191150714</c:v>
                </c:pt>
                <c:pt idx="6">
                  <c:v>3.1356136792830149</c:v>
                </c:pt>
                <c:pt idx="7">
                  <c:v>3.3774605947578813</c:v>
                </c:pt>
                <c:pt idx="8">
                  <c:v>3.6349908304177951</c:v>
                </c:pt>
                <c:pt idx="9">
                  <c:v>3.9094305437078773</c:v>
                </c:pt>
                <c:pt idx="10">
                  <c:v>4.202141639148941</c:v>
                </c:pt>
                <c:pt idx="11">
                  <c:v>4.5146416020071101</c:v>
                </c:pt>
                <c:pt idx="12">
                  <c:v>4.8486271131660743</c:v>
                </c:pt>
                <c:pt idx="13">
                  <c:v>5.2060023424234387</c:v>
                </c:pt>
                <c:pt idx="14">
                  <c:v>5.5889130770940909</c:v>
                </c:pt>
                <c:pt idx="15">
                  <c:v>5.9997881919861697</c:v>
                </c:pt>
                <c:pt idx="16">
                  <c:v>6.4413904418615999</c:v>
                </c:pt>
                <c:pt idx="17">
                  <c:v>6.9168792118976725</c:v>
                </c:pt>
                <c:pt idx="18">
                  <c:v>7.4298887754686476</c:v>
                </c:pt>
                <c:pt idx="19">
                  <c:v>7.9846269035611996</c:v>
                </c:pt>
                <c:pt idx="20">
                  <c:v>8.5860005352132518</c:v>
                </c:pt>
                <c:pt idx="21">
                  <c:v>9.2397779525181605</c:v>
                </c:pt>
                <c:pt idx="22">
                  <c:v>9.9528009911198438</c:v>
                </c:pt>
                <c:pt idx="23">
                  <c:v>10.733267061569258</c:v>
                </c:pt>
                <c:pt idx="24">
                  <c:v>11.591110530717224</c:v>
                </c:pt>
                <c:pt idx="25">
                  <c:v>12.538528732472578</c:v>
                </c:pt>
                <c:pt idx="26">
                  <c:v>13.590723953151617</c:v>
                </c:pt>
                <c:pt idx="27">
                  <c:v>14.766977540909892</c:v>
                </c:pt>
                <c:pt idx="28">
                  <c:v>16.092252467244421</c:v>
                </c:pt>
                <c:pt idx="29">
                  <c:v>17.599671131563994</c:v>
                </c:pt>
                <c:pt idx="30">
                  <c:v>19.33451392052477</c:v>
                </c:pt>
                <c:pt idx="31">
                  <c:v>21.36101882592969</c:v>
                </c:pt>
                <c:pt idx="32">
                  <c:v>23.774729533513465</c:v>
                </c:pt>
                <c:pt idx="33">
                  <c:v>26.726912334079998</c:v>
                </c:pt>
                <c:pt idx="34">
                  <c:v>30.478740815269546</c:v>
                </c:pt>
                <c:pt idx="35">
                  <c:v>35.543386013479832</c:v>
                </c:pt>
                <c:pt idx="36">
                  <c:v>43.174187218562636</c:v>
                </c:pt>
                <c:pt idx="37">
                  <c:v>58.307140641134268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69-408E-A0BB-3BFDA5FABBA5}"/>
            </c:ext>
          </c:extLst>
        </c:ser>
        <c:ser>
          <c:idx val="2"/>
          <c:order val="2"/>
          <c:tx>
            <c:strRef>
              <c:f>'New_cases_rates - LNorm'!$BG$7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'New_cases_rates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'New_cases_rates - LNorm'!$BG$62:$BG$101</c:f>
              <c:numCache>
                <c:formatCode>General</c:formatCode>
                <c:ptCount val="40"/>
                <c:pt idx="0">
                  <c:v>1.0218391596502805</c:v>
                </c:pt>
                <c:pt idx="1">
                  <c:v>1.13170405971265</c:v>
                </c:pt>
                <c:pt idx="2">
                  <c:v>1.2489716615944069</c:v>
                </c:pt>
                <c:pt idx="3">
                  <c:v>1.3741064128278317</c:v>
                </c:pt>
                <c:pt idx="4">
                  <c:v>1.5076174862893517</c:v>
                </c:pt>
                <c:pt idx="5">
                  <c:v>1.6500635045572594</c:v>
                </c:pt>
                <c:pt idx="6">
                  <c:v>1.8020580121810745</c:v>
                </c:pt>
                <c:pt idx="7">
                  <c:v>1.9642758151927531</c:v>
                </c:pt>
                <c:pt idx="8">
                  <c:v>2.1374603361735929</c:v>
                </c:pt>
                <c:pt idx="9">
                  <c:v>2.3224321686080316</c:v>
                </c:pt>
                <c:pt idx="10">
                  <c:v>2.5200990582817298</c:v>
                </c:pt>
                <c:pt idx="11">
                  <c:v>2.7314675949398151</c:v>
                </c:pt>
                <c:pt idx="12">
                  <c:v>2.9576569680619542</c:v>
                </c:pt>
                <c:pt idx="13">
                  <c:v>3.1999152315051376</c:v>
                </c:pt>
                <c:pt idx="14">
                  <c:v>3.4596386398690271</c:v>
                </c:pt>
                <c:pt idx="15">
                  <c:v>3.7383947744129458</c:v>
                </c:pt>
                <c:pt idx="16">
                  <c:v>4.0379503817983462</c:v>
                </c:pt>
                <c:pt idx="17">
                  <c:v>4.3603051242150386</c:v>
                </c:pt>
                <c:pt idx="18">
                  <c:v>4.7077328125698372</c:v>
                </c:pt>
                <c:pt idx="19">
                  <c:v>5.08283220639251</c:v>
                </c:pt>
                <c:pt idx="20">
                  <c:v>5.4885901760191018</c:v>
                </c:pt>
                <c:pt idx="21">
                  <c:v>5.9284610269048201</c:v>
                </c:pt>
                <c:pt idx="22">
                  <c:v>6.4064672251588632</c:v>
                </c:pt>
                <c:pt idx="23">
                  <c:v>6.9273288618755302</c:v>
                </c:pt>
                <c:pt idx="24">
                  <c:v>7.4966323122490337</c:v>
                </c:pt>
                <c:pt idx="25">
                  <c:v>8.121053278192349</c:v>
                </c:pt>
                <c:pt idx="26">
                  <c:v>8.808656756494436</c:v>
                </c:pt>
                <c:pt idx="27">
                  <c:v>9.5693082042581068</c:v>
                </c:pt>
                <c:pt idx="28">
                  <c:v>10.415249449034846</c:v>
                </c:pt>
                <c:pt idx="29">
                  <c:v>11.361925659387857</c:v>
                </c:pt>
                <c:pt idx="30">
                  <c:v>12.429207613467682</c:v>
                </c:pt>
                <c:pt idx="31">
                  <c:v>13.64326064508996</c:v>
                </c:pt>
                <c:pt idx="32">
                  <c:v>15.039520753454553</c:v>
                </c:pt>
                <c:pt idx="33">
                  <c:v>16.66767361753179</c:v>
                </c:pt>
                <c:pt idx="34">
                  <c:v>18.600512695785355</c:v>
                </c:pt>
                <c:pt idx="35">
                  <c:v>20.950992319485024</c:v>
                </c:pt>
                <c:pt idx="36">
                  <c:v>23.908707735389129</c:v>
                </c:pt>
                <c:pt idx="37">
                  <c:v>27.830509376180089</c:v>
                </c:pt>
                <c:pt idx="38">
                  <c:v>33.524589998605194</c:v>
                </c:pt>
                <c:pt idx="39">
                  <c:v>43.632633802842435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69-408E-A0BB-3BFDA5FABBA5}"/>
            </c:ext>
          </c:extLst>
        </c:ser>
        <c:ser>
          <c:idx val="6"/>
          <c:order val="6"/>
          <c:tx>
            <c:strRef>
              <c:f>'New_cases_rates - LNorm'!$B$6</c:f>
              <c:strCache>
                <c:ptCount val="1"/>
                <c:pt idx="0">
                  <c:v>30-Apr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121</c:v>
                </c:pt>
                <c:pt idx="1">
                  <c:v>121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logBase val="10"/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halfing time - Lognormal fit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'New_cases_rates - LNorm'!$X$7</c:f>
              <c:strCache>
                <c:ptCount val="1"/>
                <c:pt idx="0">
                  <c:v>Spain fitted h.t.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LNorm'!$X$62:$X$184</c:f>
              <c:numCache>
                <c:formatCode>General</c:formatCode>
                <c:ptCount val="123"/>
                <c:pt idx="0">
                  <c:v>162.13974601087614</c:v>
                </c:pt>
                <c:pt idx="1">
                  <c:v>153.05758953812762</c:v>
                </c:pt>
                <c:pt idx="2">
                  <c:v>144.70257094542421</c:v>
                </c:pt>
                <c:pt idx="3">
                  <c:v>136.98363972086128</c:v>
                </c:pt>
                <c:pt idx="4">
                  <c:v>129.8245885197278</c:v>
                </c:pt>
                <c:pt idx="5">
                  <c:v>123.16117181957914</c:v>
                </c:pt>
                <c:pt idx="6">
                  <c:v>116.93887354303781</c:v>
                </c:pt>
                <c:pt idx="7">
                  <c:v>111.11115958822985</c:v>
                </c:pt>
                <c:pt idx="8">
                  <c:v>105.63809698134752</c:v>
                </c:pt>
                <c:pt idx="9">
                  <c:v>100.48525325429692</c:v>
                </c:pt>
                <c:pt idx="10">
                  <c:v>95.62281217882186</c:v>
                </c:pt>
                <c:pt idx="11">
                  <c:v>91.024858110671374</c:v>
                </c:pt>
                <c:pt idx="12">
                  <c:v>86.668792872139122</c:v>
                </c:pt>
                <c:pt idx="13">
                  <c:v>82.534857647100893</c:v>
                </c:pt>
                <c:pt idx="14">
                  <c:v>78.605738679073028</c:v>
                </c:pt>
                <c:pt idx="15">
                  <c:v>74.866240271383347</c:v>
                </c:pt>
                <c:pt idx="16">
                  <c:v>71.303012123778714</c:v>
                </c:pt>
                <c:pt idx="17">
                  <c:v>67.904320708786642</c:v>
                </c:pt>
                <c:pt idx="18">
                  <c:v>64.659856413322558</c:v>
                </c:pt>
                <c:pt idx="19">
                  <c:v>61.560569705069554</c:v>
                </c:pt>
                <c:pt idx="20">
                  <c:v>58.598530745640801</c:v>
                </c:pt>
                <c:pt idx="21">
                  <c:v>55.766807751169466</c:v>
                </c:pt>
                <c:pt idx="22">
                  <c:v>53.059360064343267</c:v>
                </c:pt>
                <c:pt idx="23">
                  <c:v>50.470942406813791</c:v>
                </c:pt>
                <c:pt idx="24">
                  <c:v>47.9970171781641</c:v>
                </c:pt>
                <c:pt idx="25">
                  <c:v>45.633672006267602</c:v>
                </c:pt>
                <c:pt idx="26">
                  <c:v>43.37754008393577</c:v>
                </c:pt>
                <c:pt idx="27">
                  <c:v>41.225721199679825</c:v>
                </c:pt>
                <c:pt idx="28">
                  <c:v>39.175701836506391</c:v>
                </c:pt>
                <c:pt idx="29">
                  <c:v>37.225273314582154</c:v>
                </c:pt>
                <c:pt idx="30">
                  <c:v>35.372447715628994</c:v>
                </c:pt>
                <c:pt idx="31">
                  <c:v>33.615372241114784</c:v>
                </c:pt>
                <c:pt idx="32">
                  <c:v>31.952243668772951</c:v>
                </c:pt>
                <c:pt idx="33">
                  <c:v>30.381225574854113</c:v>
                </c:pt>
                <c:pt idx="34">
                  <c:v>28.900371825933107</c:v>
                </c:pt>
                <c:pt idx="35">
                  <c:v>27.507560331859665</c:v>
                </c:pt>
                <c:pt idx="36">
                  <c:v>26.200441025692569</c:v>
                </c:pt>
                <c:pt idx="37">
                  <c:v>24.976401402773419</c:v>
                </c:pt>
                <c:pt idx="38">
                  <c:v>23.832551731402191</c:v>
                </c:pt>
                <c:pt idx="39">
                  <c:v>22.765730398317459</c:v>
                </c:pt>
                <c:pt idx="40">
                  <c:v>21.772528040657264</c:v>
                </c:pt>
                <c:pt idx="41">
                  <c:v>20.849327457555148</c:v>
                </c:pt>
                <c:pt idx="42">
                  <c:v>19.992355070135019</c:v>
                </c:pt>
                <c:pt idx="43">
                  <c:v>19.197739084152488</c:v>
                </c:pt>
                <c:pt idx="44">
                  <c:v>18.46156954004627</c:v>
                </c:pt>
                <c:pt idx="45">
                  <c:v>17.779956014972299</c:v>
                </c:pt>
                <c:pt idx="46">
                  <c:v>17.149079688651085</c:v>
                </c:pt>
                <c:pt idx="47">
                  <c:v>16.565237590201505</c:v>
                </c:pt>
                <c:pt idx="48">
                  <c:v>16.024877920907272</c:v>
                </c:pt>
                <c:pt idx="49">
                  <c:v>15.524626267079483</c:v>
                </c:pt>
                <c:pt idx="50">
                  <c:v>15.061303210044613</c:v>
                </c:pt>
                <c:pt idx="51">
                  <c:v>14.63193429381343</c:v>
                </c:pt>
                <c:pt idx="52">
                  <c:v>14.233753550072706</c:v>
                </c:pt>
                <c:pt idx="53">
                  <c:v>13.864201849606772</c:v>
                </c:pt>
                <c:pt idx="54">
                  <c:v>13.52092129921013</c:v>
                </c:pt>
                <c:pt idx="55">
                  <c:v>13.201746779508667</c:v>
                </c:pt>
                <c:pt idx="56">
                  <c:v>12.904695558801649</c:v>
                </c:pt>
                <c:pt idx="57">
                  <c:v>12.627955747793422</c:v>
                </c:pt>
                <c:pt idx="58">
                  <c:v>12.369874197264423</c:v>
                </c:pt>
                <c:pt idx="59">
                  <c:v>12.12894429519686</c:v>
                </c:pt>
                <c:pt idx="60">
                  <c:v>11.903793996004069</c:v>
                </c:pt>
                <c:pt idx="61">
                  <c:v>11.693174313083617</c:v>
                </c:pt>
                <c:pt idx="62">
                  <c:v>11.495948425524531</c:v>
                </c:pt>
                <c:pt idx="63">
                  <c:v>11.311081487925634</c:v>
                </c:pt>
                <c:pt idx="64">
                  <c:v>11.137631186013266</c:v>
                </c:pt>
                <c:pt idx="65">
                  <c:v>10.974739047171653</c:v>
                </c:pt>
                <c:pt idx="66">
                  <c:v>10.821622491470478</c:v>
                </c:pt>
                <c:pt idx="67">
                  <c:v>10.677567593013165</c:v>
                </c:pt>
                <c:pt idx="68">
                  <c:v>10.541922511527105</c:v>
                </c:pt>
                <c:pt idx="69">
                  <c:v>10.414091548550601</c:v>
                </c:pt>
                <c:pt idx="70">
                  <c:v>10.293529780126363</c:v>
                </c:pt>
                <c:pt idx="71">
                  <c:v>10.179738217666014</c:v>
                </c:pt>
                <c:pt idx="72">
                  <c:v>10.072259449888719</c:v>
                </c:pt>
                <c:pt idx="73">
                  <c:v>9.9706737209396721</c:v>
                </c:pt>
                <c:pt idx="74">
                  <c:v>9.8745954025768867</c:v>
                </c:pt>
                <c:pt idx="75">
                  <c:v>9.7836698213939144</c:v>
                </c:pt>
                <c:pt idx="76">
                  <c:v>9.6975704052360214</c:v>
                </c:pt>
                <c:pt idx="77">
                  <c:v>9.615996116131285</c:v>
                </c:pt>
                <c:pt idx="78">
                  <c:v>9.5386691401049859</c:v>
                </c:pt>
                <c:pt idx="79">
                  <c:v>9.465332807131503</c:v>
                </c:pt>
                <c:pt idx="80">
                  <c:v>9.3957497171598447</c:v>
                </c:pt>
                <c:pt idx="81">
                  <c:v>9.3297000506214687</c:v>
                </c:pt>
                <c:pt idx="82">
                  <c:v>9.2669800440909995</c:v>
                </c:pt>
                <c:pt idx="83">
                  <c:v>9.207400613811572</c:v>
                </c:pt>
                <c:pt idx="84">
                  <c:v>9.1507861116532609</c:v>
                </c:pt>
                <c:pt idx="85">
                  <c:v>9.0969731997292769</c:v>
                </c:pt>
                <c:pt idx="86">
                  <c:v>9.045809831385327</c:v>
                </c:pt>
                <c:pt idx="87">
                  <c:v>8.9971543276109003</c:v>
                </c:pt>
                <c:pt idx="88">
                  <c:v>8.9508745391031823</c:v>
                </c:pt>
                <c:pt idx="89">
                  <c:v>8.9068470852769224</c:v>
                </c:pt>
                <c:pt idx="90">
                  <c:v>8.8649566624524567</c:v>
                </c:pt>
                <c:pt idx="91">
                  <c:v>8.8250954142897484</c:v>
                </c:pt>
                <c:pt idx="92">
                  <c:v>8.7871623582842489</c:v>
                </c:pt>
                <c:pt idx="93">
                  <c:v>8.7510628627948535</c:v>
                </c:pt>
                <c:pt idx="94">
                  <c:v>8.7167081696673989</c:v>
                </c:pt>
                <c:pt idx="95">
                  <c:v>8.6840149580351067</c:v>
                </c:pt>
                <c:pt idx="96">
                  <c:v>8.6529049453424562</c:v>
                </c:pt>
                <c:pt idx="97">
                  <c:v>8.6233045220509581</c:v>
                </c:pt>
                <c:pt idx="98">
                  <c:v>8.5951444168514115</c:v>
                </c:pt>
                <c:pt idx="99">
                  <c:v>8.5683593895334837</c:v>
                </c:pt>
                <c:pt idx="100">
                  <c:v>8.5428879489572154</c:v>
                </c:pt>
                <c:pt idx="101">
                  <c:v>8.5186720938209106</c:v>
                </c:pt>
                <c:pt idx="102">
                  <c:v>8.4956570741641571</c:v>
                </c:pt>
                <c:pt idx="103">
                  <c:v>8.4737911717372327</c:v>
                </c:pt>
                <c:pt idx="104">
                  <c:v>8.4530254975600343</c:v>
                </c:pt>
                <c:pt idx="105">
                  <c:v>8.4333138051579368</c:v>
                </c:pt>
                <c:pt idx="106">
                  <c:v>8.4146123181025558</c:v>
                </c:pt>
                <c:pt idx="107">
                  <c:v>8.3968795706250177</c:v>
                </c:pt>
                <c:pt idx="108">
                  <c:v>8.3800762601811414</c:v>
                </c:pt>
                <c:pt idx="109">
                  <c:v>8.364165110958055</c:v>
                </c:pt>
                <c:pt idx="110">
                  <c:v>8.3491107474011415</c:v>
                </c:pt>
                <c:pt idx="111">
                  <c:v>8.3348795769325648</c:v>
                </c:pt>
                <c:pt idx="112">
                  <c:v>8.3214396811023335</c:v>
                </c:pt>
                <c:pt idx="113">
                  <c:v>8.3087607144861693</c:v>
                </c:pt>
                <c:pt idx="114">
                  <c:v>8.2968138107056006</c:v>
                </c:pt>
                <c:pt idx="115">
                  <c:v>8.2855714949998855</c:v>
                </c:pt>
                <c:pt idx="116">
                  <c:v>8.2750076028321473</c:v>
                </c:pt>
                <c:pt idx="117">
                  <c:v>8.2650972040568149</c:v>
                </c:pt>
                <c:pt idx="118">
                  <c:v>8.2558165322161017</c:v>
                </c:pt>
                <c:pt idx="119">
                  <c:v>8.247142918572365</c:v>
                </c:pt>
                <c:pt idx="120">
                  <c:v>8.239054730513061</c:v>
                </c:pt>
                <c:pt idx="121">
                  <c:v>8.2315313140014439</c:v>
                </c:pt>
                <c:pt idx="122">
                  <c:v>8.2245529397690689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D8-40DB-AADE-9317265F7946}"/>
            </c:ext>
          </c:extLst>
        </c:ser>
        <c:ser>
          <c:idx val="1"/>
          <c:order val="1"/>
          <c:tx>
            <c:strRef>
              <c:f>'New_cases_rates - LNorm'!$AV$7</c:f>
              <c:strCache>
                <c:ptCount val="1"/>
                <c:pt idx="0">
                  <c:v>Lombardy h.t.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LNorm'!$AV$63:$AV$184</c:f>
              <c:numCache>
                <c:formatCode>General</c:formatCode>
                <c:ptCount val="122"/>
                <c:pt idx="0">
                  <c:v>108.24294714213062</c:v>
                </c:pt>
                <c:pt idx="1">
                  <c:v>102.65240048328374</c:v>
                </c:pt>
                <c:pt idx="2">
                  <c:v>97.433636056669286</c:v>
                </c:pt>
                <c:pt idx="3">
                  <c:v>92.548765503856586</c:v>
                </c:pt>
                <c:pt idx="4">
                  <c:v>87.965338634410401</c:v>
                </c:pt>
                <c:pt idx="5">
                  <c:v>83.655443274900563</c:v>
                </c:pt>
                <c:pt idx="6">
                  <c:v>79.594980306174762</c:v>
                </c:pt>
                <c:pt idx="7">
                  <c:v>75.76307496417239</c:v>
                </c:pt>
                <c:pt idx="8">
                  <c:v>72.141594877848391</c:v>
                </c:pt>
                <c:pt idx="9">
                  <c:v>68.714752200541227</c:v>
                </c:pt>
                <c:pt idx="10">
                  <c:v>65.46877228460248</c:v>
                </c:pt>
                <c:pt idx="11">
                  <c:v>62.391615158997027</c:v>
                </c:pt>
                <c:pt idx="12">
                  <c:v>59.472738953723649</c:v>
                </c:pt>
                <c:pt idx="13">
                  <c:v>56.702896630891004</c:v>
                </c:pt>
                <c:pt idx="14">
                  <c:v>54.073959118774027</c:v>
                </c:pt>
                <c:pt idx="15">
                  <c:v>51.578759342402293</c:v>
                </c:pt>
                <c:pt idx="16">
                  <c:v>49.210952806937058</c:v>
                </c:pt>
                <c:pt idx="17">
                  <c:v>46.964891395265752</c:v>
                </c:pt>
                <c:pt idx="18">
                  <c:v>44.835507941912041</c:v>
                </c:pt>
                <c:pt idx="19">
                  <c:v>42.818209972147045</c:v>
                </c:pt>
                <c:pt idx="20">
                  <c:v>40.908781756597364</c:v>
                </c:pt>
                <c:pt idx="21">
                  <c:v>39.103294515078701</c:v>
                </c:pt>
                <c:pt idx="22">
                  <c:v>37.398025178104874</c:v>
                </c:pt>
                <c:pt idx="23">
                  <c:v>35.789384538142386</c:v>
                </c:pt>
                <c:pt idx="24">
                  <c:v>34.273855851298123</c:v>
                </c:pt>
                <c:pt idx="25">
                  <c:v>32.847944951181603</c:v>
                </c:pt>
                <c:pt idx="26">
                  <c:v>31.508142701776976</c:v>
                </c:pt>
                <c:pt idx="27">
                  <c:v>30.250900170112018</c:v>
                </c:pt>
                <c:pt idx="28">
                  <c:v>29.072616302125709</c:v>
                </c:pt>
                <c:pt idx="29">
                  <c:v>27.969637223739355</c:v>
                </c:pt>
                <c:pt idx="30">
                  <c:v>26.938265663087549</c:v>
                </c:pt>
                <c:pt idx="31">
                  <c:v>25.974778490948722</c:v>
                </c:pt>
                <c:pt idx="32">
                  <c:v>25.075450070806539</c:v>
                </c:pt>
                <c:pt idx="33">
                  <c:v>24.236579026940362</c:v>
                </c:pt>
                <c:pt idx="34">
                  <c:v>23.454516168964588</c:v>
                </c:pt>
                <c:pt idx="35">
                  <c:v>22.725691613092152</c:v>
                </c:pt>
                <c:pt idx="36">
                  <c:v>22.046639553959395</c:v>
                </c:pt>
                <c:pt idx="37">
                  <c:v>21.414019601398252</c:v>
                </c:pt>
                <c:pt idx="38">
                  <c:v>20.824634046698975</c:v>
                </c:pt>
                <c:pt idx="39">
                  <c:v>20.275440820140986</c:v>
                </c:pt>
                <c:pt idx="40">
                  <c:v>19.763562220773423</c:v>
                </c:pt>
                <c:pt idx="41">
                  <c:v>19.286289731619561</c:v>
                </c:pt>
                <c:pt idx="42">
                  <c:v>18.84108538212368</c:v>
                </c:pt>
                <c:pt idx="43">
                  <c:v>18.425580196201395</c:v>
                </c:pt>
                <c:pt idx="44">
                  <c:v>18.037570283984067</c:v>
                </c:pt>
                <c:pt idx="45">
                  <c:v>17.675011114172236</c:v>
                </c:pt>
                <c:pt idx="46">
                  <c:v>17.336010456293323</c:v>
                </c:pt>
                <c:pt idx="47">
                  <c:v>17.018820420008026</c:v>
                </c:pt>
                <c:pt idx="48">
                  <c:v>16.721828950957374</c:v>
                </c:pt>
                <c:pt idx="49">
                  <c:v>16.44355107581562</c:v>
                </c:pt>
                <c:pt idx="50">
                  <c:v>16.182620127214776</c:v>
                </c:pt>
                <c:pt idx="51">
                  <c:v>15.937779124260302</c:v>
                </c:pt>
                <c:pt idx="52">
                  <c:v>15.707872437368451</c:v>
                </c:pt>
                <c:pt idx="53">
                  <c:v>15.491837827154228</c:v>
                </c:pt>
                <c:pt idx="54">
                  <c:v>15.288698915572965</c:v>
                </c:pt>
                <c:pt idx="55">
                  <c:v>15.09755812265972</c:v>
                </c:pt>
                <c:pt idx="56">
                  <c:v>14.917590083083738</c:v>
                </c:pt>
                <c:pt idx="57">
                  <c:v>14.748035542411444</c:v>
                </c:pt>
                <c:pt idx="58">
                  <c:v>14.588195722565899</c:v>
                </c:pt>
                <c:pt idx="59">
                  <c:v>14.437427138699974</c:v>
                </c:pt>
                <c:pt idx="60">
                  <c:v>14.295136844896177</c:v>
                </c:pt>
                <c:pt idx="61">
                  <c:v>14.16077808319227</c:v>
                </c:pt>
                <c:pt idx="62">
                  <c:v>14.033846308952548</c:v>
                </c:pt>
                <c:pt idx="63">
                  <c:v>13.91387556518508</c:v>
                </c:pt>
                <c:pt idx="64">
                  <c:v>13.800435178739519</c:v>
                </c:pt>
                <c:pt idx="65">
                  <c:v>13.693126752196051</c:v>
                </c:pt>
                <c:pt idx="66">
                  <c:v>13.591581426473411</c:v>
                </c:pt>
                <c:pt idx="67">
                  <c:v>13.495457390627209</c:v>
                </c:pt>
                <c:pt idx="68">
                  <c:v>13.404437616866659</c:v>
                </c:pt>
                <c:pt idx="69">
                  <c:v>13.318227800420431</c:v>
                </c:pt>
                <c:pt idx="70">
                  <c:v>13.23655448547575</c:v>
                </c:pt>
                <c:pt idx="71">
                  <c:v>13.159163359965447</c:v>
                </c:pt>
                <c:pt idx="72">
                  <c:v>13.085817703456797</c:v>
                </c:pt>
                <c:pt idx="73">
                  <c:v>13.016296973793317</c:v>
                </c:pt>
                <c:pt idx="74">
                  <c:v>12.950395519447738</c:v>
                </c:pt>
                <c:pt idx="75">
                  <c:v>12.887921405748017</c:v>
                </c:pt>
                <c:pt idx="76">
                  <c:v>12.828695344257341</c:v>
                </c:pt>
                <c:pt idx="77">
                  <c:v>12.77254971560518</c:v>
                </c:pt>
                <c:pt idx="78">
                  <c:v>12.719327677001672</c:v>
                </c:pt>
                <c:pt idx="79">
                  <c:v>12.668882346508923</c:v>
                </c:pt>
                <c:pt idx="80">
                  <c:v>12.621076056917317</c:v>
                </c:pt>
                <c:pt idx="81">
                  <c:v>12.575779672767084</c:v>
                </c:pt>
                <c:pt idx="82">
                  <c:v>12.532871964684489</c:v>
                </c:pt>
                <c:pt idx="83">
                  <c:v>12.492239035770481</c:v>
                </c:pt>
                <c:pt idx="84">
                  <c:v>12.453773795292378</c:v>
                </c:pt>
                <c:pt idx="85">
                  <c:v>12.417375475386706</c:v>
                </c:pt>
                <c:pt idx="86">
                  <c:v>12.382949186899708</c:v>
                </c:pt>
                <c:pt idx="87">
                  <c:v>12.350405510865585</c:v>
                </c:pt>
                <c:pt idx="88">
                  <c:v>12.319660122456625</c:v>
                </c:pt>
                <c:pt idx="89">
                  <c:v>12.290633444544497</c:v>
                </c:pt>
                <c:pt idx="90">
                  <c:v>12.263250328282268</c:v>
                </c:pt>
                <c:pt idx="91">
                  <c:v>12.237439758362967</c:v>
                </c:pt>
                <c:pt idx="92">
                  <c:v>12.213134580831166</c:v>
                </c:pt>
                <c:pt idx="93">
                  <c:v>12.190271251522148</c:v>
                </c:pt>
                <c:pt idx="94">
                  <c:v>12.168789603381555</c:v>
                </c:pt>
                <c:pt idx="95">
                  <c:v>12.148632631081853</c:v>
                </c:pt>
                <c:pt idx="96">
                  <c:v>12.129746291493888</c:v>
                </c:pt>
                <c:pt idx="97">
                  <c:v>12.112079318707629</c:v>
                </c:pt>
                <c:pt idx="98">
                  <c:v>12.095583052407989</c:v>
                </c:pt>
                <c:pt idx="99">
                  <c:v>12.080211278525638</c:v>
                </c:pt>
                <c:pt idx="100">
                  <c:v>12.065920081173914</c:v>
                </c:pt>
                <c:pt idx="101">
                  <c:v>12.052667704972436</c:v>
                </c:pt>
                <c:pt idx="102">
                  <c:v>12.040414426937048</c:v>
                </c:pt>
                <c:pt idx="103">
                  <c:v>12.029122437185407</c:v>
                </c:pt>
                <c:pt idx="104">
                  <c:v>12.018755727775243</c:v>
                </c:pt>
                <c:pt idx="105">
                  <c:v>12.009279989049276</c:v>
                </c:pt>
                <c:pt idx="106">
                  <c:v>12.000662512911731</c:v>
                </c:pt>
                <c:pt idx="107">
                  <c:v>11.992872102515946</c:v>
                </c:pt>
                <c:pt idx="108">
                  <c:v>11.985878987877669</c:v>
                </c:pt>
                <c:pt idx="109">
                  <c:v>11.979654746979065</c:v>
                </c:pt>
                <c:pt idx="110">
                  <c:v>11.97417223195464</c:v>
                </c:pt>
                <c:pt idx="111">
                  <c:v>11.969405499988937</c:v>
                </c:pt>
                <c:pt idx="112">
                  <c:v>11.965329748587351</c:v>
                </c:pt>
                <c:pt idx="113">
                  <c:v>11.961921254901341</c:v>
                </c:pt>
                <c:pt idx="114">
                  <c:v>11.959157318824822</c:v>
                </c:pt>
                <c:pt idx="115">
                  <c:v>11.9570162095917</c:v>
                </c:pt>
                <c:pt idx="116">
                  <c:v>11.955477115631965</c:v>
                </c:pt>
                <c:pt idx="117">
                  <c:v>11.954520097458243</c:v>
                </c:pt>
                <c:pt idx="118">
                  <c:v>11.954126043377158</c:v>
                </c:pt>
                <c:pt idx="119">
                  <c:v>11.954276627830325</c:v>
                </c:pt>
                <c:pt idx="120">
                  <c:v>11.954954272188075</c:v>
                </c:pt>
                <c:pt idx="121">
                  <c:v>11.956142107832676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D8-40DB-AADE-9317265F7946}"/>
            </c:ext>
          </c:extLst>
        </c:ser>
        <c:ser>
          <c:idx val="2"/>
          <c:order val="2"/>
          <c:tx>
            <c:strRef>
              <c:f>'New_cases_rates - LNorm'!$BQ$7</c:f>
              <c:strCache>
                <c:ptCount val="1"/>
                <c:pt idx="0">
                  <c:v>rest of Italy h.t.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LNorm'!$BQ$63:$BQ$184</c:f>
              <c:numCache>
                <c:formatCode>General</c:formatCode>
                <c:ptCount val="122"/>
                <c:pt idx="0">
                  <c:v>137.50156096206484</c:v>
                </c:pt>
                <c:pt idx="1">
                  <c:v>128.92287040881178</c:v>
                </c:pt>
                <c:pt idx="2">
                  <c:v>121.11420490147638</c:v>
                </c:pt>
                <c:pt idx="3">
                  <c:v>113.96901199151684</c:v>
                </c:pt>
                <c:pt idx="4">
                  <c:v>107.40001448598478</c:v>
                </c:pt>
                <c:pt idx="5">
                  <c:v>101.33509003292285</c:v>
                </c:pt>
                <c:pt idx="6">
                  <c:v>95.71416956875639</c:v>
                </c:pt>
                <c:pt idx="7">
                  <c:v>90.486872647777247</c:v>
                </c:pt>
                <c:pt idx="8">
                  <c:v>85.610683421159749</c:v>
                </c:pt>
                <c:pt idx="9">
                  <c:v>81.049528483947128</c:v>
                </c:pt>
                <c:pt idx="10">
                  <c:v>76.7726569608527</c:v>
                </c:pt>
                <c:pt idx="11">
                  <c:v>72.753750298235076</c:v>
                </c:pt>
                <c:pt idx="12">
                  <c:v>68.970208245958005</c:v>
                </c:pt>
                <c:pt idx="13">
                  <c:v>65.402571027928062</c:v>
                </c:pt>
                <c:pt idx="14">
                  <c:v>62.034047416134513</c:v>
                </c:pt>
                <c:pt idx="15">
                  <c:v>58.850125483065497</c:v>
                </c:pt>
                <c:pt idx="16">
                  <c:v>55.838247993008139</c:v>
                </c:pt>
                <c:pt idx="17">
                  <c:v>52.987538249240416</c:v>
                </c:pt>
                <c:pt idx="18">
                  <c:v>50.288565131153732</c:v>
                </c:pt>
                <c:pt idx="19">
                  <c:v>47.733138318953664</c:v>
                </c:pt>
                <c:pt idx="20">
                  <c:v>45.314126529506694</c:v>
                </c:pt>
                <c:pt idx="21">
                  <c:v>43.025293140169225</c:v>
                </c:pt>
                <c:pt idx="22">
                  <c:v>40.861144981946424</c:v>
                </c:pt>
                <c:pt idx="23">
                  <c:v>38.816791423312154</c:v>
                </c:pt>
                <c:pt idx="24">
                  <c:v>36.887812182076928</c:v>
                </c:pt>
                <c:pt idx="25">
                  <c:v>35.070133585781235</c:v>
                </c:pt>
                <c:pt idx="26">
                  <c:v>33.359914189656564</c:v>
                </c:pt>
                <c:pt idx="27">
                  <c:v>31.753441647094405</c:v>
                </c:pt>
                <c:pt idx="28">
                  <c:v>30.247043375867236</c:v>
                </c:pt>
                <c:pt idx="29">
                  <c:v>28.837013746623839</c:v>
                </c:pt>
                <c:pt idx="30">
                  <c:v>27.519560161501218</c:v>
                </c:pt>
                <c:pt idx="31">
                  <c:v>26.29076950243747</c:v>
                </c:pt>
                <c:pt idx="32">
                  <c:v>25.146595131334891</c:v>
                </c:pt>
                <c:pt idx="33">
                  <c:v>24.082863132712205</c:v>
                </c:pt>
                <c:pt idx="34">
                  <c:v>23.095295067926685</c:v>
                </c:pt>
                <c:pt idx="35">
                  <c:v>22.179543406737338</c:v>
                </c:pt>
                <c:pt idx="36">
                  <c:v>21.331235188430639</c:v>
                </c:pt>
                <c:pt idx="37">
                  <c:v>20.546019399725878</c:v>
                </c:pt>
                <c:pt idx="38">
                  <c:v>19.819613985641794</c:v>
                </c:pt>
                <c:pt idx="39">
                  <c:v>19.147849194911331</c:v>
                </c:pt>
                <c:pt idx="40">
                  <c:v>18.526704929293132</c:v>
                </c:pt>
                <c:pt idx="41">
                  <c:v>17.952340750478854</c:v>
                </c:pt>
                <c:pt idx="42">
                  <c:v>17.421118072746367</c:v>
                </c:pt>
                <c:pt idx="43">
                  <c:v>16.929614759526316</c:v>
                </c:pt>
                <c:pt idx="44">
                  <c:v>16.474632822259522</c:v>
                </c:pt>
                <c:pt idx="45">
                  <c:v>16.053200201985732</c:v>
                </c:pt>
                <c:pt idx="46">
                  <c:v>15.66256773178435</c:v>
                </c:pt>
                <c:pt idx="47">
                  <c:v>15.300202373930716</c:v>
                </c:pt>
                <c:pt idx="48">
                  <c:v>14.963777741104423</c:v>
                </c:pt>
                <c:pt idx="49">
                  <c:v>14.651162781476827</c:v>
                </c:pt>
                <c:pt idx="50">
                  <c:v>14.360409359908743</c:v>
                </c:pt>
                <c:pt idx="51">
                  <c:v>14.089739320240838</c:v>
                </c:pt>
                <c:pt idx="52">
                  <c:v>13.837531478101425</c:v>
                </c:pt>
                <c:pt idx="53">
                  <c:v>13.602308875624161</c:v>
                </c:pt>
                <c:pt idx="54">
                  <c:v>13.38272653101123</c:v>
                </c:pt>
                <c:pt idx="55">
                  <c:v>13.177559836596046</c:v>
                </c:pt>
                <c:pt idx="56">
                  <c:v>12.985693697184871</c:v>
                </c:pt>
                <c:pt idx="57">
                  <c:v>12.806112453597123</c:v>
                </c:pt>
                <c:pt idx="58">
                  <c:v>12.637890601899969</c:v>
                </c:pt>
                <c:pt idx="59">
                  <c:v>12.480184294424546</c:v>
                </c:pt>
                <c:pt idx="60">
                  <c:v>12.332223592074797</c:v>
                </c:pt>
                <c:pt idx="61">
                  <c:v>12.193305426867184</c:v>
                </c:pt>
                <c:pt idx="62">
                  <c:v>12.062787227540653</c:v>
                </c:pt>
                <c:pt idx="63">
                  <c:v>11.940081158256007</c:v>
                </c:pt>
                <c:pt idx="64">
                  <c:v>11.824648919903211</c:v>
                </c:pt>
                <c:pt idx="65">
                  <c:v>11.715997064634237</c:v>
                </c:pt>
                <c:pt idx="66">
                  <c:v>11.613672776385826</c:v>
                </c:pt>
                <c:pt idx="67">
                  <c:v>11.517260072950521</c:v>
                </c:pt>
                <c:pt idx="68">
                  <c:v>11.426376388297001</c:v>
                </c:pt>
                <c:pt idx="69">
                  <c:v>11.340669497125546</c:v>
                </c:pt>
                <c:pt idx="70">
                  <c:v>11.259814746925386</c:v>
                </c:pt>
                <c:pt idx="71">
                  <c:v>11.183512565984785</c:v>
                </c:pt>
                <c:pt idx="72">
                  <c:v>11.111486218823885</c:v>
                </c:pt>
                <c:pt idx="73">
                  <c:v>11.043479783344637</c:v>
                </c:pt>
                <c:pt idx="74">
                  <c:v>10.979256326603078</c:v>
                </c:pt>
                <c:pt idx="75">
                  <c:v>10.918596258498482</c:v>
                </c:pt>
                <c:pt idx="76">
                  <c:v>10.861295844844605</c:v>
                </c:pt>
                <c:pt idx="77">
                  <c:v>10.807165863258049</c:v>
                </c:pt>
                <c:pt idx="78">
                  <c:v>10.756030387066431</c:v>
                </c:pt>
                <c:pt idx="79">
                  <c:v>10.707725684026244</c:v>
                </c:pt>
                <c:pt idx="80">
                  <c:v>10.662099218066629</c:v>
                </c:pt>
                <c:pt idx="81">
                  <c:v>10.619008743541272</c:v>
                </c:pt>
                <c:pt idx="82">
                  <c:v>10.578321482606583</c:v>
                </c:pt>
                <c:pt idx="83">
                  <c:v>10.539913377352519</c:v>
                </c:pt>
                <c:pt idx="84">
                  <c:v>10.503668409210619</c:v>
                </c:pt>
                <c:pt idx="85">
                  <c:v>10.469477978962985</c:v>
                </c:pt>
                <c:pt idx="86">
                  <c:v>10.437240341386953</c:v>
                </c:pt>
                <c:pt idx="87">
                  <c:v>10.406860089202894</c:v>
                </c:pt>
                <c:pt idx="88">
                  <c:v>10.378247681551485</c:v>
                </c:pt>
                <c:pt idx="89">
                  <c:v>10.351319012729078</c:v>
                </c:pt>
                <c:pt idx="90">
                  <c:v>10.325995017353307</c:v>
                </c:pt>
                <c:pt idx="91">
                  <c:v>10.302201308528169</c:v>
                </c:pt>
                <c:pt idx="92">
                  <c:v>10.279867845923974</c:v>
                </c:pt>
                <c:pt idx="93">
                  <c:v>10.258928631010406</c:v>
                </c:pt>
                <c:pt idx="94">
                  <c:v>10.239321426952799</c:v>
                </c:pt>
                <c:pt idx="95">
                  <c:v>10.220987500932836</c:v>
                </c:pt>
                <c:pt idx="96">
                  <c:v>10.203871386882113</c:v>
                </c:pt>
                <c:pt idx="97">
                  <c:v>10.187920666807585</c:v>
                </c:pt>
                <c:pt idx="98">
                  <c:v>10.173085769072685</c:v>
                </c:pt>
                <c:pt idx="99">
                  <c:v>10.159319782152991</c:v>
                </c:pt>
                <c:pt idx="100">
                  <c:v>10.146578282529291</c:v>
                </c:pt>
                <c:pt idx="101">
                  <c:v>10.134819175506763</c:v>
                </c:pt>
                <c:pt idx="102">
                  <c:v>10.124002547865942</c:v>
                </c:pt>
                <c:pt idx="103">
                  <c:v>10.114090531350158</c:v>
                </c:pt>
                <c:pt idx="104">
                  <c:v>10.105047176089798</c:v>
                </c:pt>
                <c:pt idx="105">
                  <c:v>10.096838333145158</c:v>
                </c:pt>
                <c:pt idx="106">
                  <c:v>10.08943154542338</c:v>
                </c:pt>
                <c:pt idx="107">
                  <c:v>10.082795946294127</c:v>
                </c:pt>
                <c:pt idx="108">
                  <c:v>10.07690216528708</c:v>
                </c:pt>
                <c:pt idx="109">
                  <c:v>10.071722240311303</c:v>
                </c:pt>
                <c:pt idx="110">
                  <c:v>10.06722953588411</c:v>
                </c:pt>
                <c:pt idx="111">
                  <c:v>10.063398666902458</c:v>
                </c:pt>
                <c:pt idx="112">
                  <c:v>10.06020542752924</c:v>
                </c:pt>
                <c:pt idx="113">
                  <c:v>10.057626724806511</c:v>
                </c:pt>
                <c:pt idx="114">
                  <c:v>10.05564051663589</c:v>
                </c:pt>
                <c:pt idx="115">
                  <c:v>10.05422575380112</c:v>
                </c:pt>
                <c:pt idx="116">
                  <c:v>10.053362325732166</c:v>
                </c:pt>
                <c:pt idx="117">
                  <c:v>10.053031009735747</c:v>
                </c:pt>
                <c:pt idx="118">
                  <c:v>10.053213423441122</c:v>
                </c:pt>
                <c:pt idx="119">
                  <c:v>10.053891980227121</c:v>
                </c:pt>
                <c:pt idx="120">
                  <c:v>10.055049847419298</c:v>
                </c:pt>
                <c:pt idx="121">
                  <c:v>10.056670907060067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D8-40DB-AADE-9317265F7946}"/>
            </c:ext>
          </c:extLst>
        </c:ser>
        <c:ser>
          <c:idx val="3"/>
          <c:order val="3"/>
          <c:tx>
            <c:strRef>
              <c:f>'New_cases_rates - LNorm'!$B$6</c:f>
              <c:strCache>
                <c:ptCount val="1"/>
                <c:pt idx="0">
                  <c:v>30-Apr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121</c:v>
                </c:pt>
                <c:pt idx="1">
                  <c:v>121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D8-40DB-AADE-9317265F7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77424"/>
        <c:axId val="884574224"/>
      </c:scatterChart>
      <c:valAx>
        <c:axId val="88457742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4224"/>
        <c:crosses val="autoZero"/>
        <c:crossBetween val="midCat"/>
      </c:valAx>
      <c:valAx>
        <c:axId val="88457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Halfing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0806174033284"/>
          <c:y val="0.33438459816288923"/>
          <c:w val="0.14906226231889674"/>
          <c:h val="0.1382316024659474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halfing time - Lognormal fit (log-linear plot)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'New_cases_rates - LNorm'!$X$7</c:f>
              <c:strCache>
                <c:ptCount val="1"/>
                <c:pt idx="0">
                  <c:v>Spain fitted h.t.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LNorm'!$X$62:$X$184</c:f>
              <c:numCache>
                <c:formatCode>General</c:formatCode>
                <c:ptCount val="123"/>
                <c:pt idx="0">
                  <c:v>162.13974601087614</c:v>
                </c:pt>
                <c:pt idx="1">
                  <c:v>153.05758953812762</c:v>
                </c:pt>
                <c:pt idx="2">
                  <c:v>144.70257094542421</c:v>
                </c:pt>
                <c:pt idx="3">
                  <c:v>136.98363972086128</c:v>
                </c:pt>
                <c:pt idx="4">
                  <c:v>129.8245885197278</c:v>
                </c:pt>
                <c:pt idx="5">
                  <c:v>123.16117181957914</c:v>
                </c:pt>
                <c:pt idx="6">
                  <c:v>116.93887354303781</c:v>
                </c:pt>
                <c:pt idx="7">
                  <c:v>111.11115958822985</c:v>
                </c:pt>
                <c:pt idx="8">
                  <c:v>105.63809698134752</c:v>
                </c:pt>
                <c:pt idx="9">
                  <c:v>100.48525325429692</c:v>
                </c:pt>
                <c:pt idx="10">
                  <c:v>95.62281217882186</c:v>
                </c:pt>
                <c:pt idx="11">
                  <c:v>91.024858110671374</c:v>
                </c:pt>
                <c:pt idx="12">
                  <c:v>86.668792872139122</c:v>
                </c:pt>
                <c:pt idx="13">
                  <c:v>82.534857647100893</c:v>
                </c:pt>
                <c:pt idx="14">
                  <c:v>78.605738679073028</c:v>
                </c:pt>
                <c:pt idx="15">
                  <c:v>74.866240271383347</c:v>
                </c:pt>
                <c:pt idx="16">
                  <c:v>71.303012123778714</c:v>
                </c:pt>
                <c:pt idx="17">
                  <c:v>67.904320708786642</c:v>
                </c:pt>
                <c:pt idx="18">
                  <c:v>64.659856413322558</c:v>
                </c:pt>
                <c:pt idx="19">
                  <c:v>61.560569705069554</c:v>
                </c:pt>
                <c:pt idx="20">
                  <c:v>58.598530745640801</c:v>
                </c:pt>
                <c:pt idx="21">
                  <c:v>55.766807751169466</c:v>
                </c:pt>
                <c:pt idx="22">
                  <c:v>53.059360064343267</c:v>
                </c:pt>
                <c:pt idx="23">
                  <c:v>50.470942406813791</c:v>
                </c:pt>
                <c:pt idx="24">
                  <c:v>47.9970171781641</c:v>
                </c:pt>
                <c:pt idx="25">
                  <c:v>45.633672006267602</c:v>
                </c:pt>
                <c:pt idx="26">
                  <c:v>43.37754008393577</c:v>
                </c:pt>
                <c:pt idx="27">
                  <c:v>41.225721199679825</c:v>
                </c:pt>
                <c:pt idx="28">
                  <c:v>39.175701836506391</c:v>
                </c:pt>
                <c:pt idx="29">
                  <c:v>37.225273314582154</c:v>
                </c:pt>
                <c:pt idx="30">
                  <c:v>35.372447715628994</c:v>
                </c:pt>
                <c:pt idx="31">
                  <c:v>33.615372241114784</c:v>
                </c:pt>
                <c:pt idx="32">
                  <c:v>31.952243668772951</c:v>
                </c:pt>
                <c:pt idx="33">
                  <c:v>30.381225574854113</c:v>
                </c:pt>
                <c:pt idx="34">
                  <c:v>28.900371825933107</c:v>
                </c:pt>
                <c:pt idx="35">
                  <c:v>27.507560331859665</c:v>
                </c:pt>
                <c:pt idx="36">
                  <c:v>26.200441025692569</c:v>
                </c:pt>
                <c:pt idx="37">
                  <c:v>24.976401402773419</c:v>
                </c:pt>
                <c:pt idx="38">
                  <c:v>23.832551731402191</c:v>
                </c:pt>
                <c:pt idx="39">
                  <c:v>22.765730398317459</c:v>
                </c:pt>
                <c:pt idx="40">
                  <c:v>21.772528040657264</c:v>
                </c:pt>
                <c:pt idx="41">
                  <c:v>20.849327457555148</c:v>
                </c:pt>
                <c:pt idx="42">
                  <c:v>19.992355070135019</c:v>
                </c:pt>
                <c:pt idx="43">
                  <c:v>19.197739084152488</c:v>
                </c:pt>
                <c:pt idx="44">
                  <c:v>18.46156954004627</c:v>
                </c:pt>
                <c:pt idx="45">
                  <c:v>17.779956014972299</c:v>
                </c:pt>
                <c:pt idx="46">
                  <c:v>17.149079688651085</c:v>
                </c:pt>
                <c:pt idx="47">
                  <c:v>16.565237590201505</c:v>
                </c:pt>
                <c:pt idx="48">
                  <c:v>16.024877920907272</c:v>
                </c:pt>
                <c:pt idx="49">
                  <c:v>15.524626267079483</c:v>
                </c:pt>
                <c:pt idx="50">
                  <c:v>15.061303210044613</c:v>
                </c:pt>
                <c:pt idx="51">
                  <c:v>14.63193429381343</c:v>
                </c:pt>
                <c:pt idx="52">
                  <c:v>14.233753550072706</c:v>
                </c:pt>
                <c:pt idx="53">
                  <c:v>13.864201849606772</c:v>
                </c:pt>
                <c:pt idx="54">
                  <c:v>13.52092129921013</c:v>
                </c:pt>
                <c:pt idx="55">
                  <c:v>13.201746779508667</c:v>
                </c:pt>
                <c:pt idx="56">
                  <c:v>12.904695558801649</c:v>
                </c:pt>
                <c:pt idx="57">
                  <c:v>12.627955747793422</c:v>
                </c:pt>
                <c:pt idx="58">
                  <c:v>12.369874197264423</c:v>
                </c:pt>
                <c:pt idx="59">
                  <c:v>12.12894429519686</c:v>
                </c:pt>
                <c:pt idx="60">
                  <c:v>11.903793996004069</c:v>
                </c:pt>
                <c:pt idx="61">
                  <c:v>11.693174313083617</c:v>
                </c:pt>
                <c:pt idx="62">
                  <c:v>11.495948425524531</c:v>
                </c:pt>
                <c:pt idx="63">
                  <c:v>11.311081487925634</c:v>
                </c:pt>
                <c:pt idx="64">
                  <c:v>11.137631186013266</c:v>
                </c:pt>
                <c:pt idx="65">
                  <c:v>10.974739047171653</c:v>
                </c:pt>
                <c:pt idx="66">
                  <c:v>10.821622491470478</c:v>
                </c:pt>
                <c:pt idx="67">
                  <c:v>10.677567593013165</c:v>
                </c:pt>
                <c:pt idx="68">
                  <c:v>10.541922511527105</c:v>
                </c:pt>
                <c:pt idx="69">
                  <c:v>10.414091548550601</c:v>
                </c:pt>
                <c:pt idx="70">
                  <c:v>10.293529780126363</c:v>
                </c:pt>
                <c:pt idx="71">
                  <c:v>10.179738217666014</c:v>
                </c:pt>
                <c:pt idx="72">
                  <c:v>10.072259449888719</c:v>
                </c:pt>
                <c:pt idx="73">
                  <c:v>9.9706737209396721</c:v>
                </c:pt>
                <c:pt idx="74">
                  <c:v>9.8745954025768867</c:v>
                </c:pt>
                <c:pt idx="75">
                  <c:v>9.7836698213939144</c:v>
                </c:pt>
                <c:pt idx="76">
                  <c:v>9.6975704052360214</c:v>
                </c:pt>
                <c:pt idx="77">
                  <c:v>9.615996116131285</c:v>
                </c:pt>
                <c:pt idx="78">
                  <c:v>9.5386691401049859</c:v>
                </c:pt>
                <c:pt idx="79">
                  <c:v>9.465332807131503</c:v>
                </c:pt>
                <c:pt idx="80">
                  <c:v>9.3957497171598447</c:v>
                </c:pt>
                <c:pt idx="81">
                  <c:v>9.3297000506214687</c:v>
                </c:pt>
                <c:pt idx="82">
                  <c:v>9.2669800440909995</c:v>
                </c:pt>
                <c:pt idx="83">
                  <c:v>9.207400613811572</c:v>
                </c:pt>
                <c:pt idx="84">
                  <c:v>9.1507861116532609</c:v>
                </c:pt>
                <c:pt idx="85">
                  <c:v>9.0969731997292769</c:v>
                </c:pt>
                <c:pt idx="86">
                  <c:v>9.045809831385327</c:v>
                </c:pt>
                <c:pt idx="87">
                  <c:v>8.9971543276109003</c:v>
                </c:pt>
                <c:pt idx="88">
                  <c:v>8.9508745391031823</c:v>
                </c:pt>
                <c:pt idx="89">
                  <c:v>8.9068470852769224</c:v>
                </c:pt>
                <c:pt idx="90">
                  <c:v>8.8649566624524567</c:v>
                </c:pt>
                <c:pt idx="91">
                  <c:v>8.8250954142897484</c:v>
                </c:pt>
                <c:pt idx="92">
                  <c:v>8.7871623582842489</c:v>
                </c:pt>
                <c:pt idx="93">
                  <c:v>8.7510628627948535</c:v>
                </c:pt>
                <c:pt idx="94">
                  <c:v>8.7167081696673989</c:v>
                </c:pt>
                <c:pt idx="95">
                  <c:v>8.6840149580351067</c:v>
                </c:pt>
                <c:pt idx="96">
                  <c:v>8.6529049453424562</c:v>
                </c:pt>
                <c:pt idx="97">
                  <c:v>8.6233045220509581</c:v>
                </c:pt>
                <c:pt idx="98">
                  <c:v>8.5951444168514115</c:v>
                </c:pt>
                <c:pt idx="99">
                  <c:v>8.5683593895334837</c:v>
                </c:pt>
                <c:pt idx="100">
                  <c:v>8.5428879489572154</c:v>
                </c:pt>
                <c:pt idx="101">
                  <c:v>8.5186720938209106</c:v>
                </c:pt>
                <c:pt idx="102">
                  <c:v>8.4956570741641571</c:v>
                </c:pt>
                <c:pt idx="103">
                  <c:v>8.4737911717372327</c:v>
                </c:pt>
                <c:pt idx="104">
                  <c:v>8.4530254975600343</c:v>
                </c:pt>
                <c:pt idx="105">
                  <c:v>8.4333138051579368</c:v>
                </c:pt>
                <c:pt idx="106">
                  <c:v>8.4146123181025558</c:v>
                </c:pt>
                <c:pt idx="107">
                  <c:v>8.3968795706250177</c:v>
                </c:pt>
                <c:pt idx="108">
                  <c:v>8.3800762601811414</c:v>
                </c:pt>
                <c:pt idx="109">
                  <c:v>8.364165110958055</c:v>
                </c:pt>
                <c:pt idx="110">
                  <c:v>8.3491107474011415</c:v>
                </c:pt>
                <c:pt idx="111">
                  <c:v>8.3348795769325648</c:v>
                </c:pt>
                <c:pt idx="112">
                  <c:v>8.3214396811023335</c:v>
                </c:pt>
                <c:pt idx="113">
                  <c:v>8.3087607144861693</c:v>
                </c:pt>
                <c:pt idx="114">
                  <c:v>8.2968138107056006</c:v>
                </c:pt>
                <c:pt idx="115">
                  <c:v>8.2855714949998855</c:v>
                </c:pt>
                <c:pt idx="116">
                  <c:v>8.2750076028321473</c:v>
                </c:pt>
                <c:pt idx="117">
                  <c:v>8.2650972040568149</c:v>
                </c:pt>
                <c:pt idx="118">
                  <c:v>8.2558165322161017</c:v>
                </c:pt>
                <c:pt idx="119">
                  <c:v>8.247142918572365</c:v>
                </c:pt>
                <c:pt idx="120">
                  <c:v>8.239054730513061</c:v>
                </c:pt>
                <c:pt idx="121">
                  <c:v>8.2315313140014439</c:v>
                </c:pt>
                <c:pt idx="122">
                  <c:v>8.2245529397690689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879-42A8-9ED3-227675AC1993}"/>
            </c:ext>
          </c:extLst>
        </c:ser>
        <c:ser>
          <c:idx val="1"/>
          <c:order val="1"/>
          <c:tx>
            <c:strRef>
              <c:f>'New_cases_rates - LNorm'!$AV$7</c:f>
              <c:strCache>
                <c:ptCount val="1"/>
                <c:pt idx="0">
                  <c:v>Lombardy h.t.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LNorm'!$AV$63:$AV$184</c:f>
              <c:numCache>
                <c:formatCode>General</c:formatCode>
                <c:ptCount val="122"/>
                <c:pt idx="0">
                  <c:v>108.24294714213062</c:v>
                </c:pt>
                <c:pt idx="1">
                  <c:v>102.65240048328374</c:v>
                </c:pt>
                <c:pt idx="2">
                  <c:v>97.433636056669286</c:v>
                </c:pt>
                <c:pt idx="3">
                  <c:v>92.548765503856586</c:v>
                </c:pt>
                <c:pt idx="4">
                  <c:v>87.965338634410401</c:v>
                </c:pt>
                <c:pt idx="5">
                  <c:v>83.655443274900563</c:v>
                </c:pt>
                <c:pt idx="6">
                  <c:v>79.594980306174762</c:v>
                </c:pt>
                <c:pt idx="7">
                  <c:v>75.76307496417239</c:v>
                </c:pt>
                <c:pt idx="8">
                  <c:v>72.141594877848391</c:v>
                </c:pt>
                <c:pt idx="9">
                  <c:v>68.714752200541227</c:v>
                </c:pt>
                <c:pt idx="10">
                  <c:v>65.46877228460248</c:v>
                </c:pt>
                <c:pt idx="11">
                  <c:v>62.391615158997027</c:v>
                </c:pt>
                <c:pt idx="12">
                  <c:v>59.472738953723649</c:v>
                </c:pt>
                <c:pt idx="13">
                  <c:v>56.702896630891004</c:v>
                </c:pt>
                <c:pt idx="14">
                  <c:v>54.073959118774027</c:v>
                </c:pt>
                <c:pt idx="15">
                  <c:v>51.578759342402293</c:v>
                </c:pt>
                <c:pt idx="16">
                  <c:v>49.210952806937058</c:v>
                </c:pt>
                <c:pt idx="17">
                  <c:v>46.964891395265752</c:v>
                </c:pt>
                <c:pt idx="18">
                  <c:v>44.835507941912041</c:v>
                </c:pt>
                <c:pt idx="19">
                  <c:v>42.818209972147045</c:v>
                </c:pt>
                <c:pt idx="20">
                  <c:v>40.908781756597364</c:v>
                </c:pt>
                <c:pt idx="21">
                  <c:v>39.103294515078701</c:v>
                </c:pt>
                <c:pt idx="22">
                  <c:v>37.398025178104874</c:v>
                </c:pt>
                <c:pt idx="23">
                  <c:v>35.789384538142386</c:v>
                </c:pt>
                <c:pt idx="24">
                  <c:v>34.273855851298123</c:v>
                </c:pt>
                <c:pt idx="25">
                  <c:v>32.847944951181603</c:v>
                </c:pt>
                <c:pt idx="26">
                  <c:v>31.508142701776976</c:v>
                </c:pt>
                <c:pt idx="27">
                  <c:v>30.250900170112018</c:v>
                </c:pt>
                <c:pt idx="28">
                  <c:v>29.072616302125709</c:v>
                </c:pt>
                <c:pt idx="29">
                  <c:v>27.969637223739355</c:v>
                </c:pt>
                <c:pt idx="30">
                  <c:v>26.938265663087549</c:v>
                </c:pt>
                <c:pt idx="31">
                  <c:v>25.974778490948722</c:v>
                </c:pt>
                <c:pt idx="32">
                  <c:v>25.075450070806539</c:v>
                </c:pt>
                <c:pt idx="33">
                  <c:v>24.236579026940362</c:v>
                </c:pt>
                <c:pt idx="34">
                  <c:v>23.454516168964588</c:v>
                </c:pt>
                <c:pt idx="35">
                  <c:v>22.725691613092152</c:v>
                </c:pt>
                <c:pt idx="36">
                  <c:v>22.046639553959395</c:v>
                </c:pt>
                <c:pt idx="37">
                  <c:v>21.414019601398252</c:v>
                </c:pt>
                <c:pt idx="38">
                  <c:v>20.824634046698975</c:v>
                </c:pt>
                <c:pt idx="39">
                  <c:v>20.275440820140986</c:v>
                </c:pt>
                <c:pt idx="40">
                  <c:v>19.763562220773423</c:v>
                </c:pt>
                <c:pt idx="41">
                  <c:v>19.286289731619561</c:v>
                </c:pt>
                <c:pt idx="42">
                  <c:v>18.84108538212368</c:v>
                </c:pt>
                <c:pt idx="43">
                  <c:v>18.425580196201395</c:v>
                </c:pt>
                <c:pt idx="44">
                  <c:v>18.037570283984067</c:v>
                </c:pt>
                <c:pt idx="45">
                  <c:v>17.675011114172236</c:v>
                </c:pt>
                <c:pt idx="46">
                  <c:v>17.336010456293323</c:v>
                </c:pt>
                <c:pt idx="47">
                  <c:v>17.018820420008026</c:v>
                </c:pt>
                <c:pt idx="48">
                  <c:v>16.721828950957374</c:v>
                </c:pt>
                <c:pt idx="49">
                  <c:v>16.44355107581562</c:v>
                </c:pt>
                <c:pt idx="50">
                  <c:v>16.182620127214776</c:v>
                </c:pt>
                <c:pt idx="51">
                  <c:v>15.937779124260302</c:v>
                </c:pt>
                <c:pt idx="52">
                  <c:v>15.707872437368451</c:v>
                </c:pt>
                <c:pt idx="53">
                  <c:v>15.491837827154228</c:v>
                </c:pt>
                <c:pt idx="54">
                  <c:v>15.288698915572965</c:v>
                </c:pt>
                <c:pt idx="55">
                  <c:v>15.09755812265972</c:v>
                </c:pt>
                <c:pt idx="56">
                  <c:v>14.917590083083738</c:v>
                </c:pt>
                <c:pt idx="57">
                  <c:v>14.748035542411444</c:v>
                </c:pt>
                <c:pt idx="58">
                  <c:v>14.588195722565899</c:v>
                </c:pt>
                <c:pt idx="59">
                  <c:v>14.437427138699974</c:v>
                </c:pt>
                <c:pt idx="60">
                  <c:v>14.295136844896177</c:v>
                </c:pt>
                <c:pt idx="61">
                  <c:v>14.16077808319227</c:v>
                </c:pt>
                <c:pt idx="62">
                  <c:v>14.033846308952548</c:v>
                </c:pt>
                <c:pt idx="63">
                  <c:v>13.91387556518508</c:v>
                </c:pt>
                <c:pt idx="64">
                  <c:v>13.800435178739519</c:v>
                </c:pt>
                <c:pt idx="65">
                  <c:v>13.693126752196051</c:v>
                </c:pt>
                <c:pt idx="66">
                  <c:v>13.591581426473411</c:v>
                </c:pt>
                <c:pt idx="67">
                  <c:v>13.495457390627209</c:v>
                </c:pt>
                <c:pt idx="68">
                  <c:v>13.404437616866659</c:v>
                </c:pt>
                <c:pt idx="69">
                  <c:v>13.318227800420431</c:v>
                </c:pt>
                <c:pt idx="70">
                  <c:v>13.23655448547575</c:v>
                </c:pt>
                <c:pt idx="71">
                  <c:v>13.159163359965447</c:v>
                </c:pt>
                <c:pt idx="72">
                  <c:v>13.085817703456797</c:v>
                </c:pt>
                <c:pt idx="73">
                  <c:v>13.016296973793317</c:v>
                </c:pt>
                <c:pt idx="74">
                  <c:v>12.950395519447738</c:v>
                </c:pt>
                <c:pt idx="75">
                  <c:v>12.887921405748017</c:v>
                </c:pt>
                <c:pt idx="76">
                  <c:v>12.828695344257341</c:v>
                </c:pt>
                <c:pt idx="77">
                  <c:v>12.77254971560518</c:v>
                </c:pt>
                <c:pt idx="78">
                  <c:v>12.719327677001672</c:v>
                </c:pt>
                <c:pt idx="79">
                  <c:v>12.668882346508923</c:v>
                </c:pt>
                <c:pt idx="80">
                  <c:v>12.621076056917317</c:v>
                </c:pt>
                <c:pt idx="81">
                  <c:v>12.575779672767084</c:v>
                </c:pt>
                <c:pt idx="82">
                  <c:v>12.532871964684489</c:v>
                </c:pt>
                <c:pt idx="83">
                  <c:v>12.492239035770481</c:v>
                </c:pt>
                <c:pt idx="84">
                  <c:v>12.453773795292378</c:v>
                </c:pt>
                <c:pt idx="85">
                  <c:v>12.417375475386706</c:v>
                </c:pt>
                <c:pt idx="86">
                  <c:v>12.382949186899708</c:v>
                </c:pt>
                <c:pt idx="87">
                  <c:v>12.350405510865585</c:v>
                </c:pt>
                <c:pt idx="88">
                  <c:v>12.319660122456625</c:v>
                </c:pt>
                <c:pt idx="89">
                  <c:v>12.290633444544497</c:v>
                </c:pt>
                <c:pt idx="90">
                  <c:v>12.263250328282268</c:v>
                </c:pt>
                <c:pt idx="91">
                  <c:v>12.237439758362967</c:v>
                </c:pt>
                <c:pt idx="92">
                  <c:v>12.213134580831166</c:v>
                </c:pt>
                <c:pt idx="93">
                  <c:v>12.190271251522148</c:v>
                </c:pt>
                <c:pt idx="94">
                  <c:v>12.168789603381555</c:v>
                </c:pt>
                <c:pt idx="95">
                  <c:v>12.148632631081853</c:v>
                </c:pt>
                <c:pt idx="96">
                  <c:v>12.129746291493888</c:v>
                </c:pt>
                <c:pt idx="97">
                  <c:v>12.112079318707629</c:v>
                </c:pt>
                <c:pt idx="98">
                  <c:v>12.095583052407989</c:v>
                </c:pt>
                <c:pt idx="99">
                  <c:v>12.080211278525638</c:v>
                </c:pt>
                <c:pt idx="100">
                  <c:v>12.065920081173914</c:v>
                </c:pt>
                <c:pt idx="101">
                  <c:v>12.052667704972436</c:v>
                </c:pt>
                <c:pt idx="102">
                  <c:v>12.040414426937048</c:v>
                </c:pt>
                <c:pt idx="103">
                  <c:v>12.029122437185407</c:v>
                </c:pt>
                <c:pt idx="104">
                  <c:v>12.018755727775243</c:v>
                </c:pt>
                <c:pt idx="105">
                  <c:v>12.009279989049276</c:v>
                </c:pt>
                <c:pt idx="106">
                  <c:v>12.000662512911731</c:v>
                </c:pt>
                <c:pt idx="107">
                  <c:v>11.992872102515946</c:v>
                </c:pt>
                <c:pt idx="108">
                  <c:v>11.985878987877669</c:v>
                </c:pt>
                <c:pt idx="109">
                  <c:v>11.979654746979065</c:v>
                </c:pt>
                <c:pt idx="110">
                  <c:v>11.97417223195464</c:v>
                </c:pt>
                <c:pt idx="111">
                  <c:v>11.969405499988937</c:v>
                </c:pt>
                <c:pt idx="112">
                  <c:v>11.965329748587351</c:v>
                </c:pt>
                <c:pt idx="113">
                  <c:v>11.961921254901341</c:v>
                </c:pt>
                <c:pt idx="114">
                  <c:v>11.959157318824822</c:v>
                </c:pt>
                <c:pt idx="115">
                  <c:v>11.9570162095917</c:v>
                </c:pt>
                <c:pt idx="116">
                  <c:v>11.955477115631965</c:v>
                </c:pt>
                <c:pt idx="117">
                  <c:v>11.954520097458243</c:v>
                </c:pt>
                <c:pt idx="118">
                  <c:v>11.954126043377158</c:v>
                </c:pt>
                <c:pt idx="119">
                  <c:v>11.954276627830325</c:v>
                </c:pt>
                <c:pt idx="120">
                  <c:v>11.954954272188075</c:v>
                </c:pt>
                <c:pt idx="121">
                  <c:v>11.956142107832676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79-42A8-9ED3-227675AC1993}"/>
            </c:ext>
          </c:extLst>
        </c:ser>
        <c:ser>
          <c:idx val="2"/>
          <c:order val="2"/>
          <c:tx>
            <c:strRef>
              <c:f>'New_cases_rates - LNorm'!$BQ$7</c:f>
              <c:strCache>
                <c:ptCount val="1"/>
                <c:pt idx="0">
                  <c:v>rest of Italy h.t.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'New_cases_rates - LNorm'!$C$63:$C$184</c:f>
              <c:numCache>
                <c:formatCode>General</c:formatCode>
                <c:ptCount val="122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  <c:pt idx="68">
                  <c:v>124</c:v>
                </c:pt>
                <c:pt idx="69">
                  <c:v>125</c:v>
                </c:pt>
                <c:pt idx="70">
                  <c:v>126</c:v>
                </c:pt>
                <c:pt idx="71">
                  <c:v>127</c:v>
                </c:pt>
                <c:pt idx="72">
                  <c:v>128</c:v>
                </c:pt>
                <c:pt idx="73">
                  <c:v>129</c:v>
                </c:pt>
                <c:pt idx="74">
                  <c:v>130</c:v>
                </c:pt>
                <c:pt idx="75">
                  <c:v>131</c:v>
                </c:pt>
                <c:pt idx="76">
                  <c:v>132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136</c:v>
                </c:pt>
                <c:pt idx="81">
                  <c:v>137</c:v>
                </c:pt>
                <c:pt idx="82">
                  <c:v>138</c:v>
                </c:pt>
                <c:pt idx="83">
                  <c:v>139</c:v>
                </c:pt>
                <c:pt idx="84">
                  <c:v>140</c:v>
                </c:pt>
                <c:pt idx="85">
                  <c:v>141</c:v>
                </c:pt>
                <c:pt idx="86">
                  <c:v>142</c:v>
                </c:pt>
                <c:pt idx="87">
                  <c:v>143</c:v>
                </c:pt>
                <c:pt idx="88">
                  <c:v>144</c:v>
                </c:pt>
                <c:pt idx="89">
                  <c:v>145</c:v>
                </c:pt>
                <c:pt idx="90">
                  <c:v>146</c:v>
                </c:pt>
                <c:pt idx="91">
                  <c:v>147</c:v>
                </c:pt>
                <c:pt idx="92">
                  <c:v>148</c:v>
                </c:pt>
                <c:pt idx="93">
                  <c:v>149</c:v>
                </c:pt>
                <c:pt idx="94">
                  <c:v>150</c:v>
                </c:pt>
                <c:pt idx="95">
                  <c:v>151</c:v>
                </c:pt>
                <c:pt idx="96">
                  <c:v>152</c:v>
                </c:pt>
                <c:pt idx="97">
                  <c:v>153</c:v>
                </c:pt>
                <c:pt idx="98">
                  <c:v>154</c:v>
                </c:pt>
                <c:pt idx="99">
                  <c:v>155</c:v>
                </c:pt>
                <c:pt idx="100">
                  <c:v>156</c:v>
                </c:pt>
                <c:pt idx="101">
                  <c:v>157</c:v>
                </c:pt>
                <c:pt idx="102">
                  <c:v>158</c:v>
                </c:pt>
                <c:pt idx="103">
                  <c:v>159</c:v>
                </c:pt>
                <c:pt idx="104">
                  <c:v>160</c:v>
                </c:pt>
                <c:pt idx="105">
                  <c:v>161</c:v>
                </c:pt>
                <c:pt idx="106">
                  <c:v>162</c:v>
                </c:pt>
                <c:pt idx="107">
                  <c:v>163</c:v>
                </c:pt>
                <c:pt idx="108">
                  <c:v>164</c:v>
                </c:pt>
                <c:pt idx="109">
                  <c:v>165</c:v>
                </c:pt>
                <c:pt idx="110">
                  <c:v>166</c:v>
                </c:pt>
                <c:pt idx="111">
                  <c:v>167</c:v>
                </c:pt>
                <c:pt idx="112">
                  <c:v>168</c:v>
                </c:pt>
                <c:pt idx="113">
                  <c:v>169</c:v>
                </c:pt>
                <c:pt idx="114">
                  <c:v>170</c:v>
                </c:pt>
                <c:pt idx="115">
                  <c:v>171</c:v>
                </c:pt>
                <c:pt idx="116">
                  <c:v>172</c:v>
                </c:pt>
                <c:pt idx="117">
                  <c:v>173</c:v>
                </c:pt>
                <c:pt idx="118">
                  <c:v>174</c:v>
                </c:pt>
                <c:pt idx="119">
                  <c:v>175</c:v>
                </c:pt>
                <c:pt idx="120">
                  <c:v>176</c:v>
                </c:pt>
                <c:pt idx="121">
                  <c:v>177</c:v>
                </c:pt>
              </c:numCache>
            </c:numRef>
          </c:xVal>
          <c:yVal>
            <c:numRef>
              <c:f>'New_cases_rates - LNorm'!$BQ$63:$BQ$184</c:f>
              <c:numCache>
                <c:formatCode>General</c:formatCode>
                <c:ptCount val="122"/>
                <c:pt idx="0">
                  <c:v>137.50156096206484</c:v>
                </c:pt>
                <c:pt idx="1">
                  <c:v>128.92287040881178</c:v>
                </c:pt>
                <c:pt idx="2">
                  <c:v>121.11420490147638</c:v>
                </c:pt>
                <c:pt idx="3">
                  <c:v>113.96901199151684</c:v>
                </c:pt>
                <c:pt idx="4">
                  <c:v>107.40001448598478</c:v>
                </c:pt>
                <c:pt idx="5">
                  <c:v>101.33509003292285</c:v>
                </c:pt>
                <c:pt idx="6">
                  <c:v>95.71416956875639</c:v>
                </c:pt>
                <c:pt idx="7">
                  <c:v>90.486872647777247</c:v>
                </c:pt>
                <c:pt idx="8">
                  <c:v>85.610683421159749</c:v>
                </c:pt>
                <c:pt idx="9">
                  <c:v>81.049528483947128</c:v>
                </c:pt>
                <c:pt idx="10">
                  <c:v>76.7726569608527</c:v>
                </c:pt>
                <c:pt idx="11">
                  <c:v>72.753750298235076</c:v>
                </c:pt>
                <c:pt idx="12">
                  <c:v>68.970208245958005</c:v>
                </c:pt>
                <c:pt idx="13">
                  <c:v>65.402571027928062</c:v>
                </c:pt>
                <c:pt idx="14">
                  <c:v>62.034047416134513</c:v>
                </c:pt>
                <c:pt idx="15">
                  <c:v>58.850125483065497</c:v>
                </c:pt>
                <c:pt idx="16">
                  <c:v>55.838247993008139</c:v>
                </c:pt>
                <c:pt idx="17">
                  <c:v>52.987538249240416</c:v>
                </c:pt>
                <c:pt idx="18">
                  <c:v>50.288565131153732</c:v>
                </c:pt>
                <c:pt idx="19">
                  <c:v>47.733138318953664</c:v>
                </c:pt>
                <c:pt idx="20">
                  <c:v>45.314126529506694</c:v>
                </c:pt>
                <c:pt idx="21">
                  <c:v>43.025293140169225</c:v>
                </c:pt>
                <c:pt idx="22">
                  <c:v>40.861144981946424</c:v>
                </c:pt>
                <c:pt idx="23">
                  <c:v>38.816791423312154</c:v>
                </c:pt>
                <c:pt idx="24">
                  <c:v>36.887812182076928</c:v>
                </c:pt>
                <c:pt idx="25">
                  <c:v>35.070133585781235</c:v>
                </c:pt>
                <c:pt idx="26">
                  <c:v>33.359914189656564</c:v>
                </c:pt>
                <c:pt idx="27">
                  <c:v>31.753441647094405</c:v>
                </c:pt>
                <c:pt idx="28">
                  <c:v>30.247043375867236</c:v>
                </c:pt>
                <c:pt idx="29">
                  <c:v>28.837013746623839</c:v>
                </c:pt>
                <c:pt idx="30">
                  <c:v>27.519560161501218</c:v>
                </c:pt>
                <c:pt idx="31">
                  <c:v>26.29076950243747</c:v>
                </c:pt>
                <c:pt idx="32">
                  <c:v>25.146595131334891</c:v>
                </c:pt>
                <c:pt idx="33">
                  <c:v>24.082863132712205</c:v>
                </c:pt>
                <c:pt idx="34">
                  <c:v>23.095295067926685</c:v>
                </c:pt>
                <c:pt idx="35">
                  <c:v>22.179543406737338</c:v>
                </c:pt>
                <c:pt idx="36">
                  <c:v>21.331235188430639</c:v>
                </c:pt>
                <c:pt idx="37">
                  <c:v>20.546019399725878</c:v>
                </c:pt>
                <c:pt idx="38">
                  <c:v>19.819613985641794</c:v>
                </c:pt>
                <c:pt idx="39">
                  <c:v>19.147849194911331</c:v>
                </c:pt>
                <c:pt idx="40">
                  <c:v>18.526704929293132</c:v>
                </c:pt>
                <c:pt idx="41">
                  <c:v>17.952340750478854</c:v>
                </c:pt>
                <c:pt idx="42">
                  <c:v>17.421118072746367</c:v>
                </c:pt>
                <c:pt idx="43">
                  <c:v>16.929614759526316</c:v>
                </c:pt>
                <c:pt idx="44">
                  <c:v>16.474632822259522</c:v>
                </c:pt>
                <c:pt idx="45">
                  <c:v>16.053200201985732</c:v>
                </c:pt>
                <c:pt idx="46">
                  <c:v>15.66256773178435</c:v>
                </c:pt>
                <c:pt idx="47">
                  <c:v>15.300202373930716</c:v>
                </c:pt>
                <c:pt idx="48">
                  <c:v>14.963777741104423</c:v>
                </c:pt>
                <c:pt idx="49">
                  <c:v>14.651162781476827</c:v>
                </c:pt>
                <c:pt idx="50">
                  <c:v>14.360409359908743</c:v>
                </c:pt>
                <c:pt idx="51">
                  <c:v>14.089739320240838</c:v>
                </c:pt>
                <c:pt idx="52">
                  <c:v>13.837531478101425</c:v>
                </c:pt>
                <c:pt idx="53">
                  <c:v>13.602308875624161</c:v>
                </c:pt>
                <c:pt idx="54">
                  <c:v>13.38272653101123</c:v>
                </c:pt>
                <c:pt idx="55">
                  <c:v>13.177559836596046</c:v>
                </c:pt>
                <c:pt idx="56">
                  <c:v>12.985693697184871</c:v>
                </c:pt>
                <c:pt idx="57">
                  <c:v>12.806112453597123</c:v>
                </c:pt>
                <c:pt idx="58">
                  <c:v>12.637890601899969</c:v>
                </c:pt>
                <c:pt idx="59">
                  <c:v>12.480184294424546</c:v>
                </c:pt>
                <c:pt idx="60">
                  <c:v>12.332223592074797</c:v>
                </c:pt>
                <c:pt idx="61">
                  <c:v>12.193305426867184</c:v>
                </c:pt>
                <c:pt idx="62">
                  <c:v>12.062787227540653</c:v>
                </c:pt>
                <c:pt idx="63">
                  <c:v>11.940081158256007</c:v>
                </c:pt>
                <c:pt idx="64">
                  <c:v>11.824648919903211</c:v>
                </c:pt>
                <c:pt idx="65">
                  <c:v>11.715997064634237</c:v>
                </c:pt>
                <c:pt idx="66">
                  <c:v>11.613672776385826</c:v>
                </c:pt>
                <c:pt idx="67">
                  <c:v>11.517260072950521</c:v>
                </c:pt>
                <c:pt idx="68">
                  <c:v>11.426376388297001</c:v>
                </c:pt>
                <c:pt idx="69">
                  <c:v>11.340669497125546</c:v>
                </c:pt>
                <c:pt idx="70">
                  <c:v>11.259814746925386</c:v>
                </c:pt>
                <c:pt idx="71">
                  <c:v>11.183512565984785</c:v>
                </c:pt>
                <c:pt idx="72">
                  <c:v>11.111486218823885</c:v>
                </c:pt>
                <c:pt idx="73">
                  <c:v>11.043479783344637</c:v>
                </c:pt>
                <c:pt idx="74">
                  <c:v>10.979256326603078</c:v>
                </c:pt>
                <c:pt idx="75">
                  <c:v>10.918596258498482</c:v>
                </c:pt>
                <c:pt idx="76">
                  <c:v>10.861295844844605</c:v>
                </c:pt>
                <c:pt idx="77">
                  <c:v>10.807165863258049</c:v>
                </c:pt>
                <c:pt idx="78">
                  <c:v>10.756030387066431</c:v>
                </c:pt>
                <c:pt idx="79">
                  <c:v>10.707725684026244</c:v>
                </c:pt>
                <c:pt idx="80">
                  <c:v>10.662099218066629</c:v>
                </c:pt>
                <c:pt idx="81">
                  <c:v>10.619008743541272</c:v>
                </c:pt>
                <c:pt idx="82">
                  <c:v>10.578321482606583</c:v>
                </c:pt>
                <c:pt idx="83">
                  <c:v>10.539913377352519</c:v>
                </c:pt>
                <c:pt idx="84">
                  <c:v>10.503668409210619</c:v>
                </c:pt>
                <c:pt idx="85">
                  <c:v>10.469477978962985</c:v>
                </c:pt>
                <c:pt idx="86">
                  <c:v>10.437240341386953</c:v>
                </c:pt>
                <c:pt idx="87">
                  <c:v>10.406860089202894</c:v>
                </c:pt>
                <c:pt idx="88">
                  <c:v>10.378247681551485</c:v>
                </c:pt>
                <c:pt idx="89">
                  <c:v>10.351319012729078</c:v>
                </c:pt>
                <c:pt idx="90">
                  <c:v>10.325995017353307</c:v>
                </c:pt>
                <c:pt idx="91">
                  <c:v>10.302201308528169</c:v>
                </c:pt>
                <c:pt idx="92">
                  <c:v>10.279867845923974</c:v>
                </c:pt>
                <c:pt idx="93">
                  <c:v>10.258928631010406</c:v>
                </c:pt>
                <c:pt idx="94">
                  <c:v>10.239321426952799</c:v>
                </c:pt>
                <c:pt idx="95">
                  <c:v>10.220987500932836</c:v>
                </c:pt>
                <c:pt idx="96">
                  <c:v>10.203871386882113</c:v>
                </c:pt>
                <c:pt idx="97">
                  <c:v>10.187920666807585</c:v>
                </c:pt>
                <c:pt idx="98">
                  <c:v>10.173085769072685</c:v>
                </c:pt>
                <c:pt idx="99">
                  <c:v>10.159319782152991</c:v>
                </c:pt>
                <c:pt idx="100">
                  <c:v>10.146578282529291</c:v>
                </c:pt>
                <c:pt idx="101">
                  <c:v>10.134819175506763</c:v>
                </c:pt>
                <c:pt idx="102">
                  <c:v>10.124002547865942</c:v>
                </c:pt>
                <c:pt idx="103">
                  <c:v>10.114090531350158</c:v>
                </c:pt>
                <c:pt idx="104">
                  <c:v>10.105047176089798</c:v>
                </c:pt>
                <c:pt idx="105">
                  <c:v>10.096838333145158</c:v>
                </c:pt>
                <c:pt idx="106">
                  <c:v>10.08943154542338</c:v>
                </c:pt>
                <c:pt idx="107">
                  <c:v>10.082795946294127</c:v>
                </c:pt>
                <c:pt idx="108">
                  <c:v>10.07690216528708</c:v>
                </c:pt>
                <c:pt idx="109">
                  <c:v>10.071722240311303</c:v>
                </c:pt>
                <c:pt idx="110">
                  <c:v>10.06722953588411</c:v>
                </c:pt>
                <c:pt idx="111">
                  <c:v>10.063398666902458</c:v>
                </c:pt>
                <c:pt idx="112">
                  <c:v>10.06020542752924</c:v>
                </c:pt>
                <c:pt idx="113">
                  <c:v>10.057626724806511</c:v>
                </c:pt>
                <c:pt idx="114">
                  <c:v>10.05564051663589</c:v>
                </c:pt>
                <c:pt idx="115">
                  <c:v>10.05422575380112</c:v>
                </c:pt>
                <c:pt idx="116">
                  <c:v>10.053362325732166</c:v>
                </c:pt>
                <c:pt idx="117">
                  <c:v>10.053031009735747</c:v>
                </c:pt>
                <c:pt idx="118">
                  <c:v>10.053213423441122</c:v>
                </c:pt>
                <c:pt idx="119">
                  <c:v>10.053891980227121</c:v>
                </c:pt>
                <c:pt idx="120">
                  <c:v>10.055049847419298</c:v>
                </c:pt>
                <c:pt idx="121">
                  <c:v>10.056670907060067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79-42A8-9ED3-227675AC1993}"/>
            </c:ext>
          </c:extLst>
        </c:ser>
        <c:ser>
          <c:idx val="3"/>
          <c:order val="3"/>
          <c:tx>
            <c:strRef>
              <c:f>'New_cases_rates - LNorm'!$B$6</c:f>
              <c:strCache>
                <c:ptCount val="1"/>
                <c:pt idx="0">
                  <c:v>30-Apr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121</c:v>
                </c:pt>
                <c:pt idx="1">
                  <c:v>121</c:v>
                </c:pt>
              </c:numCache>
            </c:numRef>
          </c:xVal>
          <c:yVal>
            <c:numRef>
              <c:f>('New_cases_rates - LNorm'!$D$6,'New_cases_rates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879-42A8-9ED3-227675AC1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577424"/>
        <c:axId val="884574224"/>
      </c:scatterChart>
      <c:valAx>
        <c:axId val="88457742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4224"/>
        <c:crosses val="autoZero"/>
        <c:crossBetween val="midCat"/>
      </c:valAx>
      <c:valAx>
        <c:axId val="8845742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Halfing 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8457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940806174033284"/>
          <c:y val="0.33438459816288923"/>
          <c:w val="0.14906226231889674"/>
          <c:h val="0.1612388451443569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Spain - kinetics of the outbreak - Lognormal fit</a:t>
            </a:r>
          </a:p>
          <a:p>
            <a:pPr>
              <a:defRPr/>
            </a:pPr>
            <a:r>
              <a:rPr lang="it-IT"/>
              <a:t>Doubling and halfing times, growth ratio, acceleration of confirmed cases (variation speed of new cases) normalized to their fitted values at lockdown (mar-14)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'New_cases_rates - LNorm'!$J$7</c:f>
              <c:strCache>
                <c:ptCount val="1"/>
                <c:pt idx="0">
                  <c:v>Spain fitted d.t. (Norm. To val. at lockdown)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LNorm'!$J$62:$J$100</c:f>
              <c:numCache>
                <c:formatCode>General</c:formatCode>
                <c:ptCount val="39"/>
                <c:pt idx="0">
                  <c:v>0.23965769243842291</c:v>
                </c:pt>
                <c:pt idx="1">
                  <c:v>0.26168784632687581</c:v>
                </c:pt>
                <c:pt idx="2">
                  <c:v>0.28504740281306523</c:v>
                </c:pt>
                <c:pt idx="3">
                  <c:v>0.30981497093911259</c:v>
                </c:pt>
                <c:pt idx="4">
                  <c:v>0.33607606495041759</c:v>
                </c:pt>
                <c:pt idx="5">
                  <c:v>0.36392378733616587</c:v>
                </c:pt>
                <c:pt idx="6">
                  <c:v>0.39345960645651684</c:v>
                </c:pt>
                <c:pt idx="7">
                  <c:v>0.4247942427149235</c:v>
                </c:pt>
                <c:pt idx="8">
                  <c:v>0.45804868011592587</c:v>
                </c:pt>
                <c:pt idx="9">
                  <c:v>0.49335532352375716</c:v>
                </c:pt>
                <c:pt idx="10">
                  <c:v>0.53085932617426457</c:v>
                </c:pt>
                <c:pt idx="11">
                  <c:v>0.57072011720671845</c:v>
                </c:pt>
                <c:pt idx="12">
                  <c:v>0.61311316545119543</c:v>
                </c:pt>
                <c:pt idx="13">
                  <c:v>0.6582320237949838</c:v>
                </c:pt>
                <c:pt idx="14">
                  <c:v>0.70629070863993204</c:v>
                </c:pt>
                <c:pt idx="15">
                  <c:v>0.75752648189497906</c:v>
                </c:pt>
                <c:pt idx="16">
                  <c:v>0.81220311949290391</c:v>
                </c:pt>
                <c:pt idx="17">
                  <c:v>0.87061477176069224</c:v>
                </c:pt>
                <c:pt idx="18">
                  <c:v>0.93309054873839448</c:v>
                </c:pt>
                <c:pt idx="19">
                  <c:v>1</c:v>
                </c:pt>
                <c:pt idx="20">
                  <c:v>1.0717597068748408</c:v>
                </c:pt>
                <c:pt idx="21">
                  <c:v>1.1488412697543977</c:v>
                </c:pt>
                <c:pt idx="22">
                  <c:v>1.2317810609743838</c:v>
                </c:pt>
                <c:pt idx="23">
                  <c:v>1.3211922342312987</c:v>
                </c:pt>
                <c:pt idx="24">
                  <c:v>1.4177796489802053</c:v>
                </c:pt>
                <c:pt idx="25">
                  <c:v>1.5223586045019672</c:v>
                </c:pt>
                <c:pt idx="26">
                  <c:v>1.6358786168354931</c:v>
                </c:pt>
                <c:pt idx="27">
                  <c:v>1.759453965271417</c:v>
                </c:pt>
                <c:pt idx="28">
                  <c:v>1.8944034684014972</c:v>
                </c:pt>
                <c:pt idx="29">
                  <c:v>2.0423030625835845</c:v>
                </c:pt>
                <c:pt idx="30">
                  <c:v>2.2050564847987073</c:v>
                </c:pt>
                <c:pt idx="31">
                  <c:v>2.3849921203787452</c:v>
                </c:pt>
                <c:pt idx="32">
                  <c:v>2.5849986101105005</c:v>
                </c:pt>
                <c:pt idx="33">
                  <c:v>2.8087195215706284</c:v>
                </c:pt>
                <c:pt idx="34">
                  <c:v>3.0608410253813796</c:v>
                </c:pt>
                <c:pt idx="35">
                  <c:v>3.3475317586526141</c:v>
                </c:pt>
                <c:pt idx="36">
                  <c:v>3.6771433725241094</c:v>
                </c:pt>
                <c:pt idx="37">
                  <c:v>4.0613830594795459</c:v>
                </c:pt>
                <c:pt idx="38">
                  <c:v>4.5174013983947123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58-47C8-B6E0-512AA87BD209}"/>
            </c:ext>
          </c:extLst>
        </c:ser>
        <c:ser>
          <c:idx val="1"/>
          <c:order val="1"/>
          <c:tx>
            <c:strRef>
              <c:f>'New_cases_rates - LNorm'!$W$7</c:f>
              <c:strCache>
                <c:ptCount val="1"/>
                <c:pt idx="0">
                  <c:v>Spain fitted g.r. (Norm. To val. at lockdown)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LNorm'!$W$62:$W$184</c:f>
              <c:numCache>
                <c:formatCode>General</c:formatCode>
                <c:ptCount val="123"/>
                <c:pt idx="0">
                  <c:v>3.8706966073528997</c:v>
                </c:pt>
                <c:pt idx="1">
                  <c:v>3.5527211627870194</c:v>
                </c:pt>
                <c:pt idx="2">
                  <c:v>3.2692072381008601</c:v>
                </c:pt>
                <c:pt idx="3">
                  <c:v>3.0152730902379439</c:v>
                </c:pt>
                <c:pt idx="4">
                  <c:v>2.7868904319336023</c:v>
                </c:pt>
                <c:pt idx="5">
                  <c:v>2.5807087340143386</c:v>
                </c:pt>
                <c:pt idx="6">
                  <c:v>2.393920796837453</c:v>
                </c:pt>
                <c:pt idx="7">
                  <c:v>2.2241587789584729</c:v>
                </c:pt>
                <c:pt idx="8">
                  <c:v>2.0694129773052294</c:v>
                </c:pt>
                <c:pt idx="9">
                  <c:v>1.9279677934079988</c:v>
                </c:pt>
                <c:pt idx="10">
                  <c:v>1.79835081637746</c:v>
                </c:pt>
                <c:pt idx="11">
                  <c:v>1.6792920132253861</c:v>
                </c:pt>
                <c:pt idx="12">
                  <c:v>1.5696907773223367</c:v>
                </c:pt>
                <c:pt idx="13">
                  <c:v>1.4685891373298248</c:v>
                </c:pt>
                <c:pt idx="14">
                  <c:v>1.3751498334119072</c:v>
                </c:pt>
                <c:pt idx="15">
                  <c:v>1.2886382671276317</c:v>
                </c:pt>
                <c:pt idx="16">
                  <c:v>1.2084075554123881</c:v>
                </c:pt>
                <c:pt idx="17">
                  <c:v>1.1338860880259041</c:v>
                </c:pt>
                <c:pt idx="18">
                  <c:v>1.0645671163588337</c:v>
                </c:pt>
                <c:pt idx="19">
                  <c:v>1</c:v>
                </c:pt>
                <c:pt idx="20">
                  <c:v>0.93978281353574677</c:v>
                </c:pt>
                <c:pt idx="21">
                  <c:v>0.88355607520337265</c:v>
                </c:pt>
                <c:pt idx="22">
                  <c:v>0.83099740532013222</c:v>
                </c:pt>
                <c:pt idx="23">
                  <c:v>0.78181695887636071</c:v>
                </c:pt>
                <c:pt idx="24">
                  <c:v>0.73575350557571928</c:v>
                </c:pt>
                <c:pt idx="25">
                  <c:v>0.69257105362889471</c:v>
                </c:pt>
                <c:pt idx="26">
                  <c:v>0.65205593205162682</c:v>
                </c:pt>
                <c:pt idx="27">
                  <c:v>0.61401426106985013</c:v>
                </c:pt>
                <c:pt idx="28">
                  <c:v>0.57826975225260291</c:v>
                </c:pt>
                <c:pt idx="29">
                  <c:v>0.54466178976338864</c:v>
                </c:pt>
                <c:pt idx="30">
                  <c:v>0.5130437520988107</c:v>
                </c:pt>
                <c:pt idx="31">
                  <c:v>0.48328154022607483</c:v>
                </c:pt>
                <c:pt idx="32">
                  <c:v>0.45525228341859436</c:v>
                </c:pt>
                <c:pt idx="33">
                  <c:v>0.42884319854262681</c:v>
                </c:pt>
                <c:pt idx="34">
                  <c:v>0.40395058224350561</c:v>
                </c:pt>
                <c:pt idx="35">
                  <c:v>0.38047891855744614</c:v>
                </c:pt>
                <c:pt idx="36">
                  <c:v>0.35834008704651404</c:v>
                </c:pt>
                <c:pt idx="37">
                  <c:v>0.33745265871016988</c:v>
                </c:pt>
                <c:pt idx="38">
                  <c:v>0.31774126873991804</c:v>
                </c:pt>
                <c:pt idx="39">
                  <c:v>0.29913605671293975</c:v>
                </c:pt>
                <c:pt idx="40">
                  <c:v>0.28157216611433805</c:v>
                </c:pt>
                <c:pt idx="41">
                  <c:v>0.26498929617508948</c:v>
                </c:pt>
                <c:pt idx="42">
                  <c:v>0.24933129994616504</c:v>
                </c:pt>
                <c:pt idx="43">
                  <c:v>0.23454582332507079</c:v>
                </c:pt>
                <c:pt idx="44">
                  <c:v>0.220583980431211</c:v>
                </c:pt>
                <c:pt idx="45">
                  <c:v>0.20740006130906974</c:v>
                </c:pt>
                <c:pt idx="46">
                  <c:v>0.19495126843838695</c:v>
                </c:pt>
                <c:pt idx="47">
                  <c:v>0.18319747896079583</c:v>
                </c:pt>
                <c:pt idx="48">
                  <c:v>0.17210102990334877</c:v>
                </c:pt>
                <c:pt idx="49">
                  <c:v>0.16162652399981062</c:v>
                </c:pt>
                <c:pt idx="50">
                  <c:v>0.15174065398799569</c:v>
                </c:pt>
                <c:pt idx="51">
                  <c:v>0.14241204350198114</c:v>
                </c:pt>
                <c:pt idx="52">
                  <c:v>0.13361110288719277</c:v>
                </c:pt>
                <c:pt idx="53">
                  <c:v>0.12530989844846957</c:v>
                </c:pt>
                <c:pt idx="54">
                  <c:v>0.1174820338002833</c:v>
                </c:pt>
                <c:pt idx="55">
                  <c:v>0.11010254212746484</c:v>
                </c:pt>
                <c:pt idx="56">
                  <c:v>0.10314778828695097</c:v>
                </c:pt>
                <c:pt idx="57">
                  <c:v>9.6595379788564889E-2</c:v>
                </c:pt>
                <c:pt idx="58">
                  <c:v>9.0424085787750422E-2</c:v>
                </c:pt>
                <c:pt idx="59">
                  <c:v>8.4613763307255854E-2</c:v>
                </c:pt>
                <c:pt idx="60">
                  <c:v>7.9145289979498143E-2</c:v>
                </c:pt>
                <c:pt idx="61">
                  <c:v>7.4000502668044685E-2</c:v>
                </c:pt>
                <c:pt idx="62">
                  <c:v>6.9162141386409706E-2</c:v>
                </c:pt>
                <c:pt idx="63">
                  <c:v>6.4613797986132648E-2</c:v>
                </c:pt>
                <c:pt idx="64">
                  <c:v>6.0339869134688889E-2</c:v>
                </c:pt>
                <c:pt idx="65">
                  <c:v>5.6325513147837208E-2</c:v>
                </c:pt>
                <c:pt idx="66">
                  <c:v>5.2556610281156969E-2</c:v>
                </c:pt>
                <c:pt idx="67">
                  <c:v>4.9019726122186927E-2</c:v>
                </c:pt>
                <c:pt idx="68">
                  <c:v>4.5702077758223179E-2</c:v>
                </c:pt>
                <c:pt idx="69">
                  <c:v>4.2591502425756156E-2</c:v>
                </c:pt>
                <c:pt idx="70">
                  <c:v>3.9676428376024517E-2</c:v>
                </c:pt>
                <c:pt idx="71">
                  <c:v>3.6945847717470476E-2</c:v>
                </c:pt>
                <c:pt idx="72">
                  <c:v>3.4389291020186341E-2</c:v>
                </c:pt>
                <c:pt idx="73">
                  <c:v>3.1996803489897502E-2</c:v>
                </c:pt>
                <c:pt idx="74">
                  <c:v>2.9758922539777827E-2</c:v>
                </c:pt>
                <c:pt idx="75">
                  <c:v>2.7666656607531148E-2</c:v>
                </c:pt>
                <c:pt idx="76">
                  <c:v>2.5711465082799423E-2</c:v>
                </c:pt>
                <c:pt idx="77">
                  <c:v>2.3885239226153064E-2</c:v>
                </c:pt>
                <c:pt idx="78">
                  <c:v>2.2180283975746458E-2</c:v>
                </c:pt>
                <c:pt idx="79">
                  <c:v>2.058930055124443E-2</c:v>
                </c:pt>
                <c:pt idx="80">
                  <c:v>1.9105369776910783E-2</c:v>
                </c:pt>
                <c:pt idx="81">
                  <c:v>1.7721936056845498E-2</c:v>
                </c:pt>
                <c:pt idx="82">
                  <c:v>1.6432791945321185E-2</c:v>
                </c:pt>
                <c:pt idx="83">
                  <c:v>1.5232063264067973E-2</c:v>
                </c:pt>
                <c:pt idx="84">
                  <c:v>1.4114194726227262E-2</c:v>
                </c:pt>
                <c:pt idx="85">
                  <c:v>1.3073936033620859E-2</c:v>
                </c:pt>
                <c:pt idx="86">
                  <c:v>1.2106328420005117E-2</c:v>
                </c:pt>
                <c:pt idx="87">
                  <c:v>1.1206691618168835E-2</c:v>
                </c:pt>
                <c:pt idx="88">
                  <c:v>1.0370611233153238E-2</c:v>
                </c:pt>
                <c:pt idx="89">
                  <c:v>9.5939265075800674E-3</c:v>
                </c:pt>
                <c:pt idx="90">
                  <c:v>8.8727184681332179E-3</c:v>
                </c:pt>
                <c:pt idx="91">
                  <c:v>8.2032984447205966E-3</c:v>
                </c:pt>
                <c:pt idx="92">
                  <c:v>7.5821969557917672E-3</c:v>
                </c:pt>
                <c:pt idx="93">
                  <c:v>7.0061529547805852E-3</c:v>
                </c:pt>
                <c:pt idx="94">
                  <c:v>6.4721034337220686E-3</c:v>
                </c:pt>
                <c:pt idx="95">
                  <c:v>5.9771733808235061E-3</c:v>
                </c:pt>
                <c:pt idx="96">
                  <c:v>5.5186660891989071E-3</c:v>
                </c:pt>
                <c:pt idx="97">
                  <c:v>5.0940538141523387E-3</c:v>
                </c:pt>
                <c:pt idx="98">
                  <c:v>4.7009687763617126E-3</c:v>
                </c:pt>
                <c:pt idx="99">
                  <c:v>4.3371945081158454E-3</c:v>
                </c:pt>
                <c:pt idx="100">
                  <c:v>4.0006575394248688E-3</c:v>
                </c:pt>
                <c:pt idx="101">
                  <c:v>3.6894194203965979E-3</c:v>
                </c:pt>
                <c:pt idx="102">
                  <c:v>3.4016690757721351E-3</c:v>
                </c:pt>
                <c:pt idx="103">
                  <c:v>3.13571548697503E-3</c:v>
                </c:pt>
                <c:pt idx="104">
                  <c:v>2.8899806964665267E-3</c:v>
                </c:pt>
                <c:pt idx="105">
                  <c:v>2.6629931286358418E-3</c:v>
                </c:pt>
                <c:pt idx="106">
                  <c:v>2.4533812209053037E-3</c:v>
                </c:pt>
                <c:pt idx="107">
                  <c:v>2.2598673582065218E-3</c:v>
                </c:pt>
                <c:pt idx="108">
                  <c:v>2.0812621034962215E-3</c:v>
                </c:pt>
                <c:pt idx="109">
                  <c:v>1.9164587165380156E-3</c:v>
                </c:pt>
                <c:pt idx="110">
                  <c:v>1.7644279527823132E-3</c:v>
                </c:pt>
                <c:pt idx="111">
                  <c:v>1.6242131338367511E-3</c:v>
                </c:pt>
                <c:pt idx="112">
                  <c:v>1.494925480734449E-3</c:v>
                </c:pt>
                <c:pt idx="113">
                  <c:v>1.3757397009786928E-3</c:v>
                </c:pt>
                <c:pt idx="114">
                  <c:v>1.2658898201695333E-3</c:v>
                </c:pt>
                <c:pt idx="115">
                  <c:v>1.1646652488986255E-3</c:v>
                </c:pt>
                <c:pt idx="116">
                  <c:v>1.0714070755313146E-3</c:v>
                </c:pt>
                <c:pt idx="117">
                  <c:v>9.8550457547718772E-4</c:v>
                </c:pt>
                <c:pt idx="118">
                  <c:v>9.063919275776128E-4</c:v>
                </c:pt>
                <c:pt idx="119">
                  <c:v>8.3354512830904892E-4</c:v>
                </c:pt>
                <c:pt idx="120">
                  <c:v>7.664790946090229E-4</c:v>
                </c:pt>
                <c:pt idx="121">
                  <c:v>7.047449462744223E-4</c:v>
                </c:pt>
                <c:pt idx="122">
                  <c:v>6.4792745905527E-4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58-47C8-B6E0-512AA87BD209}"/>
            </c:ext>
          </c:extLst>
        </c:ser>
        <c:ser>
          <c:idx val="2"/>
          <c:order val="2"/>
          <c:tx>
            <c:strRef>
              <c:f>'New_cases_rates - LNorm'!$Y$7</c:f>
              <c:strCache>
                <c:ptCount val="1"/>
                <c:pt idx="0">
                  <c:v>Spain fitted h.t. (Norm. To val. at lockdown)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LNorm'!$Y$62:$Y$184</c:f>
              <c:numCache>
                <c:formatCode>General</c:formatCode>
                <c:ptCount val="123"/>
                <c:pt idx="0">
                  <c:v>2.6338246508710239</c:v>
                </c:pt>
                <c:pt idx="1">
                  <c:v>2.4862926102115526</c:v>
                </c:pt>
                <c:pt idx="2">
                  <c:v>2.3505723166416352</c:v>
                </c:pt>
                <c:pt idx="3">
                  <c:v>2.225184730699147</c:v>
                </c:pt>
                <c:pt idx="4">
                  <c:v>2.1088919277664946</c:v>
                </c:pt>
                <c:pt idx="5">
                  <c:v>2.0006502930306174</c:v>
                </c:pt>
                <c:pt idx="6">
                  <c:v>1.8995742583812998</c:v>
                </c:pt>
                <c:pt idx="7">
                  <c:v>1.8049079162287183</c:v>
                </c:pt>
                <c:pt idx="8">
                  <c:v>1.7160025887909895</c:v>
                </c:pt>
                <c:pt idx="9">
                  <c:v>1.632298949404003</c:v>
                </c:pt>
                <c:pt idx="10">
                  <c:v>1.5533126583613677</c:v>
                </c:pt>
                <c:pt idx="11">
                  <c:v>1.4786227376835892</c:v>
                </c:pt>
                <c:pt idx="12">
                  <c:v>1.4078620988623158</c:v>
                </c:pt>
                <c:pt idx="13">
                  <c:v>1.3407097764448417</c:v>
                </c:pt>
                <c:pt idx="14">
                  <c:v>1.2768845229286401</c:v>
                </c:pt>
                <c:pt idx="15">
                  <c:v>1.2161394969224604</c:v>
                </c:pt>
                <c:pt idx="16">
                  <c:v>1.1582578339574214</c:v>
                </c:pt>
                <c:pt idx="17">
                  <c:v>1.1030489326870976</c:v>
                </c:pt>
                <c:pt idx="18">
                  <c:v>1.0503453220641292</c:v>
                </c:pt>
                <c:pt idx="19">
                  <c:v>1</c:v>
                </c:pt>
                <c:pt idx="20">
                  <c:v>0.95188415289820116</c:v>
                </c:pt>
                <c:pt idx="21">
                  <c:v>0.90588517972368654</c:v>
                </c:pt>
                <c:pt idx="22">
                  <c:v>0.86190495504744802</c:v>
                </c:pt>
                <c:pt idx="23">
                  <c:v>0.81985827370693543</c:v>
                </c:pt>
                <c:pt idx="24">
                  <c:v>0.77967142617608876</c:v>
                </c:pt>
                <c:pt idx="25">
                  <c:v>0.74128085923983322</c:v>
                </c:pt>
                <c:pt idx="26">
                  <c:v>0.70463188192950721</c:v>
                </c:pt>
                <c:pt idx="27">
                  <c:v>0.6696773827335919</c:v>
                </c:pt>
                <c:pt idx="28">
                  <c:v>0.63637653166943076</c:v>
                </c:pt>
                <c:pt idx="29">
                  <c:v>0.60469345057923707</c:v>
                </c:pt>
                <c:pt idx="30">
                  <c:v>0.57459584739216685</c:v>
                </c:pt>
                <c:pt idx="31">
                  <c:v>0.54605362494471088</c:v>
                </c:pt>
                <c:pt idx="32">
                  <c:v>0.51903749139835631</c:v>
                </c:pt>
                <c:pt idx="33">
                  <c:v>0.49351761558425278</c:v>
                </c:pt>
                <c:pt idx="34">
                  <c:v>0.46946238419156705</c:v>
                </c:pt>
                <c:pt idx="35">
                  <c:v>0.44683732563953837</c:v>
                </c:pt>
                <c:pt idx="36">
                  <c:v>0.42560426505498933</c:v>
                </c:pt>
                <c:pt idx="37">
                  <c:v>0.40572076448338318</c:v>
                </c:pt>
                <c:pt idx="38">
                  <c:v>0.38713988264860982</c:v>
                </c:pt>
                <c:pt idx="39">
                  <c:v>0.36981026178584381</c:v>
                </c:pt>
                <c:pt idx="40">
                  <c:v>0.35367651964507862</c:v>
                </c:pt>
                <c:pt idx="41">
                  <c:v>0.33867989782164398</c:v>
                </c:pt>
                <c:pt idx="42">
                  <c:v>0.3247590976808104</c:v>
                </c:pt>
                <c:pt idx="43">
                  <c:v>0.31185122516128277</c:v>
                </c:pt>
                <c:pt idx="44">
                  <c:v>0.29989276623809324</c:v>
                </c:pt>
                <c:pt idx="45">
                  <c:v>0.28882052424391563</c:v>
                </c:pt>
                <c:pt idx="46">
                  <c:v>0.27857246563523674</c:v>
                </c:pt>
                <c:pt idx="47">
                  <c:v>0.26908843874518834</c:v>
                </c:pt>
                <c:pt idx="48">
                  <c:v>0.26031074757236389</c:v>
                </c:pt>
                <c:pt idx="49">
                  <c:v>0.25218457758686108</c:v>
                </c:pt>
                <c:pt idx="50">
                  <c:v>0.24465828178981758</c:v>
                </c:pt>
                <c:pt idx="51">
                  <c:v>0.23768354262986102</c:v>
                </c:pt>
                <c:pt idx="52">
                  <c:v>0.23121542926365327</c:v>
                </c:pt>
                <c:pt idx="53">
                  <c:v>0.22521237077611134</c:v>
                </c:pt>
                <c:pt idx="54">
                  <c:v>0.21963606516293616</c:v>
                </c:pt>
                <c:pt idx="55">
                  <c:v>0.21445134186959117</c:v>
                </c:pt>
                <c:pt idx="56">
                  <c:v>0.20962599307684671</c:v>
                </c:pt>
                <c:pt idx="57">
                  <c:v>0.20513058615754659</c:v>
                </c:pt>
                <c:pt idx="58">
                  <c:v>0.20093826708438917</c:v>
                </c:pt>
                <c:pt idx="59">
                  <c:v>0.19702456220443382</c:v>
                </c:pt>
                <c:pt idx="60">
                  <c:v>0.19336718378393733</c:v>
                </c:pt>
                <c:pt idx="61">
                  <c:v>0.18994584307949763</c:v>
                </c:pt>
                <c:pt idx="62">
                  <c:v>0.18674207338561769</c:v>
                </c:pt>
                <c:pt idx="63">
                  <c:v>0.18373906450372174</c:v>
                </c:pt>
                <c:pt idx="64">
                  <c:v>0.18092150932605933</c:v>
                </c:pt>
                <c:pt idx="65">
                  <c:v>0.17827546268253389</c:v>
                </c:pt>
                <c:pt idx="66">
                  <c:v>0.17578821221628999</c:v>
                </c:pt>
                <c:pt idx="67">
                  <c:v>0.17344816079786637</c:v>
                </c:pt>
                <c:pt idx="68">
                  <c:v>0.17124471982686948</c:v>
                </c:pt>
                <c:pt idx="69">
                  <c:v>0.16916821267969834</c:v>
                </c:pt>
                <c:pt idx="70">
                  <c:v>0.16720978752213667</c:v>
                </c:pt>
                <c:pt idx="71">
                  <c:v>0.16536133870164144</c:v>
                </c:pt>
                <c:pt idx="72">
                  <c:v>0.16361543595427874</c:v>
                </c:pt>
                <c:pt idx="73">
                  <c:v>0.1619652606970364</c:v>
                </c:pt>
                <c:pt idx="74">
                  <c:v>0.16040454872144738</c:v>
                </c:pt>
                <c:pt idx="75">
                  <c:v>0.15892753865447451</c:v>
                </c:pt>
                <c:pt idx="76">
                  <c:v>0.15752892560442663</c:v>
                </c:pt>
                <c:pt idx="77">
                  <c:v>0.15620381946106976</c:v>
                </c:pt>
                <c:pt idx="78">
                  <c:v>0.15494770736859295</c:v>
                </c:pt>
                <c:pt idx="79">
                  <c:v>0.15375641993696537</c:v>
                </c:pt>
                <c:pt idx="80">
                  <c:v>0.1526261008007874</c:v>
                </c:pt>
                <c:pt idx="81">
                  <c:v>0.1515531791749023</c:v>
                </c:pt>
                <c:pt idx="82">
                  <c:v>0.15053434509277872</c:v>
                </c:pt>
                <c:pt idx="83">
                  <c:v>0.14956652704683038</c:v>
                </c:pt>
                <c:pt idx="84">
                  <c:v>0.14864687178000055</c:v>
                </c:pt>
                <c:pt idx="85">
                  <c:v>0.14777272600484292</c:v>
                </c:pt>
                <c:pt idx="86">
                  <c:v>0.14694161985054532</c:v>
                </c:pt>
                <c:pt idx="87">
                  <c:v>0.14615125186000316</c:v>
                </c:pt>
                <c:pt idx="88">
                  <c:v>0.14539947537824804</c:v>
                </c:pt>
                <c:pt idx="89">
                  <c:v>0.14468428619079912</c:v>
                </c:pt>
                <c:pt idx="90">
                  <c:v>0.14400381128575587</c:v>
                </c:pt>
                <c:pt idx="91">
                  <c:v>0.14335629862702515</c:v>
                </c:pt>
                <c:pt idx="92">
                  <c:v>0.14274010783822588</c:v>
                </c:pt>
                <c:pt idx="93">
                  <c:v>0.14215370170744535</c:v>
                </c:pt>
                <c:pt idx="94">
                  <c:v>0.14159563843265688</c:v>
                </c:pt>
                <c:pt idx="95">
                  <c:v>0.14106456453602267</c:v>
                </c:pt>
                <c:pt idx="96">
                  <c:v>0.1405592083828601</c:v>
                </c:pt>
                <c:pt idx="97">
                  <c:v>0.14007837424774228</c:v>
                </c:pt>
                <c:pt idx="98">
                  <c:v>0.13962093687615104</c:v>
                </c:pt>
                <c:pt idx="99">
                  <c:v>0.13918583649539998</c:v>
                </c:pt>
                <c:pt idx="100">
                  <c:v>0.13877207423331728</c:v>
                </c:pt>
                <c:pt idx="101">
                  <c:v>0.1383787079072368</c:v>
                </c:pt>
                <c:pt idx="102">
                  <c:v>0.1380048481498139</c:v>
                </c:pt>
                <c:pt idx="103">
                  <c:v>0.13764965484131006</c:v>
                </c:pt>
                <c:pt idx="104">
                  <c:v>0.13731233382110694</c:v>
                </c:pt>
                <c:pt idx="105">
                  <c:v>0.13699213385387901</c:v>
                </c:pt>
                <c:pt idx="106">
                  <c:v>0.13668834382813724</c:v>
                </c:pt>
                <c:pt idx="107">
                  <c:v>0.1364002901671251</c:v>
                </c:pt>
                <c:pt idx="108">
                  <c:v>0.13612733443386305</c:v>
                </c:pt>
                <c:pt idx="109">
                  <c:v>0.13586887111392768</c:v>
                </c:pt>
                <c:pt idx="110">
                  <c:v>0.13562432556100251</c:v>
                </c:pt>
                <c:pt idx="111">
                  <c:v>0.13539315209173872</c:v>
                </c:pt>
                <c:pt idx="112">
                  <c:v>0.13517483221759491</c:v>
                </c:pt>
                <c:pt idx="113">
                  <c:v>0.13496887300251767</c:v>
                </c:pt>
                <c:pt idx="114">
                  <c:v>0.13477480553631641</c:v>
                </c:pt>
                <c:pt idx="115">
                  <c:v>0.13459218351446742</c:v>
                </c:pt>
                <c:pt idx="116">
                  <c:v>0.13442058191593856</c:v>
                </c:pt>
                <c:pt idx="117">
                  <c:v>0.13425959577135263</c:v>
                </c:pt>
                <c:pt idx="118">
                  <c:v>0.13410883901446788</c:v>
                </c:pt>
                <c:pt idx="119">
                  <c:v>0.13396794341058879</c:v>
                </c:pt>
                <c:pt idx="120">
                  <c:v>0.13383655755600601</c:v>
                </c:pt>
                <c:pt idx="121">
                  <c:v>0.13371434594315607</c:v>
                </c:pt>
                <c:pt idx="122">
                  <c:v>0.13360098808656365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58-47C8-B6E0-512AA87BD209}"/>
            </c:ext>
          </c:extLst>
        </c:ser>
        <c:ser>
          <c:idx val="3"/>
          <c:order val="3"/>
          <c:tx>
            <c:strRef>
              <c:f>'New_cases_rates - LNorm'!$AA$7</c:f>
              <c:strCache>
                <c:ptCount val="1"/>
                <c:pt idx="0">
                  <c:v>Spain acc. Fit (Norm. To val. at lockdown)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'New_cases_rates - LNorm'!$C$62:$C$184</c:f>
              <c:numCache>
                <c:formatCode>General</c:formatCode>
                <c:ptCount val="123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  <c:pt idx="69">
                  <c:v>124</c:v>
                </c:pt>
                <c:pt idx="70">
                  <c:v>125</c:v>
                </c:pt>
                <c:pt idx="71">
                  <c:v>126</c:v>
                </c:pt>
                <c:pt idx="72">
                  <c:v>127</c:v>
                </c:pt>
                <c:pt idx="73">
                  <c:v>128</c:v>
                </c:pt>
                <c:pt idx="74">
                  <c:v>129</c:v>
                </c:pt>
                <c:pt idx="75">
                  <c:v>130</c:v>
                </c:pt>
                <c:pt idx="76">
                  <c:v>131</c:v>
                </c:pt>
                <c:pt idx="77">
                  <c:v>132</c:v>
                </c:pt>
                <c:pt idx="78">
                  <c:v>133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137</c:v>
                </c:pt>
                <c:pt idx="83">
                  <c:v>138</c:v>
                </c:pt>
                <c:pt idx="84">
                  <c:v>139</c:v>
                </c:pt>
                <c:pt idx="85">
                  <c:v>140</c:v>
                </c:pt>
                <c:pt idx="86">
                  <c:v>141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152</c:v>
                </c:pt>
                <c:pt idx="98">
                  <c:v>153</c:v>
                </c:pt>
                <c:pt idx="99">
                  <c:v>154</c:v>
                </c:pt>
                <c:pt idx="100">
                  <c:v>155</c:v>
                </c:pt>
                <c:pt idx="101">
                  <c:v>156</c:v>
                </c:pt>
                <c:pt idx="102">
                  <c:v>157</c:v>
                </c:pt>
                <c:pt idx="103">
                  <c:v>158</c:v>
                </c:pt>
                <c:pt idx="104">
                  <c:v>159</c:v>
                </c:pt>
                <c:pt idx="105">
                  <c:v>160</c:v>
                </c:pt>
                <c:pt idx="106">
                  <c:v>161</c:v>
                </c:pt>
                <c:pt idx="107">
                  <c:v>162</c:v>
                </c:pt>
                <c:pt idx="108">
                  <c:v>163</c:v>
                </c:pt>
                <c:pt idx="109">
                  <c:v>164</c:v>
                </c:pt>
                <c:pt idx="110">
                  <c:v>165</c:v>
                </c:pt>
                <c:pt idx="111">
                  <c:v>166</c:v>
                </c:pt>
                <c:pt idx="112">
                  <c:v>167</c:v>
                </c:pt>
                <c:pt idx="113">
                  <c:v>168</c:v>
                </c:pt>
                <c:pt idx="114">
                  <c:v>169</c:v>
                </c:pt>
                <c:pt idx="115">
                  <c:v>170</c:v>
                </c:pt>
                <c:pt idx="116">
                  <c:v>171</c:v>
                </c:pt>
                <c:pt idx="117">
                  <c:v>172</c:v>
                </c:pt>
                <c:pt idx="118">
                  <c:v>173</c:v>
                </c:pt>
                <c:pt idx="119">
                  <c:v>174</c:v>
                </c:pt>
                <c:pt idx="120">
                  <c:v>175</c:v>
                </c:pt>
                <c:pt idx="121">
                  <c:v>176</c:v>
                </c:pt>
                <c:pt idx="122">
                  <c:v>177</c:v>
                </c:pt>
              </c:numCache>
            </c:numRef>
          </c:xVal>
          <c:yVal>
            <c:numRef>
              <c:f>'New_cases_rates - LNorm'!$AA$62:$AA$184</c:f>
              <c:numCache>
                <c:formatCode>General</c:formatCode>
                <c:ptCount val="123"/>
                <c:pt idx="0">
                  <c:v>6.1321888202219375E-3</c:v>
                </c:pt>
                <c:pt idx="1">
                  <c:v>1.1064709152092556E-2</c:v>
                </c:pt>
                <c:pt idx="2">
                  <c:v>1.8849214991388443E-2</c:v>
                </c:pt>
                <c:pt idx="3">
                  <c:v>3.0501632767216465E-2</c:v>
                </c:pt>
                <c:pt idx="4">
                  <c:v>4.7130480889600659E-2</c:v>
                </c:pt>
                <c:pt idx="5">
                  <c:v>6.9853962287466181E-2</c:v>
                </c:pt>
                <c:pt idx="6">
                  <c:v>9.9699348594221415E-2</c:v>
                </c:pt>
                <c:pt idx="7">
                  <c:v>0.13749561797468576</c:v>
                </c:pt>
                <c:pt idx="8">
                  <c:v>0.18377167995869406</c:v>
                </c:pt>
                <c:pt idx="9">
                  <c:v>0.23867193802984416</c:v>
                </c:pt>
                <c:pt idx="10">
                  <c:v>0.30189868247495993</c:v>
                </c:pt>
                <c:pt idx="11">
                  <c:v>0.3726874080638915</c:v>
                </c:pt>
                <c:pt idx="12">
                  <c:v>0.44981725437293935</c:v>
                </c:pt>
                <c:pt idx="13">
                  <c:v>0.53165498054918792</c:v>
                </c:pt>
                <c:pt idx="14">
                  <c:v>0.61622769331110028</c:v>
                </c:pt>
                <c:pt idx="15">
                  <c:v>0.70131725357019448</c:v>
                </c:pt>
                <c:pt idx="16">
                  <c:v>0.78456801826893241</c:v>
                </c:pt>
                <c:pt idx="17">
                  <c:v>0.86359929829495885</c:v>
                </c:pt>
                <c:pt idx="18">
                  <c:v>0.93611448463274616</c:v>
                </c:pt>
                <c:pt idx="19">
                  <c:v>1</c:v>
                </c:pt>
                <c:pt idx="20">
                  <c:v>1.0534088350221196</c:v>
                </c:pt>
                <c:pt idx="21">
                  <c:v>1.0948252000050374</c:v>
                </c:pt>
                <c:pt idx="22">
                  <c:v>1.1231085728653003</c:v>
                </c:pt>
                <c:pt idx="23">
                  <c:v>1.1375170043424474</c:v>
                </c:pt>
                <c:pt idx="24">
                  <c:v>1.1377108565646881</c:v>
                </c:pt>
                <c:pt idx="25">
                  <c:v>1.1237391502425171</c:v>
                </c:pt>
                <c:pt idx="26">
                  <c:v>1.096011368349219</c:v>
                </c:pt>
                <c:pt idx="27">
                  <c:v>1.0552579291633866</c:v>
                </c:pt>
                <c:pt idx="28">
                  <c:v>1.0024826383370307</c:v>
                </c:pt>
                <c:pt idx="29">
                  <c:v>0.93891030902276018</c:v>
                </c:pt>
                <c:pt idx="30">
                  <c:v>0.86593245598292246</c:v>
                </c:pt>
                <c:pt idx="31">
                  <c:v>0.7850535774944688</c:v>
                </c:pt>
                <c:pt idx="32">
                  <c:v>0.69784008594519242</c:v>
                </c:pt>
                <c:pt idx="33">
                  <c:v>0.60587347491226895</c:v>
                </c:pt>
                <c:pt idx="34">
                  <c:v>0.51070884928794902</c:v>
                </c:pt>
                <c:pt idx="35">
                  <c:v>0.41383951915542927</c:v>
                </c:pt>
                <c:pt idx="36">
                  <c:v>0.31666798317842343</c:v>
                </c:pt>
                <c:pt idx="37">
                  <c:v>0.22048331193865461</c:v>
                </c:pt>
                <c:pt idx="38">
                  <c:v>0.12644468901270572</c:v>
                </c:pt>
                <c:pt idx="39">
                  <c:v>3.5570676380760988E-2</c:v>
                </c:pt>
                <c:pt idx="40">
                  <c:v>-5.1266363333605382E-2</c:v>
                </c:pt>
                <c:pt idx="41">
                  <c:v>-0.13334133863432462</c:v>
                </c:pt>
                <c:pt idx="42">
                  <c:v>-0.2100736858276997</c:v>
                </c:pt>
                <c:pt idx="43">
                  <c:v>-0.28102150611052695</c:v>
                </c:pt>
                <c:pt idx="44">
                  <c:v>-0.34587325546569897</c:v>
                </c:pt>
                <c:pt idx="45">
                  <c:v>-0.40443761609032614</c:v>
                </c:pt>
                <c:pt idx="46">
                  <c:v>-0.45663212026553762</c:v>
                </c:pt>
                <c:pt idx="47">
                  <c:v>-0.50247103112347802</c:v>
                </c:pt>
                <c:pt idx="48">
                  <c:v>-0.5420529142421151</c:v>
                </c:pt>
                <c:pt idx="49">
                  <c:v>-0.57554826304713214</c:v>
                </c:pt>
                <c:pt idx="50">
                  <c:v>-0.60318747240906789</c:v>
                </c:pt>
                <c:pt idx="51">
                  <c:v>-0.6252493906125608</c:v>
                </c:pt>
                <c:pt idx="52">
                  <c:v>-0.64205062139970726</c:v>
                </c:pt>
                <c:pt idx="53">
                  <c:v>-0.65393569585537736</c:v>
                </c:pt>
                <c:pt idx="54">
                  <c:v>-0.66126818886507277</c:v>
                </c:pt>
                <c:pt idx="55">
                  <c:v>-0.66442281674399772</c:v>
                </c:pt>
                <c:pt idx="56">
                  <c:v>-0.66377852115722757</c:v>
                </c:pt>
                <c:pt idx="57">
                  <c:v>-0.6597125191887514</c:v>
                </c:pt>
                <c:pt idx="58">
                  <c:v>-0.6525952798153517</c:v>
                </c:pt>
                <c:pt idx="59">
                  <c:v>-0.6427863724748607</c:v>
                </c:pt>
                <c:pt idx="60">
                  <c:v>-0.63063112323562165</c:v>
                </c:pt>
                <c:pt idx="61">
                  <c:v>-0.61645800762749126</c:v>
                </c:pt>
                <c:pt idx="62">
                  <c:v>-0.60057670586401679</c:v>
                </c:pt>
                <c:pt idx="63">
                  <c:v>-0.58327674539314522</c:v>
                </c:pt>
                <c:pt idx="64">
                  <c:v>-0.56482665693526579</c:v>
                </c:pt>
                <c:pt idx="65">
                  <c:v>-0.54547357293610177</c:v>
                </c:pt>
                <c:pt idx="66">
                  <c:v>-0.52544320127129662</c:v>
                </c:pt>
                <c:pt idx="67">
                  <c:v>-0.50494011174160869</c:v>
                </c:pt>
                <c:pt idx="68">
                  <c:v>-0.48414827810075162</c:v>
                </c:pt>
                <c:pt idx="69">
                  <c:v>-0.46323182382214073</c:v>
                </c:pt>
                <c:pt idx="70">
                  <c:v>-0.44233592534315397</c:v>
                </c:pt>
                <c:pt idx="71">
                  <c:v>-0.42158783197477268</c:v>
                </c:pt>
                <c:pt idx="72">
                  <c:v>-0.40109796691571709</c:v>
                </c:pt>
                <c:pt idx="73">
                  <c:v>-0.38096107877955526</c:v>
                </c:pt>
                <c:pt idx="74">
                  <c:v>-0.36125741767324904</c:v>
                </c:pt>
                <c:pt idx="75">
                  <c:v>-0.34205391412015507</c:v>
                </c:pt>
                <c:pt idx="76">
                  <c:v>-0.3234053429813028</c:v>
                </c:pt>
                <c:pt idx="77">
                  <c:v>-0.30535545799147118</c:v>
                </c:pt>
                <c:pt idx="78">
                  <c:v>-0.28793808559751666</c:v>
                </c:pt>
                <c:pt idx="79">
                  <c:v>-0.27117816948012302</c:v>
                </c:pt>
                <c:pt idx="80">
                  <c:v>-0.25509275947707205</c:v>
                </c:pt>
                <c:pt idx="81">
                  <c:v>-0.2396919406305241</c:v>
                </c:pt>
                <c:pt idx="82">
                  <c:v>-0.22497969977939511</c:v>
                </c:pt>
                <c:pt idx="83">
                  <c:v>-0.21095472853873187</c:v>
                </c:pt>
                <c:pt idx="84">
                  <c:v>-0.19761116267893913</c:v>
                </c:pt>
                <c:pt idx="85">
                  <c:v>-0.1849392588666208</c:v>
                </c:pt>
                <c:pt idx="86">
                  <c:v>-0.1729260104819717</c:v>
                </c:pt>
                <c:pt idx="87">
                  <c:v>-0.16155570481021667</c:v>
                </c:pt>
                <c:pt idx="88">
                  <c:v>-0.15081042433983877</c:v>
                </c:pt>
                <c:pt idx="89">
                  <c:v>-0.14067049520964292</c:v>
                </c:pt>
                <c:pt idx="90">
                  <c:v>-0.13111488604952987</c:v>
                </c:pt>
                <c:pt idx="91">
                  <c:v>-0.12212156057380506</c:v>
                </c:pt>
                <c:pt idx="92">
                  <c:v>-0.11366778732634859</c:v>
                </c:pt>
                <c:pt idx="93">
                  <c:v>-0.10573040995799561</c:v>
                </c:pt>
                <c:pt idx="94">
                  <c:v>-9.8286081349899496E-2</c:v>
                </c:pt>
                <c:pt idx="95">
                  <c:v>-9.131146479302521E-2</c:v>
                </c:pt>
                <c:pt idx="96">
                  <c:v>-8.478340530219558E-2</c:v>
                </c:pt>
                <c:pt idx="97">
                  <c:v>-7.8679073990938986E-2</c:v>
                </c:pt>
                <c:pt idx="98">
                  <c:v>-7.2976088267180314E-2</c:v>
                </c:pt>
                <c:pt idx="99">
                  <c:v>-6.7652610435023214E-2</c:v>
                </c:pt>
                <c:pt idx="100">
                  <c:v>-6.2687427108832058E-2</c:v>
                </c:pt>
                <c:pt idx="101">
                  <c:v>-5.8060011666228879E-2</c:v>
                </c:pt>
                <c:pt idx="102">
                  <c:v>-5.3750571789259925E-2</c:v>
                </c:pt>
                <c:pt idx="103">
                  <c:v>-4.9740083970211964E-2</c:v>
                </c:pt>
                <c:pt idx="104">
                  <c:v>-4.6010316692019715E-2</c:v>
                </c:pt>
                <c:pt idx="105">
                  <c:v>-4.2543843834212343E-2</c:v>
                </c:pt>
                <c:pt idx="106">
                  <c:v>-3.9324049704799746E-2</c:v>
                </c:pt>
                <c:pt idx="107">
                  <c:v>-3.6335126956957883E-2</c:v>
                </c:pt>
                <c:pt idx="108">
                  <c:v>-3.3562068517159802E-2</c:v>
                </c:pt>
                <c:pt idx="109">
                  <c:v>-3.0990654528647243E-2</c:v>
                </c:pt>
                <c:pt idx="110">
                  <c:v>-2.8607435200748429E-2</c:v>
                </c:pt>
                <c:pt idx="111">
                  <c:v>-2.6399710350361379E-2</c:v>
                </c:pt>
                <c:pt idx="112">
                  <c:v>-2.4355506326619421E-2</c:v>
                </c:pt>
                <c:pt idx="113">
                  <c:v>-2.24635509229788E-2</c:v>
                </c:pt>
                <c:pt idx="114">
                  <c:v>-2.0713246802286821E-2</c:v>
                </c:pt>
                <c:pt idx="115">
                  <c:v>-1.9094643889338382E-2</c:v>
                </c:pt>
                <c:pt idx="116">
                  <c:v>-1.7598411121525381E-2</c:v>
                </c:pt>
                <c:pt idx="117">
                  <c:v>-1.6215807890944529E-2</c:v>
                </c:pt>
                <c:pt idx="118">
                  <c:v>-1.4938655460242308E-2</c:v>
                </c:pt>
                <c:pt idx="119">
                  <c:v>-1.3759308589081505E-2</c:v>
                </c:pt>
                <c:pt idx="120">
                  <c:v>-1.2670627567918924E-2</c:v>
                </c:pt>
                <c:pt idx="121">
                  <c:v>-1.1665950820350365E-2</c:v>
                </c:pt>
                <c:pt idx="122">
                  <c:v>-1.0739068204173417E-2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858-47C8-B6E0-512AA87BD209}"/>
            </c:ext>
          </c:extLst>
        </c:ser>
        <c:ser>
          <c:idx val="4"/>
          <c:order val="4"/>
          <c:tx>
            <c:strRef>
              <c:f>'New_cases_rates - LNorm'!$B$6</c:f>
              <c:strCache>
                <c:ptCount val="1"/>
                <c:pt idx="0">
                  <c:v>30-Apr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('New_cases_rates - LNorm'!$C$6,'New_cases_rates - LNorm'!$C$6)</c:f>
              <c:numCache>
                <c:formatCode>General</c:formatCode>
                <c:ptCount val="2"/>
                <c:pt idx="0">
                  <c:v>121</c:v>
                </c:pt>
                <c:pt idx="1">
                  <c:v>121</c:v>
                </c:pt>
              </c:numCache>
            </c:numRef>
          </c:xVal>
          <c:yVal>
            <c:numRef>
              <c:f>('New_cases_rates - LNorm'!$D$6,'New_cases_rates - LNorm'!$I$6)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858-47C8-B6E0-512AA87BD209}"/>
            </c:ext>
          </c:extLst>
        </c:ser>
        <c:ser>
          <c:idx val="5"/>
          <c:order val="5"/>
          <c:tx>
            <c:strRef>
              <c:f>'New_cases_rates - LNorm'!$B$81</c:f>
              <c:strCache>
                <c:ptCount val="1"/>
                <c:pt idx="0">
                  <c:v>14-Mar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lg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solidFill>
                  <a:schemeClr val="bg1">
                    <a:alpha val="99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('New_cases_rates - LNorm'!$C$81,'New_cases_rates - LNorm'!$C$81)</c:f>
              <c:numCache>
                <c:formatCode>General</c:formatCode>
                <c:ptCount val="2"/>
                <c:pt idx="0">
                  <c:v>74</c:v>
                </c:pt>
                <c:pt idx="1">
                  <c:v>74</c:v>
                </c:pt>
              </c:numCache>
            </c:numRef>
          </c:xVal>
          <c:yVal>
            <c:numRef>
              <c:f>('New_cases_rates - LNorm'!$D$6,'New_cases_rates - LNorm'!$I$6)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858-47C8-B6E0-512AA87BD2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989120184"/>
        <c:axId val="989123064"/>
      </c:scatterChart>
      <c:valAx>
        <c:axId val="989120184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9123064"/>
        <c:crosses val="autoZero"/>
        <c:crossBetween val="midCat"/>
        <c:majorUnit val="5"/>
      </c:valAx>
      <c:valAx>
        <c:axId val="98912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Item ratio</a:t>
                </a:r>
                <a:r>
                  <a:rPr lang="it-IT" baseline="0"/>
                  <a:t> to fitted value at lockdown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9120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886458398832042"/>
          <c:y val="0.26712709371907073"/>
          <c:w val="0.26112701486953871"/>
          <c:h val="0.2449797388247886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chart" Target="../charts/chart19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81402</xdr:colOff>
      <xdr:row>13</xdr:row>
      <xdr:rowOff>98555</xdr:rowOff>
    </xdr:from>
    <xdr:to>
      <xdr:col>38</xdr:col>
      <xdr:colOff>56509</xdr:colOff>
      <xdr:row>46</xdr:row>
      <xdr:rowOff>2847</xdr:rowOff>
    </xdr:to>
    <xdr:grpSp>
      <xdr:nvGrpSpPr>
        <xdr:cNvPr id="20" name="Gruppo 19">
          <a:extLst>
            <a:ext uri="{FF2B5EF4-FFF2-40B4-BE49-F238E27FC236}">
              <a16:creationId xmlns:a16="http://schemas.microsoft.com/office/drawing/2014/main" id="{D91AE2C4-84F3-4CC7-B2EE-B12DCA61AB8C}"/>
            </a:ext>
          </a:extLst>
        </xdr:cNvPr>
        <xdr:cNvGrpSpPr/>
      </xdr:nvGrpSpPr>
      <xdr:grpSpPr>
        <a:xfrm>
          <a:off x="23757831" y="3756155"/>
          <a:ext cx="10338307" cy="6120035"/>
          <a:chOff x="11971566" y="-2622941"/>
          <a:chExt cx="8113804" cy="5567952"/>
        </a:xfrm>
      </xdr:grpSpPr>
      <xdr:graphicFrame macro="">
        <xdr:nvGraphicFramePr>
          <xdr:cNvPr id="27" name="Grafico 26">
            <a:extLst>
              <a:ext uri="{FF2B5EF4-FFF2-40B4-BE49-F238E27FC236}">
                <a16:creationId xmlns:a16="http://schemas.microsoft.com/office/drawing/2014/main" id="{38B53E38-C601-499A-9729-C04B6CFC3C31}"/>
              </a:ext>
            </a:extLst>
          </xdr:cNvPr>
          <xdr:cNvGraphicFramePr/>
        </xdr:nvGraphicFramePr>
        <xdr:xfrm>
          <a:off x="11971566" y="-2622941"/>
          <a:ext cx="8113804" cy="556795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23" name="Grafico 22">
            <a:extLst>
              <a:ext uri="{FF2B5EF4-FFF2-40B4-BE49-F238E27FC236}">
                <a16:creationId xmlns:a16="http://schemas.microsoft.com/office/drawing/2014/main" id="{0773C989-B32E-45DF-88F2-56558ADFBF4E}"/>
              </a:ext>
            </a:extLst>
          </xdr:cNvPr>
          <xdr:cNvGraphicFramePr>
            <a:graphicFrameLocks/>
          </xdr:cNvGraphicFramePr>
        </xdr:nvGraphicFramePr>
        <xdr:xfrm>
          <a:off x="13918357" y="-1451745"/>
          <a:ext cx="1567600" cy="86060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24" name="Grafico 23">
            <a:extLst>
              <a:ext uri="{FF2B5EF4-FFF2-40B4-BE49-F238E27FC236}">
                <a16:creationId xmlns:a16="http://schemas.microsoft.com/office/drawing/2014/main" id="{CE59E760-D0BE-4F09-91BF-D748A2E71E66}"/>
              </a:ext>
            </a:extLst>
          </xdr:cNvPr>
          <xdr:cNvGraphicFramePr>
            <a:graphicFrameLocks/>
          </xdr:cNvGraphicFramePr>
        </xdr:nvGraphicFramePr>
        <xdr:xfrm>
          <a:off x="13117002" y="42382"/>
          <a:ext cx="1640035" cy="104465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25" name="Grafico 24">
            <a:extLst>
              <a:ext uri="{FF2B5EF4-FFF2-40B4-BE49-F238E27FC236}">
                <a16:creationId xmlns:a16="http://schemas.microsoft.com/office/drawing/2014/main" id="{DE365169-5442-450D-828E-476836958949}"/>
              </a:ext>
            </a:extLst>
          </xdr:cNvPr>
          <xdr:cNvGraphicFramePr>
            <a:graphicFrameLocks/>
          </xdr:cNvGraphicFramePr>
        </xdr:nvGraphicFramePr>
        <xdr:xfrm>
          <a:off x="16616370" y="859776"/>
          <a:ext cx="1559001" cy="10309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26" name="Grafico 25">
            <a:extLst>
              <a:ext uri="{FF2B5EF4-FFF2-40B4-BE49-F238E27FC236}">
                <a16:creationId xmlns:a16="http://schemas.microsoft.com/office/drawing/2014/main" id="{6D44ABFB-C9D6-4020-B288-E2FF692DE5E9}"/>
              </a:ext>
            </a:extLst>
          </xdr:cNvPr>
          <xdr:cNvGraphicFramePr>
            <a:graphicFrameLocks/>
          </xdr:cNvGraphicFramePr>
        </xdr:nvGraphicFramePr>
        <xdr:xfrm>
          <a:off x="16801334" y="-1219695"/>
          <a:ext cx="1549082" cy="88211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  <xdr:oneCellAnchor>
    <xdr:from>
      <xdr:col>7</xdr:col>
      <xdr:colOff>1108363</xdr:colOff>
      <xdr:row>2</xdr:row>
      <xdr:rowOff>0</xdr:rowOff>
    </xdr:from>
    <xdr:ext cx="3519056" cy="955964"/>
    <xdr:sp macro="" textlink="">
      <xdr:nvSpPr>
        <xdr:cNvPr id="30" name="CasellaDiTesto 29">
          <a:extLst>
            <a:ext uri="{FF2B5EF4-FFF2-40B4-BE49-F238E27FC236}">
              <a16:creationId xmlns:a16="http://schemas.microsoft.com/office/drawing/2014/main" id="{85D63674-AC64-4D08-9E23-264FE1D33133}"/>
            </a:ext>
          </a:extLst>
        </xdr:cNvPr>
        <xdr:cNvSpPr txBox="1"/>
      </xdr:nvSpPr>
      <xdr:spPr>
        <a:xfrm>
          <a:off x="7952508" y="484909"/>
          <a:ext cx="3519056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304800</xdr:colOff>
      <xdr:row>3</xdr:row>
      <xdr:rowOff>69273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1+</m:t>
                        </m:r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𝑒𝑟𝑓</m:t>
                        </m:r>
                        <m:d>
                          <m:dPr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func>
                                  <m:func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it-IT" sz="11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ln</m:t>
                                    </m:r>
                                  </m:fName>
                                  <m:e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func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e>
                                </m:rad>
                              </m:den>
                            </m:f>
                          </m:e>
                        </m:d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𝐶𝑑𝑓=𝐾/2 [1+𝑒𝑟𝑓((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ln⁡𝑡−𝜇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𝜎√2))]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28</xdr:col>
      <xdr:colOff>777058</xdr:colOff>
      <xdr:row>45</xdr:row>
      <xdr:rowOff>131151</xdr:rowOff>
    </xdr:from>
    <xdr:to>
      <xdr:col>39</xdr:col>
      <xdr:colOff>0</xdr:colOff>
      <xdr:row>80</xdr:row>
      <xdr:rowOff>43542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40E0FF7-4B93-423B-9C06-3345B0735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31</xdr:col>
      <xdr:colOff>443346</xdr:colOff>
      <xdr:row>31</xdr:row>
      <xdr:rowOff>159328</xdr:rowOff>
    </xdr:from>
    <xdr:to>
      <xdr:col>32</xdr:col>
      <xdr:colOff>281049</xdr:colOff>
      <xdr:row>33</xdr:row>
      <xdr:rowOff>104899</xdr:rowOff>
    </xdr:to>
    <xdr:sp macro="" textlink="">
      <xdr:nvSpPr>
        <xdr:cNvPr id="13" name="CasellaDiTesto 20">
          <a:extLst>
            <a:ext uri="{FF2B5EF4-FFF2-40B4-BE49-F238E27FC236}">
              <a16:creationId xmlns:a16="http://schemas.microsoft.com/office/drawing/2014/main" id="{C1427DA8-6C0C-4B18-A7C3-E0E8B18B4071}"/>
            </a:ext>
          </a:extLst>
        </xdr:cNvPr>
        <xdr:cNvSpPr txBox="1"/>
      </xdr:nvSpPr>
      <xdr:spPr>
        <a:xfrm>
          <a:off x="30535419" y="6587837"/>
          <a:ext cx="696685" cy="3057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t>01-gen</a:t>
          </a:r>
          <a:endParaRPr lang="it-IT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0.58374</cdr:x>
      <cdr:y>0.96376</cdr:y>
    </cdr:from>
    <cdr:to>
      <cdr:x>0.70904</cdr:x>
      <cdr:y>1</cdr:y>
    </cdr:to>
    <cdr:sp macro="" textlink="">
      <cdr:nvSpPr>
        <cdr:cNvPr id="4" name="CasellaDiTesto 3">
          <a:extLst xmlns:a="http://schemas.openxmlformats.org/drawingml/2006/main">
            <a:ext uri="{FF2B5EF4-FFF2-40B4-BE49-F238E27FC236}">
              <a16:creationId xmlns:a16="http://schemas.microsoft.com/office/drawing/2014/main" id="{9E257084-BCAB-4780-BA04-59B70F3F6E24}"/>
            </a:ext>
          </a:extLst>
        </cdr:cNvPr>
        <cdr:cNvSpPr txBox="1"/>
      </cdr:nvSpPr>
      <cdr:spPr>
        <a:xfrm xmlns:a="http://schemas.openxmlformats.org/drawingml/2006/main">
          <a:off x="4051467" y="5280210"/>
          <a:ext cx="869576" cy="198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it-IT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0.44832</cdr:x>
      <cdr:y>0.94275</cdr:y>
    </cdr:from>
    <cdr:to>
      <cdr:x>0.52724</cdr:x>
      <cdr:y>0.98938</cdr:y>
    </cdr:to>
    <cdr:sp macro="" textlink="Start_data">
      <cdr:nvSpPr>
        <cdr:cNvPr id="2" name="CasellaDiTesto 20">
          <a:extLst xmlns:a="http://schemas.openxmlformats.org/drawingml/2006/main">
            <a:ext uri="{FF2B5EF4-FFF2-40B4-BE49-F238E27FC236}">
              <a16:creationId xmlns:a16="http://schemas.microsoft.com/office/drawing/2014/main" id="{67614E17-2C01-4AAA-9E0E-C8EAA83955DF}"/>
            </a:ext>
          </a:extLst>
        </cdr:cNvPr>
        <cdr:cNvSpPr txBox="1"/>
      </cdr:nvSpPr>
      <cdr:spPr>
        <a:xfrm xmlns:a="http://schemas.openxmlformats.org/drawingml/2006/main">
          <a:off x="3527044" y="6074892"/>
          <a:ext cx="620886" cy="30047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18CC1527-1ADB-40E3-B99A-8405E79E78CA}" type="TxLink"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pPr/>
            <a:t>01-gen</a:t>
          </a:fld>
          <a:endParaRPr lang="it-IT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1783976</xdr:colOff>
      <xdr:row>2</xdr:row>
      <xdr:rowOff>0</xdr:rowOff>
    </xdr:from>
    <xdr:ext cx="2761129" cy="955964"/>
    <xdr:sp macro="" textlink="">
      <xdr:nvSpPr>
        <xdr:cNvPr id="11" name="CasellaDiTesto 10">
          <a:extLst>
            <a:ext uri="{FF2B5EF4-FFF2-40B4-BE49-F238E27FC236}">
              <a16:creationId xmlns:a16="http://schemas.microsoft.com/office/drawing/2014/main" id="{1DA2B986-8FD6-4DD2-9DFE-D7A7AC122B4B}"/>
            </a:ext>
          </a:extLst>
        </xdr:cNvPr>
        <xdr:cNvSpPr txBox="1"/>
      </xdr:nvSpPr>
      <xdr:spPr>
        <a:xfrm>
          <a:off x="4948517" y="484094"/>
          <a:ext cx="2761129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27709</xdr:colOff>
      <xdr:row>2</xdr:row>
      <xdr:rowOff>224117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1+</m:t>
                        </m:r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𝑒𝑟𝑓</m:t>
                        </m:r>
                        <m:d>
                          <m:dPr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func>
                                  <m:func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it-IT" sz="11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ln</m:t>
                                    </m:r>
                                  </m:fName>
                                  <m:e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func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e>
                                </m:rad>
                              </m:den>
                            </m:f>
                          </m:e>
                        </m:d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𝐶𝑑𝑓=𝐾/2 [1+𝑒𝑟𝑓((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ln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⁡𝑡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−𝜇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𝜎√2))]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40</xdr:col>
      <xdr:colOff>126484</xdr:colOff>
      <xdr:row>88</xdr:row>
      <xdr:rowOff>178803</xdr:rowOff>
    </xdr:from>
    <xdr:to>
      <xdr:col>50</xdr:col>
      <xdr:colOff>346363</xdr:colOff>
      <xdr:row>113</xdr:row>
      <xdr:rowOff>55418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BA06B07B-4246-4AE7-9C73-F7F048604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6</xdr:col>
      <xdr:colOff>991590</xdr:colOff>
      <xdr:row>3</xdr:row>
      <xdr:rowOff>62345</xdr:rowOff>
    </xdr:from>
    <xdr:ext cx="3048000" cy="6629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6608619" y="769916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  <m:rad>
                          <m:radPr>
                            <m:degHide m:val="on"/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den>
                    </m:f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𝑒𝑥𝑝</m:t>
                    </m:r>
                    <m:d>
                      <m:d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unc>
                                      <m:funcPr>
                                        <m:ctrlPr>
                                          <a:rPr lang="it-IT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r>
                                          <m:rPr>
                                            <m:sty m:val="p"/>
                                          </m:rPr>
                                          <a:rPr lang="it-IT" sz="11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ln</m:t>
                                        </m:r>
                                      </m:fName>
                                      <m:e>
                                        <m:r>
                                          <a:rPr lang="it-IT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𝑡</m:t>
                                        </m:r>
                                      </m:e>
                                    </m:func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𝜇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6608619" y="769916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𝑃𝑑𝑓=𝐾/(𝜎√2𝜋 𝑡)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𝑒𝑥𝑝(−(ln⁡𝑡−𝜇)^2/(2𝜎^2 ))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32</xdr:col>
      <xdr:colOff>1114475</xdr:colOff>
      <xdr:row>88</xdr:row>
      <xdr:rowOff>82717</xdr:rowOff>
    </xdr:from>
    <xdr:to>
      <xdr:col>38</xdr:col>
      <xdr:colOff>665018</xdr:colOff>
      <xdr:row>112</xdr:row>
      <xdr:rowOff>152400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E521C16-D5BC-4F75-B1E5-95B2F1AC4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399745</xdr:colOff>
      <xdr:row>114</xdr:row>
      <xdr:rowOff>3258</xdr:rowOff>
    </xdr:from>
    <xdr:to>
      <xdr:col>39</xdr:col>
      <xdr:colOff>568037</xdr:colOff>
      <xdr:row>140</xdr:row>
      <xdr:rowOff>110835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7B7ACF9B-9BCB-4207-9A2C-F6E5F9EFA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17115</xdr:colOff>
      <xdr:row>115</xdr:row>
      <xdr:rowOff>26893</xdr:rowOff>
    </xdr:from>
    <xdr:to>
      <xdr:col>50</xdr:col>
      <xdr:colOff>443345</xdr:colOff>
      <xdr:row>141</xdr:row>
      <xdr:rowOff>124691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193BAA6C-E4CA-496C-86C1-5B2CE86E1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25263</xdr:colOff>
      <xdr:row>62</xdr:row>
      <xdr:rowOff>66499</xdr:rowOff>
    </xdr:from>
    <xdr:to>
      <xdr:col>37</xdr:col>
      <xdr:colOff>484908</xdr:colOff>
      <xdr:row>87</xdr:row>
      <xdr:rowOff>138545</xdr:rowOff>
    </xdr:to>
    <xdr:grpSp>
      <xdr:nvGrpSpPr>
        <xdr:cNvPr id="4" name="Gruppo 3">
          <a:extLst>
            <a:ext uri="{FF2B5EF4-FFF2-40B4-BE49-F238E27FC236}">
              <a16:creationId xmlns:a16="http://schemas.microsoft.com/office/drawing/2014/main" id="{AB583884-3606-4C41-A0BC-3D4A566F01F2}"/>
            </a:ext>
          </a:extLst>
        </xdr:cNvPr>
        <xdr:cNvGrpSpPr/>
      </xdr:nvGrpSpPr>
      <xdr:grpSpPr>
        <a:xfrm>
          <a:off x="39235606" y="12410899"/>
          <a:ext cx="6174645" cy="4698475"/>
          <a:chOff x="45703699" y="12203081"/>
          <a:chExt cx="6181573" cy="4574773"/>
        </a:xfrm>
      </xdr:grpSpPr>
      <xdr:graphicFrame macro="">
        <xdr:nvGraphicFramePr>
          <xdr:cNvPr id="17" name="Grafico 16">
            <a:extLst>
              <a:ext uri="{FF2B5EF4-FFF2-40B4-BE49-F238E27FC236}">
                <a16:creationId xmlns:a16="http://schemas.microsoft.com/office/drawing/2014/main" id="{45365524-1683-4C08-8DDF-8CCDA0315958}"/>
              </a:ext>
            </a:extLst>
          </xdr:cNvPr>
          <xdr:cNvGraphicFramePr>
            <a:graphicFrameLocks/>
          </xdr:cNvGraphicFramePr>
        </xdr:nvGraphicFramePr>
        <xdr:xfrm>
          <a:off x="45703699" y="12203081"/>
          <a:ext cx="6181573" cy="457477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$B$8">
        <xdr:nvSpPr>
          <xdr:cNvPr id="27" name="CasellaDiTesto 26">
            <a:extLst>
              <a:ext uri="{FF2B5EF4-FFF2-40B4-BE49-F238E27FC236}">
                <a16:creationId xmlns:a16="http://schemas.microsoft.com/office/drawing/2014/main" id="{C274B8A4-09CA-4700-ADB2-3D37453FEE77}"/>
              </a:ext>
            </a:extLst>
          </xdr:cNvPr>
          <xdr:cNvSpPr txBox="1"/>
        </xdr:nvSpPr>
        <xdr:spPr>
          <a:xfrm>
            <a:off x="48615599" y="16403780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35</xdr:col>
      <xdr:colOff>90870</xdr:colOff>
      <xdr:row>7</xdr:row>
      <xdr:rowOff>15890</xdr:rowOff>
    </xdr:from>
    <xdr:to>
      <xdr:col>44</xdr:col>
      <xdr:colOff>540327</xdr:colOff>
      <xdr:row>35</xdr:row>
      <xdr:rowOff>27708</xdr:rowOff>
    </xdr:to>
    <xdr:grpSp>
      <xdr:nvGrpSpPr>
        <xdr:cNvPr id="8" name="Gruppo 7">
          <a:extLst>
            <a:ext uri="{FF2B5EF4-FFF2-40B4-BE49-F238E27FC236}">
              <a16:creationId xmlns:a16="http://schemas.microsoft.com/office/drawing/2014/main" id="{B55350FE-EFD7-46C9-8F24-26EA7E6E9D3B}"/>
            </a:ext>
          </a:extLst>
        </xdr:cNvPr>
        <xdr:cNvGrpSpPr/>
      </xdr:nvGrpSpPr>
      <xdr:grpSpPr>
        <a:xfrm>
          <a:off x="43176527" y="2007976"/>
          <a:ext cx="6697857" cy="5291389"/>
          <a:chOff x="49648579" y="2024799"/>
          <a:chExt cx="6697857" cy="5179564"/>
        </a:xfrm>
      </xdr:grpSpPr>
      <xdr:graphicFrame macro="">
        <xdr:nvGraphicFramePr>
          <xdr:cNvPr id="2" name="Grafico 1">
            <a:extLst>
              <a:ext uri="{FF2B5EF4-FFF2-40B4-BE49-F238E27FC236}">
                <a16:creationId xmlns:a16="http://schemas.microsoft.com/office/drawing/2014/main" id="{5D623BEF-6D5C-4350-9007-0BD6128C0182}"/>
              </a:ext>
            </a:extLst>
          </xdr:cNvPr>
          <xdr:cNvGraphicFramePr/>
        </xdr:nvGraphicFramePr>
        <xdr:xfrm>
          <a:off x="49648579" y="2024799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$B$8">
        <xdr:nvSpPr>
          <xdr:cNvPr id="29" name="CasellaDiTesto 28">
            <a:extLst>
              <a:ext uri="{FF2B5EF4-FFF2-40B4-BE49-F238E27FC236}">
                <a16:creationId xmlns:a16="http://schemas.microsoft.com/office/drawing/2014/main" id="{6266CE2D-1836-4634-9CF8-929A6EA84B7D}"/>
              </a:ext>
            </a:extLst>
          </xdr:cNvPr>
          <xdr:cNvSpPr txBox="1"/>
        </xdr:nvSpPr>
        <xdr:spPr>
          <a:xfrm>
            <a:off x="53502037" y="6850646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48</xdr:col>
      <xdr:colOff>243515</xdr:colOff>
      <xdr:row>61</xdr:row>
      <xdr:rowOff>158107</xdr:rowOff>
    </xdr:from>
    <xdr:to>
      <xdr:col>58</xdr:col>
      <xdr:colOff>595745</xdr:colOff>
      <xdr:row>87</xdr:row>
      <xdr:rowOff>83128</xdr:rowOff>
    </xdr:to>
    <xdr:grpSp>
      <xdr:nvGrpSpPr>
        <xdr:cNvPr id="6" name="Gruppo 5">
          <a:extLst>
            <a:ext uri="{FF2B5EF4-FFF2-40B4-BE49-F238E27FC236}">
              <a16:creationId xmlns:a16="http://schemas.microsoft.com/office/drawing/2014/main" id="{4DE758A0-AE09-4C67-8F84-BE7B4BB223A1}"/>
            </a:ext>
          </a:extLst>
        </xdr:cNvPr>
        <xdr:cNvGrpSpPr/>
      </xdr:nvGrpSpPr>
      <xdr:grpSpPr>
        <a:xfrm>
          <a:off x="52059515" y="12317450"/>
          <a:ext cx="6448230" cy="4736507"/>
          <a:chOff x="58529588" y="12114580"/>
          <a:chExt cx="6448230" cy="4607857"/>
        </a:xfrm>
      </xdr:grpSpPr>
      <xdr:graphicFrame macro="">
        <xdr:nvGraphicFramePr>
          <xdr:cNvPr id="19" name="Grafico 18">
            <a:extLst>
              <a:ext uri="{FF2B5EF4-FFF2-40B4-BE49-F238E27FC236}">
                <a16:creationId xmlns:a16="http://schemas.microsoft.com/office/drawing/2014/main" id="{CE4EBA3C-E971-4082-9011-FBBDE17545E7}"/>
              </a:ext>
            </a:extLst>
          </xdr:cNvPr>
          <xdr:cNvGraphicFramePr>
            <a:graphicFrameLocks/>
          </xdr:cNvGraphicFramePr>
        </xdr:nvGraphicFramePr>
        <xdr:xfrm>
          <a:off x="58529588" y="12114580"/>
          <a:ext cx="6448230" cy="46078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$B$8">
        <xdr:nvSpPr>
          <xdr:cNvPr id="30" name="CasellaDiTesto 29">
            <a:extLst>
              <a:ext uri="{FF2B5EF4-FFF2-40B4-BE49-F238E27FC236}">
                <a16:creationId xmlns:a16="http://schemas.microsoft.com/office/drawing/2014/main" id="{47D6BD98-B2F3-48C5-8C1A-F26D8E8F780D}"/>
              </a:ext>
            </a:extLst>
          </xdr:cNvPr>
          <xdr:cNvSpPr txBox="1"/>
        </xdr:nvSpPr>
        <xdr:spPr>
          <a:xfrm>
            <a:off x="61597309" y="1636221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38</xdr:col>
      <xdr:colOff>61774</xdr:colOff>
      <xdr:row>61</xdr:row>
      <xdr:rowOff>113117</xdr:rowOff>
    </xdr:from>
    <xdr:to>
      <xdr:col>48</xdr:col>
      <xdr:colOff>138545</xdr:colOff>
      <xdr:row>86</xdr:row>
      <xdr:rowOff>138546</xdr:rowOff>
    </xdr:to>
    <xdr:grpSp>
      <xdr:nvGrpSpPr>
        <xdr:cNvPr id="5" name="Gruppo 4">
          <a:extLst>
            <a:ext uri="{FF2B5EF4-FFF2-40B4-BE49-F238E27FC236}">
              <a16:creationId xmlns:a16="http://schemas.microsoft.com/office/drawing/2014/main" id="{334284C0-D124-47E1-BDF3-0BAE65318AFF}"/>
            </a:ext>
          </a:extLst>
        </xdr:cNvPr>
        <xdr:cNvGrpSpPr/>
      </xdr:nvGrpSpPr>
      <xdr:grpSpPr>
        <a:xfrm>
          <a:off x="45596717" y="12272460"/>
          <a:ext cx="6357828" cy="4651857"/>
          <a:chOff x="52071738" y="12069590"/>
          <a:chExt cx="6352880" cy="4528156"/>
        </a:xfrm>
      </xdr:grpSpPr>
      <xdr:graphicFrame macro="">
        <xdr:nvGraphicFramePr>
          <xdr:cNvPr id="18" name="Grafico 17">
            <a:extLst>
              <a:ext uri="{FF2B5EF4-FFF2-40B4-BE49-F238E27FC236}">
                <a16:creationId xmlns:a16="http://schemas.microsoft.com/office/drawing/2014/main" id="{E458C615-7F1F-467C-A072-D2730B1EDD2D}"/>
              </a:ext>
            </a:extLst>
          </xdr:cNvPr>
          <xdr:cNvGraphicFramePr>
            <a:graphicFrameLocks/>
          </xdr:cNvGraphicFramePr>
        </xdr:nvGraphicFramePr>
        <xdr:xfrm>
          <a:off x="52071738" y="12069590"/>
          <a:ext cx="6352880" cy="45281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$B$8">
        <xdr:nvSpPr>
          <xdr:cNvPr id="31" name="CasellaDiTesto 30">
            <a:extLst>
              <a:ext uri="{FF2B5EF4-FFF2-40B4-BE49-F238E27FC236}">
                <a16:creationId xmlns:a16="http://schemas.microsoft.com/office/drawing/2014/main" id="{451622B3-0829-4658-81D4-778A6069D79D}"/>
              </a:ext>
            </a:extLst>
          </xdr:cNvPr>
          <xdr:cNvSpPr txBox="1"/>
        </xdr:nvSpPr>
        <xdr:spPr>
          <a:xfrm>
            <a:off x="55044111" y="162375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47</xdr:col>
      <xdr:colOff>103211</xdr:colOff>
      <xdr:row>39</xdr:row>
      <xdr:rowOff>27709</xdr:rowOff>
    </xdr:from>
    <xdr:to>
      <xdr:col>57</xdr:col>
      <xdr:colOff>83127</xdr:colOff>
      <xdr:row>59</xdr:row>
      <xdr:rowOff>147453</xdr:rowOff>
    </xdr:to>
    <xdr:grpSp>
      <xdr:nvGrpSpPr>
        <xdr:cNvPr id="9" name="Gruppo 8">
          <a:extLst>
            <a:ext uri="{FF2B5EF4-FFF2-40B4-BE49-F238E27FC236}">
              <a16:creationId xmlns:a16="http://schemas.microsoft.com/office/drawing/2014/main" id="{ABDE3383-7408-43D8-B438-484A6FC56597}"/>
            </a:ext>
          </a:extLst>
        </xdr:cNvPr>
        <xdr:cNvGrpSpPr/>
      </xdr:nvGrpSpPr>
      <xdr:grpSpPr>
        <a:xfrm>
          <a:off x="51309611" y="8061366"/>
          <a:ext cx="6075916" cy="3875316"/>
          <a:chOff x="57779684" y="7952509"/>
          <a:chExt cx="6075916" cy="3791199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9D94183B-0E2E-4986-B776-9367A08D4AD3}"/>
              </a:ext>
            </a:extLst>
          </xdr:cNvPr>
          <xdr:cNvGraphicFramePr>
            <a:graphicFrameLocks/>
          </xdr:cNvGraphicFramePr>
        </xdr:nvGraphicFramePr>
        <xdr:xfrm>
          <a:off x="57779684" y="7952509"/>
          <a:ext cx="6075916" cy="379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$B$8">
        <xdr:nvSpPr>
          <xdr:cNvPr id="32" name="CasellaDiTesto 31">
            <a:extLst>
              <a:ext uri="{FF2B5EF4-FFF2-40B4-BE49-F238E27FC236}">
                <a16:creationId xmlns:a16="http://schemas.microsoft.com/office/drawing/2014/main" id="{BCA51D8B-73C1-458B-87A2-204935E18BA5}"/>
              </a:ext>
            </a:extLst>
          </xdr:cNvPr>
          <xdr:cNvSpPr txBox="1"/>
        </xdr:nvSpPr>
        <xdr:spPr>
          <a:xfrm>
            <a:off x="60669055" y="113607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45</xdr:col>
      <xdr:colOff>0</xdr:colOff>
      <xdr:row>111</xdr:row>
      <xdr:rowOff>41564</xdr:rowOff>
    </xdr:from>
    <xdr:to>
      <xdr:col>45</xdr:col>
      <xdr:colOff>595746</xdr:colOff>
      <xdr:row>112</xdr:row>
      <xdr:rowOff>124692</xdr:rowOff>
    </xdr:to>
    <xdr:sp macro="" textlink="$B$8">
      <xdr:nvSpPr>
        <xdr:cNvPr id="33" name="CasellaDiTesto 32">
          <a:extLst>
            <a:ext uri="{FF2B5EF4-FFF2-40B4-BE49-F238E27FC236}">
              <a16:creationId xmlns:a16="http://schemas.microsoft.com/office/drawing/2014/main" id="{0AEA9B35-D2AB-467F-8D8B-0E095F351D30}"/>
            </a:ext>
          </a:extLst>
        </xdr:cNvPr>
        <xdr:cNvSpPr txBox="1"/>
      </xdr:nvSpPr>
      <xdr:spPr>
        <a:xfrm>
          <a:off x="56318727" y="21003491"/>
          <a:ext cx="595746" cy="2632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042946-A852-47D0-A468-DBF120FFA9F2}" type="TxLink">
            <a:rPr lang="en-US" sz="1100" b="0" i="0" u="none" strike="noStrike">
              <a:ln>
                <a:noFill/>
              </a:ln>
              <a:solidFill>
                <a:srgbClr val="9C5700"/>
              </a:solidFill>
              <a:latin typeface="Calibri"/>
              <a:cs typeface="Calibri"/>
            </a:rPr>
            <a:pPr/>
            <a:t>01-gen</a:t>
          </a:fld>
          <a:endParaRPr lang="it-IT" sz="1100">
            <a:ln>
              <a:noFill/>
            </a:ln>
          </a:endParaRPr>
        </a:p>
      </xdr:txBody>
    </xdr:sp>
    <xdr:clientData/>
  </xdr:twoCellAnchor>
  <xdr:twoCellAnchor>
    <xdr:from>
      <xdr:col>35</xdr:col>
      <xdr:colOff>146694</xdr:colOff>
      <xdr:row>36</xdr:row>
      <xdr:rowOff>96982</xdr:rowOff>
    </xdr:from>
    <xdr:to>
      <xdr:col>45</xdr:col>
      <xdr:colOff>83128</xdr:colOff>
      <xdr:row>60</xdr:row>
      <xdr:rowOff>166254</xdr:rowOff>
    </xdr:to>
    <xdr:grpSp>
      <xdr:nvGrpSpPr>
        <xdr:cNvPr id="7" name="Gruppo 6">
          <a:extLst>
            <a:ext uri="{FF2B5EF4-FFF2-40B4-BE49-F238E27FC236}">
              <a16:creationId xmlns:a16="http://schemas.microsoft.com/office/drawing/2014/main" id="{1377B26B-43A2-4D86-A7F5-6D05E3D9B1B5}"/>
            </a:ext>
          </a:extLst>
        </xdr:cNvPr>
        <xdr:cNvGrpSpPr/>
      </xdr:nvGrpSpPr>
      <xdr:grpSpPr>
        <a:xfrm>
          <a:off x="43232351" y="7553696"/>
          <a:ext cx="6794434" cy="4586844"/>
          <a:chOff x="49704403" y="7453746"/>
          <a:chExt cx="6794434" cy="4488872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E0CCC212-3C18-4678-8FDC-D975EEA29A88}"/>
              </a:ext>
            </a:extLst>
          </xdr:cNvPr>
          <xdr:cNvGraphicFramePr>
            <a:graphicFrameLocks/>
          </xdr:cNvGraphicFramePr>
        </xdr:nvGraphicFramePr>
        <xdr:xfrm>
          <a:off x="49704403" y="7453746"/>
          <a:ext cx="6794434" cy="44888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$B$8">
        <xdr:nvSpPr>
          <xdr:cNvPr id="34" name="CasellaDiTesto 33">
            <a:extLst>
              <a:ext uri="{FF2B5EF4-FFF2-40B4-BE49-F238E27FC236}">
                <a16:creationId xmlns:a16="http://schemas.microsoft.com/office/drawing/2014/main" id="{BB8A9304-746F-41F0-A147-1B3D922596B6}"/>
              </a:ext>
            </a:extLst>
          </xdr:cNvPr>
          <xdr:cNvSpPr txBox="1"/>
        </xdr:nvSpPr>
        <xdr:spPr>
          <a:xfrm>
            <a:off x="53007492" y="11499272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48</xdr:col>
      <xdr:colOff>41564</xdr:colOff>
      <xdr:row>7</xdr:row>
      <xdr:rowOff>27709</xdr:rowOff>
    </xdr:from>
    <xdr:to>
      <xdr:col>59</xdr:col>
      <xdr:colOff>33821</xdr:colOff>
      <xdr:row>35</xdr:row>
      <xdr:rowOff>33085</xdr:rowOff>
    </xdr:to>
    <xdr:grpSp>
      <xdr:nvGrpSpPr>
        <xdr:cNvPr id="28" name="Gruppo 27">
          <a:extLst>
            <a:ext uri="{FF2B5EF4-FFF2-40B4-BE49-F238E27FC236}">
              <a16:creationId xmlns:a16="http://schemas.microsoft.com/office/drawing/2014/main" id="{8CBE3920-484F-48EB-A00A-05B8CCF4C3F1}"/>
            </a:ext>
          </a:extLst>
        </xdr:cNvPr>
        <xdr:cNvGrpSpPr/>
      </xdr:nvGrpSpPr>
      <xdr:grpSpPr>
        <a:xfrm>
          <a:off x="51857564" y="2019795"/>
          <a:ext cx="6697857" cy="5284947"/>
          <a:chOff x="46642143" y="403817"/>
          <a:chExt cx="6697857" cy="5179564"/>
        </a:xfrm>
      </xdr:grpSpPr>
      <xdr:graphicFrame macro="">
        <xdr:nvGraphicFramePr>
          <xdr:cNvPr id="35" name="Grafico 34">
            <a:extLst>
              <a:ext uri="{FF2B5EF4-FFF2-40B4-BE49-F238E27FC236}">
                <a16:creationId xmlns:a16="http://schemas.microsoft.com/office/drawing/2014/main" id="{BE9B1099-C45E-4723-BC02-3411723344E0}"/>
              </a:ext>
            </a:extLst>
          </xdr:cNvPr>
          <xdr:cNvGraphicFramePr/>
        </xdr:nvGraphicFramePr>
        <xdr:xfrm>
          <a:off x="46642143" y="403817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$B$8">
        <xdr:nvSpPr>
          <xdr:cNvPr id="36" name="CasellaDiTesto 35">
            <a:extLst>
              <a:ext uri="{FF2B5EF4-FFF2-40B4-BE49-F238E27FC236}">
                <a16:creationId xmlns:a16="http://schemas.microsoft.com/office/drawing/2014/main" id="{BC792426-F3F2-4FE1-9D5D-2E6ABBEB713B}"/>
              </a:ext>
            </a:extLst>
          </xdr:cNvPr>
          <xdr:cNvSpPr txBox="1"/>
        </xdr:nvSpPr>
        <xdr:spPr>
          <a:xfrm>
            <a:off x="50500420" y="5223521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59</xdr:col>
      <xdr:colOff>124691</xdr:colOff>
      <xdr:row>16</xdr:row>
      <xdr:rowOff>152400</xdr:rowOff>
    </xdr:from>
    <xdr:to>
      <xdr:col>70</xdr:col>
      <xdr:colOff>213525</xdr:colOff>
      <xdr:row>41</xdr:row>
      <xdr:rowOff>13854</xdr:rowOff>
    </xdr:to>
    <xdr:grpSp>
      <xdr:nvGrpSpPr>
        <xdr:cNvPr id="37" name="Gruppo 36">
          <a:extLst>
            <a:ext uri="{FF2B5EF4-FFF2-40B4-BE49-F238E27FC236}">
              <a16:creationId xmlns:a16="http://schemas.microsoft.com/office/drawing/2014/main" id="{38D9F5B2-6824-48C8-9EAE-414F2DB71AED}"/>
            </a:ext>
          </a:extLst>
        </xdr:cNvPr>
        <xdr:cNvGrpSpPr/>
      </xdr:nvGrpSpPr>
      <xdr:grpSpPr>
        <a:xfrm>
          <a:off x="58646291" y="3831771"/>
          <a:ext cx="6794434" cy="4585854"/>
          <a:chOff x="48609894" y="6677891"/>
          <a:chExt cx="6794434" cy="4488872"/>
        </a:xfrm>
      </xdr:grpSpPr>
      <xdr:graphicFrame macro="">
        <xdr:nvGraphicFramePr>
          <xdr:cNvPr id="38" name="Grafico 37">
            <a:extLst>
              <a:ext uri="{FF2B5EF4-FFF2-40B4-BE49-F238E27FC236}">
                <a16:creationId xmlns:a16="http://schemas.microsoft.com/office/drawing/2014/main" id="{3C4BCE83-FB93-492A-9F40-ECCC162EB01E}"/>
              </a:ext>
            </a:extLst>
          </xdr:cNvPr>
          <xdr:cNvGraphicFramePr>
            <a:graphicFrameLocks/>
          </xdr:cNvGraphicFramePr>
        </xdr:nvGraphicFramePr>
        <xdr:xfrm>
          <a:off x="48609894" y="6677891"/>
          <a:ext cx="6794434" cy="44888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sp macro="" textlink="$B$8">
        <xdr:nvSpPr>
          <xdr:cNvPr id="39" name="CasellaDiTesto 38">
            <a:extLst>
              <a:ext uri="{FF2B5EF4-FFF2-40B4-BE49-F238E27FC236}">
                <a16:creationId xmlns:a16="http://schemas.microsoft.com/office/drawing/2014/main" id="{8D40946E-570E-4B6E-A464-D16F28E4E5B1}"/>
              </a:ext>
            </a:extLst>
          </xdr:cNvPr>
          <xdr:cNvSpPr txBox="1"/>
        </xdr:nvSpPr>
        <xdr:spPr>
          <a:xfrm>
            <a:off x="52536443" y="10723418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60</xdr:col>
      <xdr:colOff>0</xdr:colOff>
      <xdr:row>47</xdr:row>
      <xdr:rowOff>0</xdr:rowOff>
    </xdr:from>
    <xdr:to>
      <xdr:col>69</xdr:col>
      <xdr:colOff>589516</xdr:colOff>
      <xdr:row>67</xdr:row>
      <xdr:rowOff>147454</xdr:rowOff>
    </xdr:to>
    <xdr:grpSp>
      <xdr:nvGrpSpPr>
        <xdr:cNvPr id="41" name="Gruppo 40">
          <a:extLst>
            <a:ext uri="{FF2B5EF4-FFF2-40B4-BE49-F238E27FC236}">
              <a16:creationId xmlns:a16="http://schemas.microsoft.com/office/drawing/2014/main" id="{B3CD5EDA-155C-4286-AD15-65FB182125B6}"/>
            </a:ext>
          </a:extLst>
        </xdr:cNvPr>
        <xdr:cNvGrpSpPr/>
      </xdr:nvGrpSpPr>
      <xdr:grpSpPr>
        <a:xfrm>
          <a:off x="59131200" y="9535886"/>
          <a:ext cx="6075916" cy="3881254"/>
          <a:chOff x="57779684" y="7952509"/>
          <a:chExt cx="6075916" cy="3791199"/>
        </a:xfrm>
      </xdr:grpSpPr>
      <xdr:graphicFrame macro="">
        <xdr:nvGraphicFramePr>
          <xdr:cNvPr id="42" name="Grafico 41">
            <a:extLst>
              <a:ext uri="{FF2B5EF4-FFF2-40B4-BE49-F238E27FC236}">
                <a16:creationId xmlns:a16="http://schemas.microsoft.com/office/drawing/2014/main" id="{10B9C428-72D7-43D5-9A25-EA17BB27699E}"/>
              </a:ext>
            </a:extLst>
          </xdr:cNvPr>
          <xdr:cNvGraphicFramePr>
            <a:graphicFrameLocks/>
          </xdr:cNvGraphicFramePr>
        </xdr:nvGraphicFramePr>
        <xdr:xfrm>
          <a:off x="57779684" y="7952509"/>
          <a:ext cx="6075916" cy="379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sp macro="" textlink="$B$8">
        <xdr:nvSpPr>
          <xdr:cNvPr id="43" name="CasellaDiTesto 42">
            <a:extLst>
              <a:ext uri="{FF2B5EF4-FFF2-40B4-BE49-F238E27FC236}">
                <a16:creationId xmlns:a16="http://schemas.microsoft.com/office/drawing/2014/main" id="{DC22A4EC-0A7F-4629-824C-62748C49030C}"/>
              </a:ext>
            </a:extLst>
          </xdr:cNvPr>
          <xdr:cNvSpPr txBox="1"/>
        </xdr:nvSpPr>
        <xdr:spPr>
          <a:xfrm>
            <a:off x="61334081" y="113607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1121036</xdr:colOff>
      <xdr:row>2</xdr:row>
      <xdr:rowOff>0</xdr:rowOff>
    </xdr:from>
    <xdr:ext cx="3797327" cy="955964"/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91CE4325-58D0-4837-96AD-2C726665C1A4}"/>
            </a:ext>
          </a:extLst>
        </xdr:cNvPr>
        <xdr:cNvSpPr txBox="1"/>
      </xdr:nvSpPr>
      <xdr:spPr>
        <a:xfrm>
          <a:off x="4238309" y="484909"/>
          <a:ext cx="3797327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193963</xdr:colOff>
      <xdr:row>3</xdr:row>
      <xdr:rowOff>41563</xdr:rowOff>
    </xdr:from>
    <xdr:ext cx="3574473" cy="6099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𝑦</m:t>
                        </m:r>
                      </m:e>
                      <m:sup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𝜂</m:t>
                    </m:r>
                    <m:d>
                      <m:d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e>
                    </m:d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func>
                              <m:func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it-IT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ln</m:t>
                                </m:r>
                              </m:fName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e>
                            </m:func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𝜇</m:t>
                            </m:r>
                          </m:num>
                          <m:den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</m:e>
                    </m:d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𝑃𝑑𝑓</m:t>
                    </m:r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𝑦^′=𝜂(𝑡)𝑃𝑑𝑓=1/𝑡 [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(ln⁡𝑡−𝜇)/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]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𝑃𝑑𝑓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78</xdr:col>
      <xdr:colOff>21597</xdr:colOff>
      <xdr:row>7</xdr:row>
      <xdr:rowOff>29744</xdr:rowOff>
    </xdr:from>
    <xdr:to>
      <xdr:col>93</xdr:col>
      <xdr:colOff>419100</xdr:colOff>
      <xdr:row>57</xdr:row>
      <xdr:rowOff>30480</xdr:rowOff>
    </xdr:to>
    <xdr:grpSp>
      <xdr:nvGrpSpPr>
        <xdr:cNvPr id="11" name="Gruppo 10">
          <a:extLst>
            <a:ext uri="{FF2B5EF4-FFF2-40B4-BE49-F238E27FC236}">
              <a16:creationId xmlns:a16="http://schemas.microsoft.com/office/drawing/2014/main" id="{BC17B7EB-DB64-4FEB-8E6B-D7FE9075A18D}"/>
            </a:ext>
          </a:extLst>
        </xdr:cNvPr>
        <xdr:cNvGrpSpPr/>
      </xdr:nvGrpSpPr>
      <xdr:grpSpPr>
        <a:xfrm>
          <a:off x="75653561" y="2218762"/>
          <a:ext cx="9693903" cy="9200154"/>
          <a:chOff x="63960324" y="2038653"/>
          <a:chExt cx="9693903" cy="9200154"/>
        </a:xfrm>
      </xdr:grpSpPr>
      <xdr:graphicFrame macro="">
        <xdr:nvGraphicFramePr>
          <xdr:cNvPr id="4" name="Grafico 3">
            <a:extLst>
              <a:ext uri="{FF2B5EF4-FFF2-40B4-BE49-F238E27FC236}">
                <a16:creationId xmlns:a16="http://schemas.microsoft.com/office/drawing/2014/main" id="{FB88C70D-47F4-4CF0-84B4-220FDF4FACDC}"/>
              </a:ext>
            </a:extLst>
          </xdr:cNvPr>
          <xdr:cNvGraphicFramePr>
            <a:graphicFrameLocks/>
          </xdr:cNvGraphicFramePr>
        </xdr:nvGraphicFramePr>
        <xdr:xfrm>
          <a:off x="63960324" y="2038653"/>
          <a:ext cx="9693903" cy="920015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$B$8">
        <xdr:nvSpPr>
          <xdr:cNvPr id="5" name="CasellaDiTesto 4">
            <a:extLst>
              <a:ext uri="{FF2B5EF4-FFF2-40B4-BE49-F238E27FC236}">
                <a16:creationId xmlns:a16="http://schemas.microsoft.com/office/drawing/2014/main" id="{1A0EFA68-397F-40D6-9CF4-DEC61FC1CC85}"/>
              </a:ext>
            </a:extLst>
          </xdr:cNvPr>
          <xdr:cNvSpPr txBox="1"/>
        </xdr:nvSpPr>
        <xdr:spPr>
          <a:xfrm>
            <a:off x="69293102" y="10871599"/>
            <a:ext cx="858982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82</xdr:col>
      <xdr:colOff>365760</xdr:colOff>
      <xdr:row>111</xdr:row>
      <xdr:rowOff>0</xdr:rowOff>
    </xdr:from>
    <xdr:to>
      <xdr:col>101</xdr:col>
      <xdr:colOff>243840</xdr:colOff>
      <xdr:row>161</xdr:row>
      <xdr:rowOff>153136</xdr:rowOff>
    </xdr:to>
    <xdr:grpSp>
      <xdr:nvGrpSpPr>
        <xdr:cNvPr id="10" name="Gruppo 9">
          <a:extLst>
            <a:ext uri="{FF2B5EF4-FFF2-40B4-BE49-F238E27FC236}">
              <a16:creationId xmlns:a16="http://schemas.microsoft.com/office/drawing/2014/main" id="{6DECABC1-C931-41E9-A563-16C2E4503A7A}"/>
            </a:ext>
          </a:extLst>
        </xdr:cNvPr>
        <xdr:cNvGrpSpPr/>
      </xdr:nvGrpSpPr>
      <xdr:grpSpPr>
        <a:xfrm>
          <a:off x="79198124" y="21169745"/>
          <a:ext cx="10850880" cy="9158591"/>
          <a:chOff x="64042846" y="20934218"/>
          <a:chExt cx="10351002" cy="9158591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FA9C7014-D65F-4E09-9E65-304A78CC2FAC}"/>
              </a:ext>
            </a:extLst>
          </xdr:cNvPr>
          <xdr:cNvGraphicFramePr>
            <a:graphicFrameLocks/>
          </xdr:cNvGraphicFramePr>
        </xdr:nvGraphicFramePr>
        <xdr:xfrm>
          <a:off x="64042846" y="20934218"/>
          <a:ext cx="10351002" cy="915859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$B$8">
        <xdr:nvSpPr>
          <xdr:cNvPr id="8" name="CasellaDiTesto 7">
            <a:extLst>
              <a:ext uri="{FF2B5EF4-FFF2-40B4-BE49-F238E27FC236}">
                <a16:creationId xmlns:a16="http://schemas.microsoft.com/office/drawing/2014/main" id="{2FF9ECB3-9A3D-4591-BAD2-B65A99C1919B}"/>
              </a:ext>
            </a:extLst>
          </xdr:cNvPr>
          <xdr:cNvSpPr txBox="1"/>
        </xdr:nvSpPr>
        <xdr:spPr>
          <a:xfrm>
            <a:off x="65102511" y="29704145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79</xdr:col>
      <xdr:colOff>1158240</xdr:colOff>
      <xdr:row>58</xdr:row>
      <xdr:rowOff>84908</xdr:rowOff>
    </xdr:from>
    <xdr:to>
      <xdr:col>99</xdr:col>
      <xdr:colOff>304800</xdr:colOff>
      <xdr:row>109</xdr:row>
      <xdr:rowOff>52987</xdr:rowOff>
    </xdr:to>
    <xdr:grpSp>
      <xdr:nvGrpSpPr>
        <xdr:cNvPr id="7" name="Gruppo 6">
          <a:extLst>
            <a:ext uri="{FF2B5EF4-FFF2-40B4-BE49-F238E27FC236}">
              <a16:creationId xmlns:a16="http://schemas.microsoft.com/office/drawing/2014/main" id="{7E6A6F8F-ECA6-4666-8535-AC2B0BEEB172}"/>
            </a:ext>
          </a:extLst>
        </xdr:cNvPr>
        <xdr:cNvGrpSpPr/>
      </xdr:nvGrpSpPr>
      <xdr:grpSpPr>
        <a:xfrm>
          <a:off x="77399804" y="11653453"/>
          <a:ext cx="11490960" cy="9209061"/>
          <a:chOff x="65116365" y="11472881"/>
          <a:chExt cx="12066235" cy="9153643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2718E7EC-53A9-4247-9081-C1F91024AD23}"/>
              </a:ext>
            </a:extLst>
          </xdr:cNvPr>
          <xdr:cNvGraphicFramePr>
            <a:graphicFrameLocks/>
          </xdr:cNvGraphicFramePr>
        </xdr:nvGraphicFramePr>
        <xdr:xfrm>
          <a:off x="66831598" y="11472881"/>
          <a:ext cx="10351002" cy="91536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$B$8">
        <xdr:nvSpPr>
          <xdr:cNvPr id="9" name="CasellaDiTesto 8">
            <a:extLst>
              <a:ext uri="{FF2B5EF4-FFF2-40B4-BE49-F238E27FC236}">
                <a16:creationId xmlns:a16="http://schemas.microsoft.com/office/drawing/2014/main" id="{995BEFC0-0565-4B38-B050-923574DA70E2}"/>
              </a:ext>
            </a:extLst>
          </xdr:cNvPr>
          <xdr:cNvSpPr txBox="1"/>
        </xdr:nvSpPr>
        <xdr:spPr>
          <a:xfrm>
            <a:off x="65116365" y="20227637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1-Jan</a:t>
            </a:fld>
            <a:endParaRPr lang="it-IT" sz="1100"/>
          </a:p>
        </xdr:txBody>
      </xdr:sp>
    </xdr:grpSp>
    <xdr:clientData/>
  </xdr:twoCellAnchor>
  <xdr:twoCellAnchor>
    <xdr:from>
      <xdr:col>79</xdr:col>
      <xdr:colOff>243840</xdr:colOff>
      <xdr:row>166</xdr:row>
      <xdr:rowOff>173180</xdr:rowOff>
    </xdr:from>
    <xdr:to>
      <xdr:col>98</xdr:col>
      <xdr:colOff>243840</xdr:colOff>
      <xdr:row>209</xdr:row>
      <xdr:rowOff>91440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68ADF25C-5B0D-40FE-879A-CD0259AB3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101</xdr:col>
      <xdr:colOff>213360</xdr:colOff>
      <xdr:row>166</xdr:row>
      <xdr:rowOff>60960</xdr:rowOff>
    </xdr:from>
    <xdr:to>
      <xdr:col>118</xdr:col>
      <xdr:colOff>159328</xdr:colOff>
      <xdr:row>204</xdr:row>
      <xdr:rowOff>84515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C704E39C-C628-4D10-96ED-5D07EA3D0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103</xdr:col>
      <xdr:colOff>152400</xdr:colOff>
      <xdr:row>119</xdr:row>
      <xdr:rowOff>118653</xdr:rowOff>
    </xdr:from>
    <xdr:to>
      <xdr:col>116</xdr:col>
      <xdr:colOff>174172</xdr:colOff>
      <xdr:row>153</xdr:row>
      <xdr:rowOff>102325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A12B357-E9EA-42E4-B2BE-7B03D4F751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100</xdr:col>
      <xdr:colOff>17416</xdr:colOff>
      <xdr:row>58</xdr:row>
      <xdr:rowOff>163286</xdr:rowOff>
    </xdr:from>
    <xdr:to>
      <xdr:col>114</xdr:col>
      <xdr:colOff>21771</xdr:colOff>
      <xdr:row>93</xdr:row>
      <xdr:rowOff>163287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AD9EFEED-8EE9-43F3-9679-6DE58456C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93</xdr:col>
      <xdr:colOff>554181</xdr:colOff>
      <xdr:row>7</xdr:row>
      <xdr:rowOff>48490</xdr:rowOff>
    </xdr:from>
    <xdr:to>
      <xdr:col>110</xdr:col>
      <xdr:colOff>533400</xdr:colOff>
      <xdr:row>56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A5370FF9-BF85-4943-9234-9A0D5B766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ier Franco Nali" id="{46504131-ADD3-4530-BCC7-16E4FED1C2C4}" userId="1f297b06b5980845" providerId="Windows Live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8" xr16:uid="{1260362A-09C9-4F67-A74B-80393A28F093}" autoFormatId="16" applyNumberFormats="0" applyBorderFormats="0" applyFontFormats="0" applyPatternFormats="0" applyAlignmentFormats="0" applyWidthHeightFormats="0">
  <queryTableRefresh nextId="103">
    <queryTableFields count="1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AB031B6-2169-4043-8981-E15D0C4E31F9}" name="time_series_covid19_confirmed_global__2" displayName="time_series_covid19_confirmed_global__2" ref="A1:CX266" tableType="queryTable" totalsRowShown="0">
  <autoFilter ref="A1:CX266" xr:uid="{DBD762ED-FA8B-4DBB-AE26-5C683E431BCA}">
    <filterColumn colId="1">
      <filters>
        <filter val="Country/Region"/>
        <filter val="Spain"/>
      </filters>
    </filterColumn>
  </autoFilter>
  <tableColumns count="102">
    <tableColumn id="1" xr3:uid="{09AA5905-2DC6-4416-AE12-F87D7B367071}" uniqueName="1" name="Column1" queryTableFieldId="1" dataDxfId="136"/>
    <tableColumn id="2" xr3:uid="{AF865617-BF9B-4E4B-A8C8-EAB401236212}" uniqueName="2" name="Column2" queryTableFieldId="2" dataDxfId="135"/>
    <tableColumn id="3" xr3:uid="{3BADE748-DE68-4CC7-A889-4E0C5C438463}" uniqueName="3" name="Column3" queryTableFieldId="3" dataDxfId="134"/>
    <tableColumn id="4" xr3:uid="{21070B3A-5B3D-4606-8333-3C1CDE54CA77}" uniqueName="4" name="Column4" queryTableFieldId="4" dataDxfId="133"/>
    <tableColumn id="5" xr3:uid="{1AE7D9B6-8DAC-4431-AF15-BE5388EA7976}" uniqueName="5" name="Column5" queryTableFieldId="5" dataDxfId="132"/>
    <tableColumn id="6" xr3:uid="{738334AB-3F9D-4D61-BD78-0B118AF5184E}" uniqueName="6" name="Column6" queryTableFieldId="6" dataDxfId="131"/>
    <tableColumn id="7" xr3:uid="{85772195-2A43-4C3A-8F9D-4DB0ECE8915F}" uniqueName="7" name="Column7" queryTableFieldId="7" dataDxfId="130"/>
    <tableColumn id="8" xr3:uid="{3EC340F8-7223-4BC8-8C71-075C1F8B31E5}" uniqueName="8" name="Column8" queryTableFieldId="8" dataDxfId="129"/>
    <tableColumn id="9" xr3:uid="{6CD963CC-35CA-4E3D-B6A4-A62A823F0B0E}" uniqueName="9" name="Column9" queryTableFieldId="9" dataDxfId="128"/>
    <tableColumn id="10" xr3:uid="{60338859-DEB5-45D8-A268-5CB5816EECE5}" uniqueName="10" name="Column10" queryTableFieldId="10" dataDxfId="127"/>
    <tableColumn id="11" xr3:uid="{040D11B8-3C52-45C5-B890-CF3616ED7C09}" uniqueName="11" name="Column11" queryTableFieldId="11" dataDxfId="126"/>
    <tableColumn id="12" xr3:uid="{57C570C4-1352-4F40-8FF4-6BF1A73F7D69}" uniqueName="12" name="Column12" queryTableFieldId="12" dataDxfId="125"/>
    <tableColumn id="13" xr3:uid="{C1550FB6-4644-459C-B753-3DD34AB7FE04}" uniqueName="13" name="Column13" queryTableFieldId="13" dataDxfId="124"/>
    <tableColumn id="14" xr3:uid="{B05BAD85-B609-4FCF-9A6A-B2B9FC13A9D9}" uniqueName="14" name="Column14" queryTableFieldId="14" dataDxfId="123"/>
    <tableColumn id="15" xr3:uid="{BF87123D-9673-4608-A16A-05A310544D05}" uniqueName="15" name="Column15" queryTableFieldId="15" dataDxfId="122"/>
    <tableColumn id="16" xr3:uid="{E6983BE6-ECA2-4252-BFE9-A81AC0A6E497}" uniqueName="16" name="Column16" queryTableFieldId="16" dataDxfId="121"/>
    <tableColumn id="17" xr3:uid="{E5104FCE-88C4-4D23-8C45-085959233495}" uniqueName="17" name="Column17" queryTableFieldId="17" dataDxfId="120"/>
    <tableColumn id="18" xr3:uid="{4DA509F3-2314-4B03-8775-3603AD86A3BD}" uniqueName="18" name="Column18" queryTableFieldId="18" dataDxfId="119"/>
    <tableColumn id="19" xr3:uid="{C9EC7EC4-9B67-4566-A1DD-39AC43B56AFB}" uniqueName="19" name="Column19" queryTableFieldId="19" dataDxfId="118"/>
    <tableColumn id="20" xr3:uid="{BE6D5C7B-8A3C-4EA6-9F21-5466CA0BB48F}" uniqueName="20" name="Column20" queryTableFieldId="20" dataDxfId="117"/>
    <tableColumn id="21" xr3:uid="{9EA7638B-DB4B-418E-BD4E-775B02C71F0F}" uniqueName="21" name="Column21" queryTableFieldId="21" dataDxfId="116"/>
    <tableColumn id="22" xr3:uid="{01AE094F-D634-4E72-AAA2-B10370AF01A5}" uniqueName="22" name="Column22" queryTableFieldId="22" dataDxfId="115"/>
    <tableColumn id="23" xr3:uid="{DDD7FC03-9DAB-4DEC-B03D-76BEC57A927B}" uniqueName="23" name="Column23" queryTableFieldId="23" dataDxfId="114"/>
    <tableColumn id="24" xr3:uid="{0DC844D2-9CF3-44AC-B4AE-20F7B2366B2A}" uniqueName="24" name="Column24" queryTableFieldId="24" dataDxfId="113"/>
    <tableColumn id="25" xr3:uid="{4D6BB32F-A1CA-4BFA-999F-1F550F546500}" uniqueName="25" name="Column25" queryTableFieldId="25" dataDxfId="112"/>
    <tableColumn id="26" xr3:uid="{4FD3B299-8602-468D-ABCE-B760912F3CB8}" uniqueName="26" name="Column26" queryTableFieldId="26" dataDxfId="111"/>
    <tableColumn id="27" xr3:uid="{2D4705E0-D0C5-4B34-B29B-8C37498CBFCF}" uniqueName="27" name="Column27" queryTableFieldId="27" dataDxfId="110"/>
    <tableColumn id="28" xr3:uid="{0B0394EC-747A-42D3-A922-99BB64812933}" uniqueName="28" name="Column28" queryTableFieldId="28" dataDxfId="109"/>
    <tableColumn id="29" xr3:uid="{AE397C9D-EEB1-40A0-98CC-4CBF93F708BA}" uniqueName="29" name="Column29" queryTableFieldId="29" dataDxfId="108"/>
    <tableColumn id="30" xr3:uid="{57B64E58-BACD-474D-B291-089F440156A9}" uniqueName="30" name="Column30" queryTableFieldId="30" dataDxfId="107"/>
    <tableColumn id="31" xr3:uid="{159A787E-0AAA-47BC-A2C0-BC46AA5535F9}" uniqueName="31" name="Column31" queryTableFieldId="31" dataDxfId="106"/>
    <tableColumn id="32" xr3:uid="{AFEE2A8D-3AE2-4C83-ABF2-66EE9B512880}" uniqueName="32" name="Column32" queryTableFieldId="32" dataDxfId="105"/>
    <tableColumn id="33" xr3:uid="{39C2A492-CCAD-49FA-9BE6-3FF53B542826}" uniqueName="33" name="Column33" queryTableFieldId="33" dataDxfId="104"/>
    <tableColumn id="34" xr3:uid="{BE92B8B8-9571-4939-B402-EC3103446236}" uniqueName="34" name="Column34" queryTableFieldId="34" dataDxfId="103"/>
    <tableColumn id="35" xr3:uid="{1C61D069-206D-4389-8662-E6E9DA7455CF}" uniqueName="35" name="Column35" queryTableFieldId="35" dataDxfId="102"/>
    <tableColumn id="36" xr3:uid="{F1621057-040B-4E41-BF82-6244635CC0DC}" uniqueName="36" name="Column36" queryTableFieldId="36" dataDxfId="101"/>
    <tableColumn id="37" xr3:uid="{57D348AE-9308-4DF7-B293-DF80E13F78D9}" uniqueName="37" name="Column37" queryTableFieldId="37" dataDxfId="100"/>
    <tableColumn id="38" xr3:uid="{B9FA85B8-A24E-4FCE-B6B7-EC60B2F04E92}" uniqueName="38" name="Column38" queryTableFieldId="38" dataDxfId="99"/>
    <tableColumn id="39" xr3:uid="{C9274431-4225-49E5-A720-B7CB673F1FF1}" uniqueName="39" name="Column39" queryTableFieldId="39" dataDxfId="98"/>
    <tableColumn id="40" xr3:uid="{64E435D9-AB13-447E-8984-B521E3C76979}" uniqueName="40" name="Column40" queryTableFieldId="40" dataDxfId="97"/>
    <tableColumn id="41" xr3:uid="{2187FFB5-277E-4D2C-89FE-B9D0FF7DCA6B}" uniqueName="41" name="Column41" queryTableFieldId="41" dataDxfId="96"/>
    <tableColumn id="42" xr3:uid="{811F78A4-B65C-4AF6-9329-08115030D00F}" uniqueName="42" name="Column42" queryTableFieldId="42" dataDxfId="95"/>
    <tableColumn id="43" xr3:uid="{4224912A-1780-49F8-813E-7316B6A8C8E4}" uniqueName="43" name="Column43" queryTableFieldId="43" dataDxfId="94"/>
    <tableColumn id="44" xr3:uid="{72BE1A20-12E8-4FC4-B1FE-59C99C8EDF83}" uniqueName="44" name="Column44" queryTableFieldId="44" dataDxfId="93"/>
    <tableColumn id="45" xr3:uid="{5883C584-8FA7-4010-8DFF-8D6DE25F308B}" uniqueName="45" name="Column45" queryTableFieldId="45" dataDxfId="92"/>
    <tableColumn id="46" xr3:uid="{F1255F78-AA39-4A16-A908-811E575607FF}" uniqueName="46" name="Column46" queryTableFieldId="46" dataDxfId="91"/>
    <tableColumn id="47" xr3:uid="{6606910E-D5DB-4C5F-A7FA-D2EEA8412B8F}" uniqueName="47" name="Column47" queryTableFieldId="47" dataDxfId="90"/>
    <tableColumn id="48" xr3:uid="{CDCDE434-240D-49CA-B28C-48BA71C1DA7B}" uniqueName="48" name="Column48" queryTableFieldId="48" dataDxfId="89"/>
    <tableColumn id="49" xr3:uid="{5275D6E3-E268-4E7F-A3B4-F25D8E206F0D}" uniqueName="49" name="Column49" queryTableFieldId="49" dataDxfId="88"/>
    <tableColumn id="50" xr3:uid="{F9FCBA1F-DDC8-4163-958F-80ACE5C37554}" uniqueName="50" name="Column50" queryTableFieldId="50" dataDxfId="87"/>
    <tableColumn id="51" xr3:uid="{8665737F-72E1-40F3-87C4-9AF4BD4B4C90}" uniqueName="51" name="Column51" queryTableFieldId="51" dataDxfId="86"/>
    <tableColumn id="52" xr3:uid="{4180A12E-DDB4-4828-A304-C7F20C69E31B}" uniqueName="52" name="Column52" queryTableFieldId="52" dataDxfId="85"/>
    <tableColumn id="53" xr3:uid="{AA91FC1B-6196-46DC-95D9-26046B6F92DE}" uniqueName="53" name="Column53" queryTableFieldId="53" dataDxfId="84"/>
    <tableColumn id="54" xr3:uid="{7A240696-DA92-4AFF-B5C1-F89598B65F5F}" uniqueName="54" name="Column54" queryTableFieldId="54" dataDxfId="83"/>
    <tableColumn id="55" xr3:uid="{F45DB63E-DF2B-4826-BF08-CE91F32A18BE}" uniqueName="55" name="Column55" queryTableFieldId="55" dataDxfId="82"/>
    <tableColumn id="56" xr3:uid="{4D63ED95-FCD6-441A-B12C-C9FE7C090B29}" uniqueName="56" name="Column56" queryTableFieldId="56" dataDxfId="81"/>
    <tableColumn id="57" xr3:uid="{9AF5000B-8F86-4FD1-B785-01DF49109F8C}" uniqueName="57" name="Column57" queryTableFieldId="57" dataDxfId="80"/>
    <tableColumn id="58" xr3:uid="{D1259F8D-D860-4BC1-9396-470182838D1B}" uniqueName="58" name="Column58" queryTableFieldId="58" dataDxfId="79"/>
    <tableColumn id="59" xr3:uid="{B5F46DDB-F383-4A71-9A88-C20A54615C6E}" uniqueName="59" name="Column59" queryTableFieldId="59" dataDxfId="78"/>
    <tableColumn id="60" xr3:uid="{3EE17605-AED6-4185-B373-A86F24195FF4}" uniqueName="60" name="Column60" queryTableFieldId="60" dataDxfId="77"/>
    <tableColumn id="61" xr3:uid="{3E11D9C1-429B-4415-8EB8-28F4130886FA}" uniqueName="61" name="Column61" queryTableFieldId="61" dataDxfId="76"/>
    <tableColumn id="62" xr3:uid="{38CE859B-E758-487A-89C4-5A06C5E777B8}" uniqueName="62" name="Column62" queryTableFieldId="62" dataDxfId="75"/>
    <tableColumn id="63" xr3:uid="{48516718-24AD-4C6E-A5D2-297F2021CA2F}" uniqueName="63" name="Column63" queryTableFieldId="63" dataDxfId="74"/>
    <tableColumn id="64" xr3:uid="{94FC4C77-98AD-4ED0-B38C-61EBEBEDFE3E}" uniqueName="64" name="Column64" queryTableFieldId="64" dataDxfId="73"/>
    <tableColumn id="65" xr3:uid="{3660D156-ABD7-453F-A88E-08CA595CDBA5}" uniqueName="65" name="Column65" queryTableFieldId="65" dataDxfId="72"/>
    <tableColumn id="66" xr3:uid="{A7BA9F69-085B-4582-8E22-A9C699B679F8}" uniqueName="66" name="Column66" queryTableFieldId="66" dataDxfId="71"/>
    <tableColumn id="67" xr3:uid="{1C07CA0A-B6B2-4FF8-AA39-167D30059AF7}" uniqueName="67" name="Column67" queryTableFieldId="67" dataDxfId="70"/>
    <tableColumn id="68" xr3:uid="{54FB78D7-5A30-43D0-AFCD-A31594BC2355}" uniqueName="68" name="Column68" queryTableFieldId="68" dataDxfId="69"/>
    <tableColumn id="69" xr3:uid="{7BEA4186-0405-499B-96C5-EC7B000582DB}" uniqueName="69" name="Column69" queryTableFieldId="69" dataDxfId="68"/>
    <tableColumn id="70" xr3:uid="{D8B37598-92E5-4284-A094-3D570843621F}" uniqueName="70" name="Column70" queryTableFieldId="70" dataDxfId="67"/>
    <tableColumn id="71" xr3:uid="{2306FBDF-B75F-4A9F-995D-66431C5236B8}" uniqueName="71" name="Column71" queryTableFieldId="71" dataDxfId="66"/>
    <tableColumn id="72" xr3:uid="{2C7FF47C-21C4-41BC-8F2B-E117D952629F}" uniqueName="72" name="Column72" queryTableFieldId="72" dataDxfId="65"/>
    <tableColumn id="73" xr3:uid="{A0412ADA-47AE-4B29-8715-15AF7210C90F}" uniqueName="73" name="Column73" queryTableFieldId="73" dataDxfId="64"/>
    <tableColumn id="74" xr3:uid="{1A724431-01E8-4F95-8A7A-391AF6AC80FE}" uniqueName="74" name="Column74" queryTableFieldId="74" dataDxfId="63"/>
    <tableColumn id="75" xr3:uid="{EBD85402-2502-4E83-BC39-E278D3729706}" uniqueName="75" name="Column75" queryTableFieldId="75" dataDxfId="62"/>
    <tableColumn id="76" xr3:uid="{C7588742-05D6-4A1E-89BD-96FBC71BB796}" uniqueName="76" name="Column76" queryTableFieldId="76" dataDxfId="61"/>
    <tableColumn id="77" xr3:uid="{7069B545-16C6-47F9-B18C-C26192E0D090}" uniqueName="77" name="Column77" queryTableFieldId="77" dataDxfId="60"/>
    <tableColumn id="78" xr3:uid="{C8B446CB-574C-4FCC-B2D6-F23AC12B2FCD}" uniqueName="78" name="Column78" queryTableFieldId="78" dataDxfId="59"/>
    <tableColumn id="79" xr3:uid="{3BBE9615-E66E-4428-BA46-82AE6B99E8B6}" uniqueName="79" name="Column79" queryTableFieldId="79" dataDxfId="58"/>
    <tableColumn id="80" xr3:uid="{63D85541-3247-4811-98C3-9BA942257E37}" uniqueName="80" name="Column80" queryTableFieldId="80" dataDxfId="57"/>
    <tableColumn id="81" xr3:uid="{E5AC3DCA-2CA0-455D-8B41-BEB730FB1827}" uniqueName="81" name="Column81" queryTableFieldId="81" dataDxfId="56"/>
    <tableColumn id="82" xr3:uid="{B10BC68F-EED4-49CE-947A-1CB4A526F41F}" uniqueName="82" name="Column82" queryTableFieldId="82" dataDxfId="55"/>
    <tableColumn id="83" xr3:uid="{FE12C628-8F84-4DBB-A4D5-26B8EC41A43F}" uniqueName="83" name="Column83" queryTableFieldId="83" dataDxfId="54"/>
    <tableColumn id="84" xr3:uid="{899CFF16-A6F3-4381-8A8B-61B0B5A33E58}" uniqueName="84" name="Column84" queryTableFieldId="84" dataDxfId="53"/>
    <tableColumn id="85" xr3:uid="{85E56939-909C-495C-AA36-5121608BE268}" uniqueName="85" name="Column85" queryTableFieldId="85" dataDxfId="52"/>
    <tableColumn id="86" xr3:uid="{4B1B1E39-7CB4-4F07-87E7-723B6AC04FBD}" uniqueName="86" name="Column86" queryTableFieldId="86" dataDxfId="51"/>
    <tableColumn id="87" xr3:uid="{B791B33D-A97F-4A9A-9F5C-DFA11E9E5B52}" uniqueName="87" name="Column87" queryTableFieldId="87" dataDxfId="50"/>
    <tableColumn id="88" xr3:uid="{78765534-7E1B-4B1E-B0B9-A09584424427}" uniqueName="88" name="Column88" queryTableFieldId="88" dataDxfId="49"/>
    <tableColumn id="89" xr3:uid="{9ED0DF72-DE3A-4361-A6A4-42FC10470423}" uniqueName="89" name="Column89" queryTableFieldId="89" dataDxfId="48"/>
    <tableColumn id="90" xr3:uid="{7D980879-EA26-4B17-A2DC-61B8FDA28147}" uniqueName="90" name="Column90" queryTableFieldId="90" dataDxfId="47"/>
    <tableColumn id="91" xr3:uid="{A0D8A11A-A73A-4467-BF5E-8E3A41A5571A}" uniqueName="91" name="Column91" queryTableFieldId="91" dataDxfId="46"/>
    <tableColumn id="92" xr3:uid="{CD6782C3-C0D5-4399-991B-1E0E94E18B70}" uniqueName="92" name="Column92" queryTableFieldId="92" dataDxfId="45"/>
    <tableColumn id="93" xr3:uid="{7DC71990-7967-442F-AC78-A282024CEA9B}" uniqueName="93" name="Column93" queryTableFieldId="93" dataDxfId="44"/>
    <tableColumn id="94" xr3:uid="{A85FCECF-5B89-4F41-A427-C2AC06925C5E}" uniqueName="94" name="Column94" queryTableFieldId="94" dataDxfId="43"/>
    <tableColumn id="95" xr3:uid="{6543A45F-9432-4CCA-B1D8-787A4BE3B5B2}" uniqueName="95" name="Column95" queryTableFieldId="95" dataDxfId="42"/>
    <tableColumn id="96" xr3:uid="{59570C7C-3831-4388-82A5-2EE68179690D}" uniqueName="96" name="Column96" queryTableFieldId="96" dataDxfId="41"/>
    <tableColumn id="97" xr3:uid="{B428FC47-0464-43CC-A620-6A584348C991}" uniqueName="97" name="Column97" queryTableFieldId="97" dataDxfId="40"/>
    <tableColumn id="98" xr3:uid="{1AC47422-622E-47D6-B48B-0CCBE8BB0505}" uniqueName="98" name="Column98" queryTableFieldId="98" dataDxfId="39"/>
    <tableColumn id="99" xr3:uid="{D1A9E3E6-0950-4DFB-BC73-5F7EB2EABA6D}" uniqueName="99" name="Column99" queryTableFieldId="99" dataDxfId="38"/>
    <tableColumn id="100" xr3:uid="{F8C45F72-D631-4EFC-9D6F-34EA3E409778}" uniqueName="100" name="Column100" queryTableFieldId="100" dataDxfId="37"/>
    <tableColumn id="101" xr3:uid="{9E716546-4A56-4A5C-BB3D-9BF3FF4547DA}" uniqueName="101" name="Column101" queryTableFieldId="101" dataDxfId="36"/>
    <tableColumn id="102" xr3:uid="{8AFC10D6-0DF5-4A5B-8FB4-AB2F5A306565}" uniqueName="102" name="Column102" queryTableFieldId="102" dataDxfId="3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4AB5DF-A51B-4738-AB16-BE48A7BDA5F1}" name="Tabella8" displayName="Tabella8" ref="B7:X184" totalsRowShown="0" headerRowDxfId="266">
  <autoFilter ref="B7:X184" xr:uid="{3FC8D4CB-1CF6-4469-84DF-7F0ECB3BF752}"/>
  <tableColumns count="23">
    <tableColumn id="1" xr3:uid="{23135A61-F766-418E-98E1-4B28EB0245EB}" name="Date" dataDxfId="265"/>
    <tableColumn id="2" xr3:uid="{9D31CCAA-E745-495E-AC65-4EE7E5B7C948}" name="Day" dataDxfId="34"/>
    <tableColumn id="3" xr3:uid="{FA8347E6-D263-402C-B119-75408FAF2DAC}" name="Spain cum. Cases" dataDxfId="32"/>
    <tableColumn id="16" xr3:uid="{8C3FDD01-6166-4DD6-9069-BBFB3B31CBAB}" name="Colonna1" dataDxfId="33">
      <calculatedColumnFormula>Tabella8[[#This Row],[Spain cum. Cases]]*NOT(ISBLANK(Tabella8[[#This Row],[Spain cum. Cases]]))</calculatedColumnFormula>
    </tableColumn>
    <tableColumn id="15" xr3:uid="{EBAC123C-04E4-45BF-87F2-E1463644B09E}" name="Spain cum. fit" dataDxfId="264">
      <calculatedColumnFormula>IFERROR(Kt*_xlfn.LOGNORM.DIST((Tabella8[[#This Row],[Day]]-Days_back),mu_t,sigma_t,TRUE),0)</calculatedColumnFormula>
    </tableColumn>
    <tableColumn id="24" xr3:uid="{EAFABED2-6A06-4D2D-B725-ED92B18FE0F8}" name="Spain cum. fit (Norm:)" dataDxfId="263">
      <calculatedColumnFormula>Tabella8[[#This Row],[Spain cum. fit]]/Kt</calculatedColumnFormula>
    </tableColumn>
    <tableColumn id="18" xr3:uid="{BB0581BF-B4E8-454D-A58F-7896262EF839}" name="Colonna3" dataDxfId="262">
      <calculatedColumnFormula>Tabella8[[#This Row],[Spain cum. fit]]*NOT(ISBLANK(Tabella8[[#This Row],[Spain cum. Cases]]))</calculatedColumnFormula>
    </tableColumn>
    <tableColumn id="5" xr3:uid="{550811E3-8896-4BC4-AAEC-1710448F78AA}" name="Upper CI"/>
    <tableColumn id="6" xr3:uid="{F0106795-FAF2-43DF-AAD9-462CC01A471A}" name="Lower CI"/>
    <tableColumn id="7" xr3:uid="{8C9D201A-E2D1-4561-B557-E6BA56D2D6CB}" name="Lombardy" dataCellStyle="20% - Colore 2"/>
    <tableColumn id="19" xr3:uid="{F96B47FC-7C3A-47A5-B0B6-FBBA6A0E9F53}" name="Colonna4" dataDxfId="261">
      <calculatedColumnFormula>Tabella8[[#This Row],[Lombardy]]*NOT(ISBLANK(Tabella8[[#This Row],[Lombardy]]))</calculatedColumnFormula>
    </tableColumn>
    <tableColumn id="8" xr3:uid="{FFDFB21E-6B95-4CB3-BEAA-17A88953AF1A}" name="Lombardy fit" dataDxfId="260">
      <calculatedColumnFormula>IFERROR(Kr*_xlfn.LOGNORM.DIST((Tabella8[[#This Row],[Day]]-pr),mu_r,sigma_r,TRUE),0)</calculatedColumnFormula>
    </tableColumn>
    <tableColumn id="25" xr3:uid="{415E3992-2D3B-4B08-B52A-BA7EDE1B22D0}" name="Lombardy fit (Norm.)" dataDxfId="259">
      <calculatedColumnFormula>Tabella8[[#This Row],[Lombardy fit]]/Kr</calculatedColumnFormula>
    </tableColumn>
    <tableColumn id="20" xr3:uid="{E0C56B36-41D5-4E63-90C0-BEF19D5CF307}" name="Colonna5" dataDxfId="258">
      <calculatedColumnFormula>Tabella8[[#This Row],[Lombardy fit]]*NOT(ISBLANK(Tabella8[[#This Row],[Lombardy]]))</calculatedColumnFormula>
    </tableColumn>
    <tableColumn id="9" xr3:uid="{533A3700-CD36-454E-A89A-C109A0EC8C3A}" name="r. Upper CI"/>
    <tableColumn id="10" xr3:uid="{12B05D41-F2C4-4C50-A981-70A91E9E3202}" name="r. Lower CI"/>
    <tableColumn id="11" xr3:uid="{3FA757E2-8271-45DD-9111-95AF881C9386}" name="rest of Italy "/>
    <tableColumn id="21" xr3:uid="{0719E832-0DD9-4597-8E36-C5D928E8918B}" name="Colonna6" dataDxfId="257">
      <calculatedColumnFormula>Tabella8[[#This Row],[rest of Italy ]]*NOT(ISBLANK(Tabella8[[#This Row],[rest of Italy ]]))</calculatedColumnFormula>
    </tableColumn>
    <tableColumn id="12" xr3:uid="{1A679F42-1D8C-44C1-8ADC-80EE4031BF33}" name="rest of Italy fit" dataDxfId="256">
      <calculatedColumnFormula>IFERROR(Ko*_xlfn.LOGNORM.DIST((Tabella8[[#This Row],[Day]]-po),mu_o,sigma_o,TRUE),0)</calculatedColumnFormula>
    </tableColumn>
    <tableColumn id="26" xr3:uid="{38CEE2F0-2DCF-4937-B752-21D39BEAB993}" name="rest of Italy fit (Norm.)" dataDxfId="255">
      <calculatedColumnFormula>Tabella8[[#This Row],[rest of Italy fit]]/Ko</calculatedColumnFormula>
    </tableColumn>
    <tableColumn id="22" xr3:uid="{D4BF3042-F3E5-4A11-865A-5C285EB3D460}" name="Colonna7" dataDxfId="254">
      <calculatedColumnFormula>Tabella8[[#This Row],[rest of Italy fit]]*NOT(ISBLANK(Tabella8[[#This Row],[rest of Italy ]]))</calculatedColumnFormula>
    </tableColumn>
    <tableColumn id="13" xr3:uid="{54A7DA70-4460-43AF-B70E-E5EF3A27B840}" name="o.r. Upper CI"/>
    <tableColumn id="14" xr3:uid="{25E38CCB-32DC-4A49-8487-A107F991A720}" name="o.r. Lower CI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A45A35-CC62-4741-AD97-3C6F9EA2CB45}" name="Tabella9" displayName="Tabella9" ref="Z7:AA17" totalsRowShown="0" headerRowDxfId="253" dataDxfId="252">
  <autoFilter ref="Z7:AA17" xr:uid="{FE44A3F6-B4C2-400B-AA9A-283E33E9F7C7}"/>
  <tableColumns count="2">
    <tableColumn id="1" xr3:uid="{D2583FE2-794A-4D14-88A1-0EEE16DA7363}" name="Whole country sum" dataDxfId="251"/>
    <tableColumn id="2" xr3:uid="{7AD72336-12D4-4A52-8169-8B6FC2AAA773}" name="Italy sum" dataDxfId="25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F571018-7DE3-4940-8B14-587C648D5781}" name="Tabella10" displayName="Tabella10" ref="Z18:AA28" totalsRowShown="0">
  <autoFilter ref="Z18:AA28" xr:uid="{6BBACF2F-9411-42AE-88CD-B6A5D694B764}"/>
  <tableColumns count="2">
    <tableColumn id="1" xr3:uid="{FAA10416-F4E0-4435-B099-FD9F2014709E}" name="region" dataDxfId="249"/>
    <tableColumn id="2" xr3:uid="{4B3DF482-3E70-4077-90EF-F4C6D02D2F19}" name="Lombardy fit"/>
  </tableColumns>
  <tableStyleInfo name="TableStyleLight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4978F66-0F21-4962-BBAD-9DAEEF95C128}" name="Tabella11" displayName="Tabella11" ref="Z29:AA39" totalsRowShown="0" headerRowDxfId="248">
  <autoFilter ref="Z29:AA39" xr:uid="{4F62C887-D7E5-4422-A98B-007740B545EB}"/>
  <tableColumns count="2">
    <tableColumn id="1" xr3:uid="{BDF94A07-4A3B-4AEE-A628-F130488AED7A}" name="outside" dataDxfId="247"/>
    <tableColumn id="2" xr3:uid="{04EF7C50-030F-4875-86E2-1A44649EFD46}" name="rest of Italy"/>
  </tableColumns>
  <tableStyleInfo name="TableStyleLight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1AE4D46-C6A2-4E06-8024-F6AAD11361A6}" name="Tabella913" displayName="Tabella913" ref="Z40:AA50" totalsRowShown="0">
  <autoFilter ref="Z40:AA50" xr:uid="{3ED27504-5203-423C-8078-DD3D337178D4}"/>
  <tableColumns count="2">
    <tableColumn id="1" xr3:uid="{68D94B9C-FC79-4691-B5B2-5566913F6A46}" name="Whole country fit" dataDxfId="246"/>
    <tableColumn id="2" xr3:uid="{12ECD97A-4CBF-4516-9545-EA45C2E69AA0}" name="Italy fit"/>
  </tableColumns>
  <tableStyleInfo name="TableStyleLight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3C43434-F9AD-405C-8D9B-7469933A0BF3}" name="Tabella3" displayName="Tabella3" ref="B7:AE281" totalsRowShown="0" headerRowDxfId="245">
  <autoFilter ref="B7:AE281" xr:uid="{5E78D83D-6C25-40E0-A2DB-B68F6AAB46EA}"/>
  <tableColumns count="30">
    <tableColumn id="1" xr3:uid="{AC9FAB61-B731-40E3-83D5-22123EF8AE0D}" name="Date" dataDxfId="244"/>
    <tableColumn id="2" xr3:uid="{AB3B8E39-CEE3-43EE-B1A6-8D28135CAFC6}" name="Day" dataDxfId="243"/>
    <tableColumn id="3" xr3:uid="{DDACA13A-A286-4F18-9A4D-05064582A36A}" name="Spain cumul. Cases"/>
    <tableColumn id="4" xr3:uid="{4A764917-3626-4415-9B41-E9B90EFD7FA4}" name="Spain daily cases" dataDxfId="242"/>
    <tableColumn id="21" xr3:uid="{C976B52B-2786-4CB4-B206-E98A3E1A4632}" name="Colonna1" dataDxfId="241">
      <calculatedColumnFormula>Tabella3[[#This Row],[Spain daily cases]]*NOT(ISBLANK(Tabella3[[#This Row],[Spain daily cases]]))</calculatedColumnFormula>
    </tableColumn>
    <tableColumn id="27" xr3:uid="{314DDD96-3EEF-47F6-A093-677CC3B78412}" name="Spain daily cases fit" dataDxfId="31">
      <calculatedColumnFormula>IFERROR(Kf*_xlfn.LOGNORM.DIST((Tabella3[[#This Row],[Day]]-pf),mu_f,sigma_f,FALSE),0)</calculatedColumnFormula>
    </tableColumn>
    <tableColumn id="31" xr3:uid="{28B183A3-93B0-49AC-9B07-DFC3DA865465}" name="Spain daily cases fit (Norm.)" dataDxfId="240">
      <calculatedColumnFormula>Tabella3[[#This Row],[Spain daily cases fit]]/y_f_peak</calculatedColumnFormula>
    </tableColumn>
    <tableColumn id="28" xr3:uid="{B7998AB9-1622-4307-B253-C5A912B69B6C}" name="Colonna22" dataDxfId="239">
      <calculatedColumnFormula>Tabella3[[#This Row],[Spain daily cases fit]]*NOT(ISBLANK(Tabella3[[#This Row],[Spain daily cases]]))</calculatedColumnFormula>
    </tableColumn>
    <tableColumn id="7" xr3:uid="{FD2AFF0D-028F-4079-9B67-B1C4C865DA70}" name="Upper CI"/>
    <tableColumn id="8" xr3:uid="{2C00E3C4-CD56-4BD9-82E9-BA6F629F232D}" name="Lower CI"/>
    <tableColumn id="9" xr3:uid="{62CAAF81-8EFB-45AC-BBA6-8D7C7B486997}" name="Lombardy cumul. Data"/>
    <tableColumn id="10" xr3:uid="{09663C31-3E7C-4611-8AF3-0C06B00BA6F1}" name="Lombardy data" dataDxfId="238"/>
    <tableColumn id="23" xr3:uid="{10082EA6-D10C-44B2-9A09-0B1409F1C373}" name="Colonna3" dataDxfId="237">
      <calculatedColumnFormula>Tabella3[[#This Row],[Lombardy data]]*NOT(ISBLANK(Tabella3[[#This Row],[Lombardy data]]))</calculatedColumnFormula>
    </tableColumn>
    <tableColumn id="11" xr3:uid="{CDC351C1-18CE-4B4C-A65D-FD39DA8A5DED}" name="Lombardy cumul. Fit" dataDxfId="236">
      <calculatedColumnFormula>Tabella8[[#This Row],[Lombardy fit]]</calculatedColumnFormula>
    </tableColumn>
    <tableColumn id="32" xr3:uid="{8289A475-5A3F-4D73-BFD0-199C82D3EFEB}" name="Lombardy cum. Fit (Norm.)" dataDxfId="235">
      <calculatedColumnFormula>Tabella3[[#This Row],[Lombardy cumul. Fit]]/Kl</calculatedColumnFormula>
    </tableColumn>
    <tableColumn id="12" xr3:uid="{442CC8F3-BD05-4FDA-B285-A701402ADF1D}" name="Lombardy fit" dataDxfId="234">
      <calculatedColumnFormula>IFERROR(Kl*_xlfn.LOGNORM.DIST((Tabella3[[#This Row],[Day]]-pl),mu_l,sigma_l,FALSE),0)</calculatedColumnFormula>
    </tableColumn>
    <tableColumn id="33" xr3:uid="{45D3EE4E-80BD-46C5-8651-F774F41813D9}" name="Lombardy fit (Norm.)" dataDxfId="233">
      <calculatedColumnFormula>Tabella3[[#This Row],[Lombardy fit]]/y_l_peak</calculatedColumnFormula>
    </tableColumn>
    <tableColumn id="24" xr3:uid="{3735E881-B76D-4343-A940-CD03F154AD8A}" name="Colonna32" dataDxfId="232">
      <calculatedColumnFormula>Tabella3[[#This Row],[Lombardy fit]]*NOT(ISBLANK(Tabella3[[#This Row],[Lombardy data]]))</calculatedColumnFormula>
    </tableColumn>
    <tableColumn id="13" xr3:uid="{EE889393-6E60-4237-9EC5-DFB1642204B7}" name="Upper CI_"/>
    <tableColumn id="14" xr3:uid="{4BF9A623-B53D-4A7D-BCED-AF51065FBB44}" name="Lower CI_"/>
    <tableColumn id="15" xr3:uid="{88406667-2C06-4837-8C1D-7C7FB674BC25}" name="rest of Italy cum. Data"/>
    <tableColumn id="16" xr3:uid="{F9696E58-DE59-43F8-B795-C68B17BE8856}" name="rest of Italy data" dataDxfId="231"/>
    <tableColumn id="25" xr3:uid="{0DCF2D46-6281-4B7D-BB9E-222F69A41FF9}" name="Colonna33" dataDxfId="230">
      <calculatedColumnFormula>Tabella3[[#This Row],[rest of Italy data]]*NOT(ISBLANK(Tabella3[[#This Row],[rest of Italy data]]))</calculatedColumnFormula>
    </tableColumn>
    <tableColumn id="17" xr3:uid="{A81E690D-2D5C-4476-BFC1-14B6B7500BDD}" name="rest of Italy cumul. Fit" dataDxfId="229">
      <calculatedColumnFormula>Tabella8[[#This Row],[rest of Italy fit]]</calculatedColumnFormula>
    </tableColumn>
    <tableColumn id="34" xr3:uid="{8DC03341-55D1-4FDB-BAB7-6F60F1EC5087}" name="rest of Italy com. Fit (Norm.)" dataDxfId="228">
      <calculatedColumnFormula>Tabella3[[#This Row],[rest of Italy cumul. Fit]]/Ka</calculatedColumnFormula>
    </tableColumn>
    <tableColumn id="18" xr3:uid="{84CE2F6C-88D6-4F6C-BCE7-AB2A3AB959DB}" name="rest of Italy fit" dataDxfId="227">
      <calculatedColumnFormula>Ka*_xlfn.LOGNORM.DIST((Tabella3[[#This Row],[Day]]-pa),mu_a,sigma_a,FALSE)</calculatedColumnFormula>
    </tableColumn>
    <tableColumn id="35" xr3:uid="{FAE138C2-83E3-4613-9501-2311745CFF47}" name="rest of Italy fit (Norm.)" dataDxfId="226">
      <calculatedColumnFormula>Tabella3[[#This Row],[rest of Italy fit]]/y_a_peak</calculatedColumnFormula>
    </tableColumn>
    <tableColumn id="26" xr3:uid="{09DF6F78-AD5E-4D2B-8B55-4D9808403ED3}" name="Colonna322" dataDxfId="225">
      <calculatedColumnFormula>Tabella3[[#This Row],[rest of Italy fit]]*NOT(ISBLANK(Tabella3[[#This Row],[rest of Italy data]]))</calculatedColumnFormula>
    </tableColumn>
    <tableColumn id="19" xr3:uid="{825B4302-D347-4A3A-B1B4-0C960AAFF399}" name="Upper CI__"/>
    <tableColumn id="20" xr3:uid="{E509F0A5-EBDA-42F5-8E21-168F4C595F15}" name="Lower CI__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5DD6354-3B59-4943-8730-CD3B8C8CB1F7}" name="Tabella4" displayName="Tabella4" ref="AG7:AH18" totalsRowShown="0" headerRowDxfId="224" dataDxfId="223">
  <autoFilter ref="AG7:AH18" xr:uid="{00766B7A-46BC-4E07-B4A9-02AE45892E82}"/>
  <tableColumns count="2">
    <tableColumn id="1" xr3:uid="{E4319721-3F80-4342-9D0A-B78DF39299B8}" name="Whole country sum" dataDxfId="222"/>
    <tableColumn id="2" xr3:uid="{B084DEAD-F4A7-4385-950A-B66123852865}" name="Italy sum" dataDxfId="221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94717D-24D4-45C4-B26D-359AC6BA8815}" name="Tabella5" displayName="Tabella5" ref="AG19:AH31" totalsRowShown="0">
  <autoFilter ref="AG19:AH31" xr:uid="{2E08838D-8BAF-42A1-B981-D6B449E7082E}"/>
  <tableColumns count="2">
    <tableColumn id="1" xr3:uid="{3FD0D38D-8842-4E6D-9882-984AB3BFADE1}" name="region"/>
    <tableColumn id="2" xr3:uid="{A2610841-2CD8-4F5A-829D-2493C4B73EC9}" name="Lombardy fit"/>
  </tableColumns>
  <tableStyleInfo name="TableStyleLight3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6EEF903-D623-4533-84D2-A7C60F1EAB2C}" name="Tabella6" displayName="Tabella6" ref="AG32:AH44" totalsRowShown="0" headerRowDxfId="220">
  <autoFilter ref="AG32:AH44" xr:uid="{493E660F-E033-408D-A4BC-15A27F9E624C}"/>
  <tableColumns count="2">
    <tableColumn id="1" xr3:uid="{44D35643-5DC7-4195-979E-896CDDCB52C1}" name="outside"/>
    <tableColumn id="2" xr3:uid="{A86FC75B-BB86-40BE-8764-739189EEC27C}" name="rest of Italy fit"/>
  </tableColumns>
  <tableStyleInfo name="TableStyleLight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9B90D4D-928B-41E1-A7D6-BBC2157CE923}" name="Tabella68" displayName="Tabella68" ref="AG45:AH57" totalsRowShown="0" headerRowDxfId="219">
  <autoFilter ref="AG45:AH57" xr:uid="{0F6FCA51-9485-4058-8475-AC6ECE9EB084}"/>
  <tableColumns count="2">
    <tableColumn id="1" xr3:uid="{A58BAF37-2CFC-44D3-8FF7-25C14C606C17}" name="Whole contry fit"/>
    <tableColumn id="2" xr3:uid="{96C5F196-9214-480C-B9CC-A31645BD150D}" name="Italy fit"/>
  </tableColumns>
  <tableStyleInfo name="TableStyleLight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3FEB33-8B26-42E6-ADB7-AA1AC4DF580A}" name="Tabella34" displayName="Tabella34" ref="B7:BV184" totalsRowShown="0" headerRowDxfId="218">
  <autoFilter ref="B7:BV184" xr:uid="{64CD1C81-4B90-4800-800E-C13D0F753BA9}"/>
  <tableColumns count="73">
    <tableColumn id="1" xr3:uid="{ACC60D23-F072-4D9D-A75D-B1915A814BB4}" name="Date" dataDxfId="217"/>
    <tableColumn id="2" xr3:uid="{C687C2CC-E8A7-4C24-B877-FA7EDDF0A632}" name="Day" dataDxfId="216"/>
    <tableColumn id="3" xr3:uid="{32CB9D95-D0A9-4333-A8CB-BAC8B460990E}" name="Spain cumul. Cases"/>
    <tableColumn id="4" xr3:uid="{76F600A8-728F-40AA-A2E9-DDB22120782F}" name="Spain daily cases" dataDxfId="215"/>
    <tableColumn id="36" xr3:uid="{0884E98A-AEF8-472A-A5DA-4B24699AC0CF}" name="Spain cases acceleration" dataDxfId="214">
      <calculatedColumnFormula>Tabella34[[#This Row],[Spain daily cases]]-E7</calculatedColumnFormula>
    </tableColumn>
    <tableColumn id="21" xr3:uid="{0D1481C4-9D87-4704-B0DE-8ACA0E994AC7}" name="Colonna1" dataDxfId="213">
      <calculatedColumnFormula>Tabella34[[#This Row],[Spain daily cases]]*NOT(ISBLANK(Tabella34[[#This Row],[Spain daily cases]]))</calculatedColumnFormula>
    </tableColumn>
    <tableColumn id="5" xr3:uid="{8D0CB0D2-92F2-41DA-A159-66625C9C7097}" name="Spain cumul. Fit" dataDxfId="212">
      <calculatedColumnFormula>Tabella8[[#This Row],[Spain cum. fit]]</calculatedColumnFormula>
    </tableColumn>
    <tableColumn id="39" xr3:uid="{21F9B5CE-CC66-4D15-B76F-C86FB0BE1F82}" name="Spain fitted d.t." dataDxfId="211">
      <calculatedColumnFormula>_xlfn.LOGNORM.INV(alpha*Tabella34[[#This Row],[Spain cumul. Fit]]/Kt,mu_t,sigma_t)-(Tabella34[[#This Row],[Day]]-pt)</calculatedColumnFormula>
    </tableColumn>
    <tableColumn id="72" xr3:uid="{7E087130-7511-49DE-83D3-3176EC0124E7}" name="Spain fitted d.t. (Norm. To val. at lockdown)" dataDxfId="210">
      <calculatedColumnFormula>Tabella34[[#This Row],[Spain fitted d.t.]]/Spain_dt_at_lockdown</calculatedColumnFormula>
    </tableColumn>
    <tableColumn id="30" xr3:uid="{03F23D1E-85B6-40F6-8AA8-7DE1FFDE9589}" name="Spain cum. Cases fit (Norm.)" dataDxfId="209">
      <calculatedColumnFormula>Tabella34[[#This Row],[Spain cumul. Fit]]/Kf</calculatedColumnFormula>
    </tableColumn>
    <tableColumn id="6" xr3:uid="{740AA17C-023E-4C94-8E34-DB114AB971BF}" name="Colonna4" dataDxfId="18"/>
    <tableColumn id="29" xr3:uid="{282446F5-0EDB-484A-94C3-294A06E68C77}" name="Colonna5" dataDxfId="208"/>
    <tableColumn id="42" xr3:uid="{521E1297-D2DF-4AC6-8790-090D86C0E817}" name="Spain fitted velocity" dataDxfId="207">
      <calculatedColumnFormula>IFERROR(Kt*_xlfn.LOGNORM.DIST((Tabella34[[#This Row],[Day]]-pt),mu_t,sigma_t,FALSE),0)</calculatedColumnFormula>
    </tableColumn>
    <tableColumn id="53" xr3:uid="{FFC22A47-8D4D-40C2-8529-17883A408300}" name="verify" dataDxfId="206">
      <calculatedColumnFormula>Kt*EXP(-0.5*Tabella34[[#This Row],[x_t]]^2)/(sigma_t*SQRTPI(2)*(Tabella34[[#This Row],[Day]]-D_bk))</calculatedColumnFormula>
    </tableColumn>
    <tableColumn id="43" xr3:uid="{B81E0C6D-6369-49C6-A7A3-351684E6DEBC}" name="Spain fitted g.r." dataDxfId="205" dataCellStyle="Percentuale">
      <calculatedColumnFormula>Tabella34[[#This Row],[Spain fitted velocity]]/Tabella34[[#This Row],[Spain cumul. Fit]]</calculatedColumnFormula>
    </tableColumn>
    <tableColumn id="48" xr3:uid="{B28CB71B-B535-4352-B4B7-0692A0793652}" name="x_t" dataDxfId="30" dataCellStyle="Percentuale">
      <calculatedColumnFormula>(LN(Tabella34[[#This Row],[Day]]-pt)-mu_t)/sigma_t</calculatedColumnFormula>
    </tableColumn>
    <tableColumn id="56" xr3:uid="{864B7B5E-4044-4DCF-86B0-ACA478C568CC}" name="t_alpha_t+plus" dataDxfId="29" dataCellStyle="Percentuale">
      <calculatedColumnFormula>EXP(mu_t+sigma_t*Tabella34[[#This Row],[x_t_alpha©+plus]])-(Tabella34[[#This Row],[Day]]-pt)</calculatedColumnFormula>
    </tableColumn>
    <tableColumn id="55" xr3:uid="{87BE6765-60DB-49BC-9BD3-D752B025B1AB}" name="t_alpha_t-minus" dataDxfId="28" dataCellStyle="Percentuale">
      <calculatedColumnFormula>EXP(mu_t+sigma_t*Tabella34[[#This Row],[x_t_alpha©-minus]])-(Tabella34[[#This Row],[Day]]-pt)</calculatedColumnFormula>
    </tableColumn>
    <tableColumn id="57" xr3:uid="{225D971B-F72D-42DF-B7FB-6565CB2672A7}" name="x_t_alpha©+plus" dataDxfId="204" dataCellStyle="Percentuale">
      <calculatedColumnFormula>-sigma_t+SQRT(sigma_t^2-2*Tabella34[[#This Row],[c_t]])</calculatedColumnFormula>
    </tableColumn>
    <tableColumn id="54" xr3:uid="{53175594-C4E6-456E-B351-1AB48F823A7E}" name="x_t_alpha©-minus" dataDxfId="203" dataCellStyle="Percentuale">
      <calculatedColumnFormula>-sigma_t-SQRT(sigma_t^2-2*Tabella34[[#This Row],[c_t]])</calculatedColumnFormula>
    </tableColumn>
    <tableColumn id="49" xr3:uid="{EE228D2A-2CC1-4C57-82DB-85DBB998B89C}" name="c_t" dataDxfId="202" dataCellStyle="Percentuale">
      <calculatedColumnFormula>mu_t-LN(alpha*Kt/(Tabella34[[#This Row],[Spain fitted velocity]]*sigma_t*SQRTPI(2)))</calculatedColumnFormula>
    </tableColumn>
    <tableColumn id="73" xr3:uid="{5C057197-AE13-45BE-8938-A7EC86EABB4D}" name="Spain fitted g.r. (Norm. To val. at lockdown)" dataDxfId="201" dataCellStyle="Percentuale">
      <calculatedColumnFormula>Tabella34[[#This Row],[Spain fitted g.r.]]/Spain_gr_at_lockdown</calculatedColumnFormula>
    </tableColumn>
    <tableColumn id="52" xr3:uid="{9BBA6C11-95B1-4650-830D-F3B7BFD96860}" name="Spain fitted h.t." dataDxfId="200" dataCellStyle="Percentuale">
      <calculatedColumnFormula>Tabella34[[#This Row],[t_alpha_t+plus]]</calculatedColumnFormula>
    </tableColumn>
    <tableColumn id="74" xr3:uid="{7EC4ED15-BBED-465F-92F6-584BEA3C3158}" name="Spain fitted h.t. (Norm. To val. at lockdown)" dataDxfId="199" dataCellStyle="Percentuale">
      <calculatedColumnFormula>Tabella34[[#This Row],[Spain fitted h.t.]]/Spain_ht_at_lockdown</calculatedColumnFormula>
    </tableColumn>
    <tableColumn id="27" xr3:uid="{EC1FC797-F919-44E2-AA63-C942176919E9}" name="Spain acc. fit" dataDxfId="11">
      <calculatedColumnFormula>IFERROR(-Kf*_xlfn.LOGNORM.DIST((Tabella34[[#This Row],[Day]]-pf),mu_f,sigma_f,FALSE)*(1+(LN((Tabella34[[#This Row],[Day]]-pf))-mu_f)/sigma_f^2)/(Tabella34[[#This Row],[Day]]-pf),0)</calculatedColumnFormula>
    </tableColumn>
    <tableColumn id="71" xr3:uid="{16A5831C-A515-4976-B3C8-C5D426FD214B}" name="Spain acc. Fit (Norm. To val. at lockdown)" dataDxfId="198">
      <calculatedColumnFormula>Tabella34[[#This Row],[Spain acc. fit]]/Spain_acc_at_lockdown</calculatedColumnFormula>
    </tableColumn>
    <tableColumn id="31" xr3:uid="{A7B90458-3156-4C65-8D40-9C7ED79E6D1F}" name="Spain acc. fit (Norm.)" dataDxfId="197">
      <calculatedColumnFormula>Tabella34[[#This Row],[Spain acc. fit]]/y_f_peak</calculatedColumnFormula>
    </tableColumn>
    <tableColumn id="22" xr3:uid="{3454EAEC-2F0B-43EB-BAA5-786BDD84C222}" name="Colonna2" dataDxfId="196">
      <calculatedColumnFormula>Tabella34[[#This Row],[Colonna4]]*NOT(ISBLANK(Tabella34[[#This Row],[Spain daily cases]]))</calculatedColumnFormula>
    </tableColumn>
    <tableColumn id="28" xr3:uid="{B677F892-B1B7-4687-B36F-B412484B9F7F}" name="Colonna22" dataDxfId="195">
      <calculatedColumnFormula>Tabella34[[#This Row],[Spain acc. fit]]*NOT(ISBLANK(Tabella34[[#This Row],[Spain daily cases]]))</calculatedColumnFormula>
    </tableColumn>
    <tableColumn id="7" xr3:uid="{1FB29A2A-9F78-468F-A44C-116109C9ABB2}" name="Upper CI" dataDxfId="194"/>
    <tableColumn id="8" xr3:uid="{F226004F-D369-46CF-809B-30849E1E6832}" name="Lower CI" dataDxfId="193"/>
    <tableColumn id="9" xr3:uid="{4CC4E10A-61F2-4C4D-9A4E-4E48FF420524}" name="Lombardy cumul. Data"/>
    <tableColumn id="10" xr3:uid="{2C2C4B9F-3F34-417A-9946-756DE7F974E7}" name="Lombardy data" dataDxfId="192"/>
    <tableColumn id="37" xr3:uid="{BE294A1D-6168-4F3F-A0CA-6632C8ED5125}" name="Lombardy acc." dataDxfId="191">
      <calculatedColumnFormula>Tabella34[[#This Row],[Lombardy data]]-AH7</calculatedColumnFormula>
    </tableColumn>
    <tableColumn id="23" xr3:uid="{0816919E-6D08-4861-9F97-8BFFF3DFA6BA}" name="Colonna3" dataDxfId="190">
      <calculatedColumnFormula>Tabella34[[#This Row],[Lombardy data]]*NOT(ISBLANK(Tabella34[[#This Row],[Lombardy data]]))</calculatedColumnFormula>
    </tableColumn>
    <tableColumn id="11" xr3:uid="{32BBCC10-DEF5-4EDC-A383-055E405F03DF}" name="Lombardy cumul. Fit" dataDxfId="189">
      <calculatedColumnFormula>Tabella8[[#This Row],[Lombardy fit]]</calculatedColumnFormula>
    </tableColumn>
    <tableColumn id="40" xr3:uid="{C19CD861-CE71-4602-9F9B-59546032C192}" name="Lombardy d.t" dataDxfId="188">
      <calculatedColumnFormula>_xlfn.LOGNORM.INV(alpha*Tabella34[[#This Row],[Lombardy cumul. Fit]]/Kr,mu_r,sigma_r)-(Tabella34[[#This Row],[Day]]-pr)</calculatedColumnFormula>
    </tableColumn>
    <tableColumn id="32" xr3:uid="{16AAD297-3C82-48D2-9034-8421902336DF}" name="Lombardy cum. Fit (Norm.)" dataDxfId="187">
      <calculatedColumnFormula>Tabella34[[#This Row],[Lombardy cumul. Fit]]/Kl</calculatedColumnFormula>
    </tableColumn>
    <tableColumn id="44" xr3:uid="{65D8D691-BDCF-4271-B781-17E6E9E74409}" name="Lombardy velocity" dataDxfId="186">
      <calculatedColumnFormula>IFERROR(Kr*_xlfn.LOGNORM.DIST((Tabella34[[#This Row],[Day]]-pr),mu_r,sigma_r,FALSE),0)</calculatedColumnFormula>
    </tableColumn>
    <tableColumn id="45" xr3:uid="{325AFA39-6BAB-4C39-AF15-4C713744E763}" name="Lombardy g.r." dataDxfId="185" dataCellStyle="Percentuale">
      <calculatedColumnFormula>Tabella34[[#This Row],[Lombardy velocity]]/Tabella34[[#This Row],[Lombardy cumul. Fit]]</calculatedColumnFormula>
    </tableColumn>
    <tableColumn id="50" xr3:uid="{AEC629F5-F5B7-427A-A3BE-91164E174013}" name="Lombardy x=(ln(t-p)-mu)/sigma2" dataDxfId="184" dataCellStyle="Percentuale">
      <calculatedColumnFormula>(LN(Tabella34[[#This Row],[Day]]-pr)-mu_r)/sigma_r</calculatedColumnFormula>
    </tableColumn>
    <tableColumn id="59" xr3:uid="{0101A73A-DD63-43C9-859D-92B4B22D7687}" name="t_alpha_r+plus" dataDxfId="183" dataCellStyle="Percentuale">
      <calculatedColumnFormula>EXP(mu_r+sigma_r*Tabella34[[#This Row],[x_r_alpha©+plus]])-(Tabella34[[#This Row],[Day]]-pr)</calculatedColumnFormula>
    </tableColumn>
    <tableColumn id="60" xr3:uid="{BC4FB734-F354-4873-85D1-4E78CD72BFE2}" name="t_alpha_r-minus" dataDxfId="182" dataCellStyle="Percentuale">
      <calculatedColumnFormula>EXP(mu_r+sigma_r*Tabella34[[#This Row],[x_r_alpha©-minus]])-(Tabella34[[#This Row],[Day]]-pr)</calculatedColumnFormula>
    </tableColumn>
    <tableColumn id="61" xr3:uid="{882F33D0-0BDB-4269-AB07-4396D7F159EC}" name="x_r_alpha©+plus" dataDxfId="181" dataCellStyle="Percentuale">
      <calculatedColumnFormula>-sigma_r+SQRT(sigma_r^2-2*Tabella34[[#This Row],[c_r]])</calculatedColumnFormula>
    </tableColumn>
    <tableColumn id="62" xr3:uid="{452B87DE-E21F-4856-B6F0-96140DEFAC55}" name="x_r_alpha©-minus" dataDxfId="180" dataCellStyle="Percentuale">
      <calculatedColumnFormula>-sigma_r-SQRT(sigma_r^2-2*Tabella34[[#This Row],[c_r]])</calculatedColumnFormula>
    </tableColumn>
    <tableColumn id="63" xr3:uid="{F7B802E0-8D03-4B23-953B-18C7737EDE16}" name="c_r" dataDxfId="179" dataCellStyle="Percentuale">
      <calculatedColumnFormula>mu_r-LN(alpha*Kr/(Tabella34[[#This Row],[Lombardy velocity]]*sigma_r*SQRTPI(2)))</calculatedColumnFormula>
    </tableColumn>
    <tableColumn id="64" xr3:uid="{77F0D52D-0A62-41AA-8CBF-4BD837FD2F95}" name="Lombardy h.t." dataDxfId="178" dataCellStyle="Percentuale">
      <calculatedColumnFormula>Tabella34[[#This Row],[t_alpha_r+plus]]</calculatedColumnFormula>
    </tableColumn>
    <tableColumn id="12" xr3:uid="{EAFF3715-35A3-45D0-B237-ADA5691DA311}" name="Lombardy acc. fit" dataDxfId="177">
      <calculatedColumnFormula>IFERROR(-Kl*_xlfn.LOGNORM.DIST((Tabella34[[#This Row],[Day]]-pl),mu_l,sigma_l,FALSE)*(1+(LN((Tabella34[[#This Row],[Day]]-pl))-mu_l)/sigma_l^2)/(Tabella34[[#This Row],[Day]]-pl),0)</calculatedColumnFormula>
    </tableColumn>
    <tableColumn id="33" xr3:uid="{8861C221-9045-49BF-AB8F-0B4AE5B0B9BF}" name="Lombardy fit (Norm.)" dataDxfId="176">
      <calculatedColumnFormula>Tabella34[[#This Row],[Lombardy acc. fit]]/y_l_peak</calculatedColumnFormula>
    </tableColumn>
    <tableColumn id="24" xr3:uid="{4CD3476B-984B-421F-BE72-55E7CA95AD6A}" name="Colonna32" dataDxfId="175">
      <calculatedColumnFormula>Tabella34[[#This Row],[Lombardy acc. fit]]*NOT(ISBLANK(Tabella34[[#This Row],[Lombardy data]]))</calculatedColumnFormula>
    </tableColumn>
    <tableColumn id="13" xr3:uid="{1D6140DA-E765-4F87-B873-41D83130E13B}" name="Upper CI_" dataDxfId="174"/>
    <tableColumn id="14" xr3:uid="{45890936-9464-4D51-96E1-04F3526F71B4}" name="Lower CI_" dataDxfId="173"/>
    <tableColumn id="15" xr3:uid="{D943E5B4-DA7B-4A71-AB6A-1E08D9228118}" name="rest of Italy cum. Data"/>
    <tableColumn id="16" xr3:uid="{8DB68116-02FF-4237-877B-747D4A0561AD}" name="rest of Italy data" dataDxfId="172"/>
    <tableColumn id="38" xr3:uid="{4827C410-B133-4944-B8DD-B8D81A258A65}" name="rest of Italy acc." dataDxfId="171">
      <calculatedColumnFormula>Tabella34[[#This Row],[rest of Italy data]]-BC7</calculatedColumnFormula>
    </tableColumn>
    <tableColumn id="25" xr3:uid="{E695BD70-C7AC-4500-BE66-A4E1D4935741}" name="Colonna33" dataDxfId="170">
      <calculatedColumnFormula>Tabella34[[#This Row],[rest of Italy data]]*NOT(ISBLANK(Tabella34[[#This Row],[rest of Italy data]]))</calculatedColumnFormula>
    </tableColumn>
    <tableColumn id="17" xr3:uid="{B4A3C8A3-9ACC-47B4-A063-AFD72D1D9450}" name="rest of Italy cumul. Fit" dataDxfId="169">
      <calculatedColumnFormula>Tabella8[[#This Row],[rest of Italy fit]]</calculatedColumnFormula>
    </tableColumn>
    <tableColumn id="41" xr3:uid="{71DD744E-D643-4287-B141-1C22CD2F974E}" name="rest of Italy d.t." dataDxfId="168">
      <calculatedColumnFormula>_xlfn.LOGNORM.INV(alpha*Tabella34[[#This Row],[rest of Italy cumul. Fit]]/Ko,mu_o,sigma_o)-(Tabella34[[#This Row],[Day]]-po)</calculatedColumnFormula>
    </tableColumn>
    <tableColumn id="34" xr3:uid="{E5A81988-8E83-41F6-891C-22529B961480}" name="rest of Italy com. Fit (Norm.)" dataDxfId="167">
      <calculatedColumnFormula>Tabella34[[#This Row],[rest of Italy cumul. Fit]]/Ka</calculatedColumnFormula>
    </tableColumn>
    <tableColumn id="46" xr3:uid="{FEAD9E42-52F3-4D1C-9922-E2058FC97222}" name="rest of Italy velocity" dataDxfId="166">
      <calculatedColumnFormula>IFERROR(Ko*_xlfn.LOGNORM.DIST((Tabella34[[#This Row],[Day]]-po),mu_o,sigma_o,FALSE),0)</calculatedColumnFormula>
    </tableColumn>
    <tableColumn id="47" xr3:uid="{0AA7A7A0-22D9-47BE-91D2-C7574E413F2F}" name="rest of Italy g.r." dataDxfId="165" dataCellStyle="Percentuale">
      <calculatedColumnFormula>Tabella34[[#This Row],[rest of Italy velocity]]/Tabella34[[#This Row],[rest of Italy cumul. Fit]]</calculatedColumnFormula>
    </tableColumn>
    <tableColumn id="51" xr3:uid="{BEF729BC-C406-44B4-92AF-076284E0A6B9}" name="rest of Italy x=(ln(t-p)-mu)/sigma" dataDxfId="164" dataCellStyle="Percentuale">
      <calculatedColumnFormula>(LN(Tabella34[[#This Row],[Day]]-po)-mu_o)/sigma_o</calculatedColumnFormula>
    </tableColumn>
    <tableColumn id="70" xr3:uid="{C6AB1831-7C1A-432B-A38D-178411AD6237}" name="t_alpha_o+plus" dataDxfId="163" dataCellStyle="Percentuale">
      <calculatedColumnFormula>EXP(mu_o+sigma_o*Tabella34[[#This Row],[x_o_alpha©+plus]])-(Tabella34[[#This Row],[Day]]-po)</calculatedColumnFormula>
    </tableColumn>
    <tableColumn id="69" xr3:uid="{63266908-B7A0-4558-8981-5A1404F14612}" name="t_alpha_o-minus" dataDxfId="162" dataCellStyle="Percentuale">
      <calculatedColumnFormula>EXP(mu_o+sigma_o*Tabella34[[#This Row],[x_o_alpha©-minus]])-(Tabella34[[#This Row],[Day]]-po)</calculatedColumnFormula>
    </tableColumn>
    <tableColumn id="68" xr3:uid="{D94FE56F-DDF3-46F8-B0ED-CCDA232007CC}" name="x_o_alpha©+plus" dataDxfId="161" dataCellStyle="Percentuale">
      <calculatedColumnFormula>-sigma_o+SQRT(sigma_o^2-2*Tabella34[[#This Row],[c_o]])</calculatedColumnFormula>
    </tableColumn>
    <tableColumn id="67" xr3:uid="{5A9CCD42-CF4B-4B1A-8E5D-FE5FE52DDADF}" name="x_o_alpha©-minus" dataDxfId="160" dataCellStyle="Percentuale">
      <calculatedColumnFormula>-sigma_o-SQRT(sigma_o^2-2*Tabella34[[#This Row],[c_o]])</calculatedColumnFormula>
    </tableColumn>
    <tableColumn id="66" xr3:uid="{FC0AC2AE-0158-4E21-9218-F3556443E8BC}" name="c_o" dataDxfId="159" dataCellStyle="Percentuale">
      <calculatedColumnFormula>mu_o-LN(alpha*Ko/(Tabella34[[#This Row],[rest of Italy velocity]]*sigma_o*SQRTPI(2)))</calculatedColumnFormula>
    </tableColumn>
    <tableColumn id="65" xr3:uid="{9204EA2C-2432-4DF3-AFAD-DDCDC7C72CD3}" name="rest of Italy h.t." dataDxfId="158" dataCellStyle="Percentuale">
      <calculatedColumnFormula>Tabella34[[#This Row],[t_alpha_o+plus]]</calculatedColumnFormula>
    </tableColumn>
    <tableColumn id="18" xr3:uid="{FD6099F4-40ED-4723-BCFC-0515197E5411}" name="rest of Italy acc. fit" dataDxfId="157">
      <calculatedColumnFormula>IFERROR(-Ka*_xlfn.LOGNORM.DIST((Tabella34[[#This Row],[Day]]-pa),mu_a,sigma_a,FALSE)*(1+(LN((Tabella34[[#This Row],[Day]]-pa))-mu_a)/sigma_a^2)/(Tabella34[[#This Row],[Day]]-pa),0)</calculatedColumnFormula>
    </tableColumn>
    <tableColumn id="35" xr3:uid="{A0A203B2-BAB1-4D07-BDD1-9652E898B6BE}" name="rest of Italy fit (Norm.)" dataDxfId="156">
      <calculatedColumnFormula>Tabella34[[#This Row],[rest of Italy acc. fit]]/y_a_peak</calculatedColumnFormula>
    </tableColumn>
    <tableColumn id="26" xr3:uid="{15F32069-D8D9-41EE-BAFA-377D6BE7DD5A}" name="Colonna322" dataDxfId="155">
      <calculatedColumnFormula>Tabella34[[#This Row],[rest of Italy acc. fit]]*NOT(ISBLANK(Tabella34[[#This Row],[rest of Italy data]]))</calculatedColumnFormula>
    </tableColumn>
    <tableColumn id="19" xr3:uid="{44B472C2-6348-4F9B-8B44-4ACD5F0A8631}" name="Upper CI__" dataDxfId="154"/>
    <tableColumn id="20" xr3:uid="{D884F6F9-76D1-4EEF-B3DD-7AC5018C1A4F}" name="Lower CI__" dataDxfId="153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DAE565-9929-4EF2-BB03-FF560E6104E1}" name="Tabella45" displayName="Tabella45" ref="BX7:BY18" totalsRowShown="0" headerRowDxfId="152" dataDxfId="151">
  <autoFilter ref="BX7:BY18" xr:uid="{99FCECFF-7546-4E9F-BC9B-C608747C7992}"/>
  <tableColumns count="2">
    <tableColumn id="1" xr3:uid="{2C2EF1A0-FA01-4854-A48A-A3FC2CEBE484}" name="Whole country sum" dataDxfId="150"/>
    <tableColumn id="2" xr3:uid="{BBBCCB83-BCC4-4B61-BF70-F20B1DE5DD2E}" name="Italy sum" dataDxfId="149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2D669D-7956-470D-9767-C61B869E5ED4}" name="Tabella56" displayName="Tabella56" ref="BX19:BY31" totalsRowShown="0" headerRowDxfId="148" dataDxfId="147">
  <autoFilter ref="BX19:BY31" xr:uid="{41723F04-8F3D-447E-986E-DDE7C4E185D6}"/>
  <tableColumns count="2">
    <tableColumn id="1" xr3:uid="{873A0FB9-23E1-4D7F-BF03-F96BAA97225C}" name="region" dataDxfId="146"/>
    <tableColumn id="2" xr3:uid="{685825AB-81E2-4751-B870-0CE101D6244D}" name="Lombardy fit" dataDxfId="145"/>
  </tableColumns>
  <tableStyleInfo name="TableStyleLight3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69D03A-0560-482D-A9AC-3A84D4F4D7A4}" name="Tabella67" displayName="Tabella67" ref="BX32:BY44" totalsRowShown="0" headerRowDxfId="144" dataDxfId="143">
  <autoFilter ref="BX32:BY44" xr:uid="{B7330CDA-797E-4AEE-8936-2CD475EF1182}"/>
  <tableColumns count="2">
    <tableColumn id="1" xr3:uid="{2AA5E278-91B2-4EF3-9265-1635E1F2D8C8}" name="outside" dataDxfId="142"/>
    <tableColumn id="2" xr3:uid="{6889DBC2-F373-4EA1-AB3D-93A01689A1F2}" name="rest of Italy fit" dataDxfId="141"/>
  </tableColumns>
  <tableStyleInfo name="TableStyleLight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D4DD7C6-95B0-4AC8-BFFB-2DAC674B8B97}" name="Tabella688" displayName="Tabella688" ref="BX45:BY57" totalsRowShown="0" headerRowDxfId="140" dataDxfId="139">
  <autoFilter ref="BX45:BY57" xr:uid="{FBCC173C-E06A-4C12-9CC1-E8F46BF2DDE4}"/>
  <tableColumns count="2">
    <tableColumn id="1" xr3:uid="{F33654F0-155E-4DDE-8519-6857DFA9A7EF}" name="Whole contry fit" dataDxfId="138"/>
    <tableColumn id="2" xr3:uid="{9D52DE31-D71F-4C7A-B142-89C67D91A57E}" name="Italy fit" dataDxfId="137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3" dT="2020-04-13T00:14:38.76" personId="{46504131-ADD3-4530-BCC7-16E4FED1C2C4}" id="{18E5A2A4-4328-4013-9C5A-7FF3FFE52F37}">
    <text>Saturation value or carrying capalcity</text>
  </threadedComment>
  <threadedComment ref="AE4" dT="2020-04-13T00:15:06.31" personId="{46504131-ADD3-4530-BCC7-16E4FED1C2C4}" id="{B28540D2-8971-4B31-876F-24BE58C058FA}">
    <text>Point of inflection</text>
  </threadedComment>
  <threadedComment ref="AE5" dT="2020-04-13T00:16:48.93" personId="{46504131-ADD3-4530-BCC7-16E4FED1C2C4}" id="{361F45E2-544C-4814-986A-5F23748796D7}">
    <text>Slope or decay time</text>
  </threadedComment>
  <threadedComment ref="AE6" dT="2020-04-24T20:17:39.98" personId="{46504131-ADD3-4530-BCC7-16E4FED1C2C4}" id="{84201E2F-7D32-4D3E-A68C-2A395C0AFEB1}">
    <text>backdating of starting day</text>
  </threadedComment>
  <threadedComment ref="B29" dT="2020-04-26T00:19:42.74" personId="{46504131-ADD3-4530-BCC7-16E4FED1C2C4}" id="{A873C920-16AD-4BAC-9C3D-8B9354B93FEC}">
    <text>Data from https://github.com/CSSEGISandData</text>
  </threadedComment>
  <threadedComment ref="B62" dT="2020-03-21T22:11:56.31" personId="{46504131-ADD3-4530-BCC7-16E4FED1C2C4}" id="{0621FDE1-092F-4B0A-B6B9-713897DF0CC5}">
    <text>first red zones (north)</text>
  </threadedComment>
  <threadedComment ref="B68" dT="2020-03-21T22:12:51.46" personId="{46504131-ADD3-4530-BCC7-16E4FED1C2C4}" id="{6744EB57-859E-42EA-B4F2-F10942B49A22}">
    <text>partial lockdown (north)</text>
  </threadedComment>
  <threadedComment ref="B72" dT="2020-03-21T22:13:52.19" personId="{46504131-ADD3-4530-BCC7-16E4FED1C2C4}" id="{33530D03-226A-4358-A568-CF8D6E16063E}">
    <text>school closure (Italy)</text>
  </threadedComment>
  <threadedComment ref="B75" dT="2020-03-21T22:14:24.84" personId="{46504131-ADD3-4530-BCC7-16E4FED1C2C4}" id="{DEE131DF-B99E-49E5-B71E-E8FA46139EA4}">
    <text>full lockdown (northern Italy)</text>
  </threadedComment>
  <threadedComment ref="B77" dT="2020-03-21T22:14:52.14" personId="{46504131-ADD3-4530-BCC7-16E4FED1C2C4}" id="{D7D1BB5E-BF21-4496-ACA8-360768C57861}">
    <text>partial lockdown (Italy)</text>
  </threadedComment>
  <threadedComment ref="B79" dT="2020-03-21T22:15:16.77" personId="{46504131-ADD3-4530-BCC7-16E4FED1C2C4}" id="{A4FE517B-52ED-47DC-A9CE-D59F3913061A}">
    <text>full lockdown (Italy)</text>
  </threadedComment>
  <threadedComment ref="D79" dT="2020-04-29T21:30:26.15" personId="{46504131-ADD3-4530-BCC7-16E4FED1C2C4}" id="{23A8430F-0975-4873-BBFC-766DAA82BD52}">
    <text>2277 to be treated as outlier</text>
  </threadedComment>
  <threadedComment ref="B90" dT="2020-03-23T21:41:16.67" personId="{46504131-ADD3-4530-BCC7-16E4FED1C2C4}" id="{C9ADCFB2-7E30-41ED-B43B-6911BE354135}">
    <text>reinforced lockdown (Italy)</text>
  </threadedComment>
  <threadedComment ref="D92" dT="2020-04-29T21:33:38.29" personId="{46504131-ADD3-4530-BCC7-16E4FED1C2C4}" id="{3554D052-A587-4C91-AB4C-0861754C75B5}">
    <text>49515 to be treated as outier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I3" dT="2020-04-13T00:14:38.76" personId="{46504131-ADD3-4530-BCC7-16E4FED1C2C4}" id="{722BC269-F91C-4139-8BC1-B2D7CFD655D1}">
    <text>Saturation value or carrying capalcity</text>
  </threadedComment>
  <threadedComment ref="AI4" dT="2020-04-13T00:15:06.31" personId="{46504131-ADD3-4530-BCC7-16E4FED1C2C4}" id="{545E94EF-1517-4064-88E6-2D9228EF509C}">
    <text>Point of inflection</text>
  </threadedComment>
  <threadedComment ref="AI5" dT="2020-04-13T00:16:48.93" personId="{46504131-ADD3-4530-BCC7-16E4FED1C2C4}" id="{9F0F1623-7128-476E-B1C6-D2F247C712B8}">
    <text>Slope or decay time</text>
  </threadedComment>
  <threadedComment ref="AI6" dT="2020-04-24T20:17:39.98" personId="{46504131-ADD3-4530-BCC7-16E4FED1C2C4}" id="{21AC4952-C932-4556-AB9B-F965D7C85037}">
    <text>backdating of starting day</text>
  </threadedComment>
  <threadedComment ref="B29" dT="2020-04-26T22:26:40.95" personId="{46504131-ADD3-4530-BCC7-16E4FED1C2C4}" id="{35848DFF-2269-48CA-BBD5-939EFA41CE4B}">
    <text>see previous sheet</text>
  </threadedComment>
  <threadedComment ref="B62" dT="2020-03-21T22:11:56.31" personId="{46504131-ADD3-4530-BCC7-16E4FED1C2C4}" id="{55BA04F6-DD5C-404D-9143-067D1A800A3A}">
    <text>first red zones (north)</text>
  </threadedComment>
  <threadedComment ref="B68" dT="2020-03-21T22:12:51.46" personId="{46504131-ADD3-4530-BCC7-16E4FED1C2C4}" id="{BDDA7B4B-B1F4-44B2-A550-3674E961B52E}">
    <text>partial lockdown (north)</text>
  </threadedComment>
  <threadedComment ref="B72" dT="2020-03-21T22:13:52.19" personId="{46504131-ADD3-4530-BCC7-16E4FED1C2C4}" id="{4CDB76F3-57CC-4212-B53F-F8F165375B94}">
    <text>school closure (Italy)</text>
  </threadedComment>
  <threadedComment ref="B75" dT="2020-03-21T22:14:24.84" personId="{46504131-ADD3-4530-BCC7-16E4FED1C2C4}" id="{CE65C50C-3F83-4631-A90E-C07B7C5721E9}">
    <text>full lockdown (northern Italy)</text>
  </threadedComment>
  <threadedComment ref="B77" dT="2020-03-21T22:14:52.14" personId="{46504131-ADD3-4530-BCC7-16E4FED1C2C4}" id="{92B8577E-1708-4B0F-85FD-31A0291F718A}">
    <text>partial lockdown (Italy)</text>
  </threadedComment>
  <threadedComment ref="B79" dT="2020-03-21T22:15:16.77" personId="{46504131-ADD3-4530-BCC7-16E4FED1C2C4}" id="{67CE4491-269D-478E-850E-4FD0904AA888}">
    <text>full lockdown (Italy)</text>
  </threadedComment>
  <threadedComment ref="B90" dT="2020-03-23T21:41:16.67" personId="{46504131-ADD3-4530-BCC7-16E4FED1C2C4}" id="{12A51D8D-BC18-4F3B-A122-CB2A491B9543}">
    <text>reinforced lockdown (Italy)</text>
  </threadedComment>
  <threadedComment ref="E92" dT="2020-04-29T21:30:43.78" personId="{46504131-ADD3-4530-BCC7-16E4FED1C2C4}" id="{052C6121-DD23-4E87-9E31-5549D0CF4536}">
    <text>outlier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Z3" dT="2020-04-13T00:14:38.76" personId="{46504131-ADD3-4530-BCC7-16E4FED1C2C4}" id="{5BB2974A-9676-4C5B-803F-CF982FB54C17}">
    <text>Saturation value or carrying capalcity</text>
  </threadedComment>
  <threadedComment ref="BZ4" dT="2020-04-13T00:15:06.31" personId="{46504131-ADD3-4530-BCC7-16E4FED1C2C4}" id="{5985897A-FB7E-4117-8EAE-F8102ABED9D6}">
    <text>Point of inflection</text>
  </threadedComment>
  <threadedComment ref="BZ5" dT="2020-04-13T00:16:48.93" personId="{46504131-ADD3-4530-BCC7-16E4FED1C2C4}" id="{47066B5F-AE32-47EA-93C2-BB0BD06AF4AC}">
    <text>Slope or decay time</text>
  </threadedComment>
  <threadedComment ref="BZ6" dT="2020-04-24T20:17:39.98" personId="{46504131-ADD3-4530-BCC7-16E4FED1C2C4}" id="{0EE8AFFD-59E9-4E35-B418-47FBE2E4A52B}">
    <text>backdating of starting day</text>
  </threadedComment>
  <threadedComment ref="B62" dT="2020-03-21T22:11:56.31" personId="{46504131-ADD3-4530-BCC7-16E4FED1C2C4}" id="{3D06FFC5-AE5C-40AF-951E-8817B4F3A121}">
    <text>first red zones (north)</text>
  </threadedComment>
  <threadedComment ref="B68" dT="2020-03-21T22:12:51.46" personId="{46504131-ADD3-4530-BCC7-16E4FED1C2C4}" id="{F1B3988C-7831-496F-82F5-0B82EE836187}">
    <text>partial lockdown (north)</text>
  </threadedComment>
  <threadedComment ref="B72" dT="2020-03-21T22:13:52.19" personId="{46504131-ADD3-4530-BCC7-16E4FED1C2C4}" id="{13AB517F-BD4E-4746-AF07-A982E4FB6ACE}">
    <text>school closure (Italy)</text>
  </threadedComment>
  <threadedComment ref="B75" dT="2020-03-21T22:14:24.84" personId="{46504131-ADD3-4530-BCC7-16E4FED1C2C4}" id="{DDE92F60-776B-4CDE-B4EB-B14A18B23E6B}">
    <text>full lockdown (northern Italy)</text>
  </threadedComment>
  <threadedComment ref="B77" dT="2020-03-21T22:14:52.14" personId="{46504131-ADD3-4530-BCC7-16E4FED1C2C4}" id="{4D0715D5-E2BE-4259-9DBA-1C570C2BC087}">
    <text>partial lockdown (Italy)</text>
  </threadedComment>
  <threadedComment ref="B79" dT="2020-03-21T22:15:16.77" personId="{46504131-ADD3-4530-BCC7-16E4FED1C2C4}" id="{45A3707D-7D38-4419-9325-AB8727F4742B}">
    <text>full lockdown (Italy)</text>
  </threadedComment>
  <threadedComment ref="B90" dT="2020-03-23T21:41:16.67" personId="{46504131-ADD3-4530-BCC7-16E4FED1C2C4}" id="{05E3B6D9-8618-4BF7-8E63-7AFE3A48A850}">
    <text>reinforced lockdown (Italy)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.vml"/><Relationship Id="rId7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1.xml"/><Relationship Id="rId4" Type="http://schemas.openxmlformats.org/officeDocument/2006/relationships/table" Target="../tables/table2.xm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3" Type="http://schemas.openxmlformats.org/officeDocument/2006/relationships/vmlDrawing" Target="../drawings/vmlDrawing2.vml"/><Relationship Id="rId7" Type="http://schemas.openxmlformats.org/officeDocument/2006/relationships/table" Target="../tables/table10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10" Type="http://schemas.microsoft.com/office/2017/10/relationships/threadedComment" Target="../threadedComments/threadedComment2.xml"/><Relationship Id="rId4" Type="http://schemas.openxmlformats.org/officeDocument/2006/relationships/table" Target="../tables/table7.xml"/><Relationship Id="rId9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6.xml"/><Relationship Id="rId3" Type="http://schemas.openxmlformats.org/officeDocument/2006/relationships/vmlDrawing" Target="../drawings/vmlDrawing3.vml"/><Relationship Id="rId7" Type="http://schemas.openxmlformats.org/officeDocument/2006/relationships/table" Target="../tables/table1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4.xml"/><Relationship Id="rId5" Type="http://schemas.openxmlformats.org/officeDocument/2006/relationships/table" Target="../tables/table1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12.xml"/><Relationship Id="rId9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86A11-7C4F-4EAD-A7FE-CCABCA9DC626}">
  <dimension ref="A1:CX267"/>
  <sheetViews>
    <sheetView topLeftCell="AX1" workbookViewId="0">
      <selection activeCell="E204" sqref="E204:CX204"/>
    </sheetView>
  </sheetViews>
  <sheetFormatPr defaultRowHeight="14.4" x14ac:dyDescent="0.3"/>
  <cols>
    <col min="1" max="1" width="27.21875" bestFit="1" customWidth="1"/>
    <col min="2" max="2" width="28.109375" bestFit="1" customWidth="1"/>
    <col min="3" max="4" width="19.44140625" bestFit="1" customWidth="1"/>
    <col min="5" max="9" width="10.77734375" bestFit="1" customWidth="1"/>
    <col min="10" max="99" width="11.77734375" bestFit="1" customWidth="1"/>
    <col min="100" max="102" width="12.77734375" bestFit="1" customWidth="1"/>
  </cols>
  <sheetData>
    <row r="1" spans="1:102" x14ac:dyDescent="0.3">
      <c r="A1" t="s">
        <v>78</v>
      </c>
      <c r="B1" t="s">
        <v>79</v>
      </c>
      <c r="C1" t="s">
        <v>80</v>
      </c>
      <c r="D1" t="s">
        <v>81</v>
      </c>
      <c r="E1" t="s">
        <v>82</v>
      </c>
      <c r="F1" t="s">
        <v>83</v>
      </c>
      <c r="G1" t="s">
        <v>84</v>
      </c>
      <c r="H1" t="s">
        <v>85</v>
      </c>
      <c r="I1" t="s">
        <v>86</v>
      </c>
      <c r="J1" t="s">
        <v>87</v>
      </c>
      <c r="K1" t="s">
        <v>88</v>
      </c>
      <c r="L1" t="s">
        <v>89</v>
      </c>
      <c r="M1" t="s">
        <v>90</v>
      </c>
      <c r="N1" t="s">
        <v>91</v>
      </c>
      <c r="O1" t="s">
        <v>92</v>
      </c>
      <c r="P1" t="s">
        <v>93</v>
      </c>
      <c r="Q1" t="s">
        <v>94</v>
      </c>
      <c r="R1" t="s">
        <v>95</v>
      </c>
      <c r="S1" t="s">
        <v>96</v>
      </c>
      <c r="T1" t="s">
        <v>97</v>
      </c>
      <c r="U1" t="s">
        <v>98</v>
      </c>
      <c r="V1" t="s">
        <v>99</v>
      </c>
      <c r="W1" t="s">
        <v>100</v>
      </c>
      <c r="X1" t="s">
        <v>101</v>
      </c>
      <c r="Y1" t="s">
        <v>102</v>
      </c>
      <c r="Z1" t="s">
        <v>103</v>
      </c>
      <c r="AA1" t="s">
        <v>104</v>
      </c>
      <c r="AB1" t="s">
        <v>105</v>
      </c>
      <c r="AC1" t="s">
        <v>106</v>
      </c>
      <c r="AD1" t="s">
        <v>107</v>
      </c>
      <c r="AE1" t="s">
        <v>108</v>
      </c>
      <c r="AF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O1" t="s">
        <v>118</v>
      </c>
      <c r="AP1" t="s">
        <v>119</v>
      </c>
      <c r="AQ1" t="s">
        <v>120</v>
      </c>
      <c r="AR1" t="s">
        <v>121</v>
      </c>
      <c r="AS1" t="s">
        <v>122</v>
      </c>
      <c r="AT1" t="s">
        <v>123</v>
      </c>
      <c r="AU1" t="s">
        <v>124</v>
      </c>
      <c r="AV1" t="s">
        <v>125</v>
      </c>
      <c r="AW1" t="s">
        <v>126</v>
      </c>
      <c r="AX1" t="s">
        <v>127</v>
      </c>
      <c r="AY1" t="s">
        <v>128</v>
      </c>
      <c r="AZ1" t="s">
        <v>129</v>
      </c>
      <c r="BA1" t="s">
        <v>130</v>
      </c>
      <c r="BB1" t="s">
        <v>131</v>
      </c>
      <c r="BC1" t="s">
        <v>132</v>
      </c>
      <c r="BD1" t="s">
        <v>133</v>
      </c>
      <c r="BE1" t="s">
        <v>134</v>
      </c>
      <c r="BF1" t="s">
        <v>135</v>
      </c>
      <c r="BG1" t="s">
        <v>136</v>
      </c>
      <c r="BH1" t="s">
        <v>137</v>
      </c>
      <c r="BI1" t="s">
        <v>138</v>
      </c>
      <c r="BJ1" t="s">
        <v>139</v>
      </c>
      <c r="BK1" t="s">
        <v>140</v>
      </c>
      <c r="BL1" t="s">
        <v>141</v>
      </c>
      <c r="BM1" t="s">
        <v>142</v>
      </c>
      <c r="BN1" t="s">
        <v>143</v>
      </c>
      <c r="BO1" t="s">
        <v>144</v>
      </c>
      <c r="BP1" t="s">
        <v>145</v>
      </c>
      <c r="BQ1" t="s">
        <v>146</v>
      </c>
      <c r="BR1" t="s">
        <v>147</v>
      </c>
      <c r="BS1" t="s">
        <v>148</v>
      </c>
      <c r="BT1" t="s">
        <v>149</v>
      </c>
      <c r="BU1" t="s">
        <v>150</v>
      </c>
      <c r="BV1" t="s">
        <v>151</v>
      </c>
      <c r="BW1" t="s">
        <v>152</v>
      </c>
      <c r="BX1" t="s">
        <v>153</v>
      </c>
      <c r="BY1" t="s">
        <v>154</v>
      </c>
      <c r="BZ1" t="s">
        <v>155</v>
      </c>
      <c r="CA1" t="s">
        <v>156</v>
      </c>
      <c r="CB1" t="s">
        <v>157</v>
      </c>
      <c r="CC1" t="s">
        <v>158</v>
      </c>
      <c r="CD1" t="s">
        <v>159</v>
      </c>
      <c r="CE1" t="s">
        <v>160</v>
      </c>
      <c r="CF1" t="s">
        <v>161</v>
      </c>
      <c r="CG1" t="s">
        <v>162</v>
      </c>
      <c r="CH1" t="s">
        <v>163</v>
      </c>
      <c r="CI1" t="s">
        <v>164</v>
      </c>
      <c r="CJ1" t="s">
        <v>165</v>
      </c>
      <c r="CK1" t="s">
        <v>166</v>
      </c>
      <c r="CL1" t="s">
        <v>167</v>
      </c>
      <c r="CM1" t="s">
        <v>168</v>
      </c>
      <c r="CN1" t="s">
        <v>169</v>
      </c>
      <c r="CO1" t="s">
        <v>170</v>
      </c>
      <c r="CP1" t="s">
        <v>171</v>
      </c>
      <c r="CQ1" t="s">
        <v>172</v>
      </c>
      <c r="CR1" t="s">
        <v>173</v>
      </c>
      <c r="CS1" t="s">
        <v>174</v>
      </c>
      <c r="CT1" t="s">
        <v>175</v>
      </c>
      <c r="CU1" t="s">
        <v>4048</v>
      </c>
      <c r="CV1" t="s">
        <v>4049</v>
      </c>
      <c r="CW1" t="s">
        <v>4050</v>
      </c>
      <c r="CX1" t="s">
        <v>4051</v>
      </c>
    </row>
    <row r="2" spans="1:102" x14ac:dyDescent="0.3">
      <c r="A2" s="12" t="s">
        <v>176</v>
      </c>
      <c r="B2" s="12" t="s">
        <v>177</v>
      </c>
      <c r="C2" s="12" t="s">
        <v>178</v>
      </c>
      <c r="D2" s="12" t="s">
        <v>179</v>
      </c>
      <c r="E2" s="12" t="s">
        <v>180</v>
      </c>
      <c r="F2" s="12" t="s">
        <v>181</v>
      </c>
      <c r="G2" s="12" t="s">
        <v>182</v>
      </c>
      <c r="H2" s="12" t="s">
        <v>183</v>
      </c>
      <c r="I2" s="12" t="s">
        <v>184</v>
      </c>
      <c r="J2" s="12" t="s">
        <v>185</v>
      </c>
      <c r="K2" s="12" t="s">
        <v>186</v>
      </c>
      <c r="L2" s="12" t="s">
        <v>187</v>
      </c>
      <c r="M2" s="12" t="s">
        <v>188</v>
      </c>
      <c r="N2" s="12" t="s">
        <v>189</v>
      </c>
      <c r="O2" s="12" t="s">
        <v>190</v>
      </c>
      <c r="P2" s="12" t="s">
        <v>191</v>
      </c>
      <c r="Q2" s="12" t="s">
        <v>192</v>
      </c>
      <c r="R2" s="12" t="s">
        <v>193</v>
      </c>
      <c r="S2" s="12" t="s">
        <v>194</v>
      </c>
      <c r="T2" s="12" t="s">
        <v>195</v>
      </c>
      <c r="U2" s="12" t="s">
        <v>196</v>
      </c>
      <c r="V2" s="12" t="s">
        <v>197</v>
      </c>
      <c r="W2" s="12" t="s">
        <v>198</v>
      </c>
      <c r="X2" s="12" t="s">
        <v>199</v>
      </c>
      <c r="Y2" s="12" t="s">
        <v>200</v>
      </c>
      <c r="Z2" s="12" t="s">
        <v>201</v>
      </c>
      <c r="AA2" s="12" t="s">
        <v>202</v>
      </c>
      <c r="AB2" s="12" t="s">
        <v>203</v>
      </c>
      <c r="AC2" s="12" t="s">
        <v>204</v>
      </c>
      <c r="AD2" s="12" t="s">
        <v>205</v>
      </c>
      <c r="AE2" s="12" t="s">
        <v>206</v>
      </c>
      <c r="AF2" s="12" t="s">
        <v>207</v>
      </c>
      <c r="AG2" s="12" t="s">
        <v>208</v>
      </c>
      <c r="AH2" s="12" t="s">
        <v>209</v>
      </c>
      <c r="AI2" s="12" t="s">
        <v>210</v>
      </c>
      <c r="AJ2" s="12" t="s">
        <v>211</v>
      </c>
      <c r="AK2" s="12" t="s">
        <v>212</v>
      </c>
      <c r="AL2" s="12" t="s">
        <v>213</v>
      </c>
      <c r="AM2" s="12" t="s">
        <v>214</v>
      </c>
      <c r="AN2" s="12" t="s">
        <v>215</v>
      </c>
      <c r="AO2" s="12" t="s">
        <v>216</v>
      </c>
      <c r="AP2" s="12" t="s">
        <v>217</v>
      </c>
      <c r="AQ2" s="12" t="s">
        <v>218</v>
      </c>
      <c r="AR2" s="12" t="s">
        <v>219</v>
      </c>
      <c r="AS2" s="12" t="s">
        <v>220</v>
      </c>
      <c r="AT2" s="12" t="s">
        <v>221</v>
      </c>
      <c r="AU2" s="12" t="s">
        <v>222</v>
      </c>
      <c r="AV2" s="12" t="s">
        <v>223</v>
      </c>
      <c r="AW2" s="12" t="s">
        <v>224</v>
      </c>
      <c r="AX2" s="12" t="s">
        <v>225</v>
      </c>
      <c r="AY2" s="12" t="s">
        <v>226</v>
      </c>
      <c r="AZ2" s="12" t="s">
        <v>227</v>
      </c>
      <c r="BA2" s="12" t="s">
        <v>228</v>
      </c>
      <c r="BB2" s="12" t="s">
        <v>229</v>
      </c>
      <c r="BC2" s="12" t="s">
        <v>230</v>
      </c>
      <c r="BD2" s="12" t="s">
        <v>231</v>
      </c>
      <c r="BE2" s="12" t="s">
        <v>232</v>
      </c>
      <c r="BF2" s="12" t="s">
        <v>233</v>
      </c>
      <c r="BG2" s="12" t="s">
        <v>234</v>
      </c>
      <c r="BH2" s="12" t="s">
        <v>235</v>
      </c>
      <c r="BI2" s="12" t="s">
        <v>236</v>
      </c>
      <c r="BJ2" s="12" t="s">
        <v>237</v>
      </c>
      <c r="BK2" s="12" t="s">
        <v>238</v>
      </c>
      <c r="BL2" s="12" t="s">
        <v>239</v>
      </c>
      <c r="BM2" s="12" t="s">
        <v>240</v>
      </c>
      <c r="BN2" s="12" t="s">
        <v>241</v>
      </c>
      <c r="BO2" s="12" t="s">
        <v>242</v>
      </c>
      <c r="BP2" s="12" t="s">
        <v>243</v>
      </c>
      <c r="BQ2" s="12" t="s">
        <v>244</v>
      </c>
      <c r="BR2" s="12" t="s">
        <v>245</v>
      </c>
      <c r="BS2" s="12" t="s">
        <v>246</v>
      </c>
      <c r="BT2" s="12" t="s">
        <v>247</v>
      </c>
      <c r="BU2" s="12" t="s">
        <v>248</v>
      </c>
      <c r="BV2" s="12" t="s">
        <v>249</v>
      </c>
      <c r="BW2" s="12" t="s">
        <v>250</v>
      </c>
      <c r="BX2" s="12" t="s">
        <v>251</v>
      </c>
      <c r="BY2" s="12" t="s">
        <v>252</v>
      </c>
      <c r="BZ2" s="12" t="s">
        <v>253</v>
      </c>
      <c r="CA2" s="12" t="s">
        <v>254</v>
      </c>
      <c r="CB2" s="12" t="s">
        <v>255</v>
      </c>
      <c r="CC2" s="12" t="s">
        <v>256</v>
      </c>
      <c r="CD2" s="12" t="s">
        <v>257</v>
      </c>
      <c r="CE2" s="12" t="s">
        <v>258</v>
      </c>
      <c r="CF2" s="12" t="s">
        <v>259</v>
      </c>
      <c r="CG2" s="12" t="s">
        <v>260</v>
      </c>
      <c r="CH2" s="12" t="s">
        <v>261</v>
      </c>
      <c r="CI2" s="12" t="s">
        <v>262</v>
      </c>
      <c r="CJ2" s="12" t="s">
        <v>263</v>
      </c>
      <c r="CK2" s="12" t="s">
        <v>264</v>
      </c>
      <c r="CL2" s="12" t="s">
        <v>265</v>
      </c>
      <c r="CM2" s="12" t="s">
        <v>266</v>
      </c>
      <c r="CN2" s="12" t="s">
        <v>267</v>
      </c>
      <c r="CO2" s="12" t="s">
        <v>268</v>
      </c>
      <c r="CP2" s="12" t="s">
        <v>269</v>
      </c>
      <c r="CQ2" s="12" t="s">
        <v>270</v>
      </c>
      <c r="CR2" s="12" t="s">
        <v>271</v>
      </c>
      <c r="CS2" s="12" t="s">
        <v>272</v>
      </c>
      <c r="CT2" s="12" t="s">
        <v>273</v>
      </c>
      <c r="CU2" s="12" t="s">
        <v>4052</v>
      </c>
      <c r="CV2" s="12" t="s">
        <v>4053</v>
      </c>
      <c r="CW2" s="12" t="s">
        <v>4054</v>
      </c>
      <c r="CX2" s="12" t="s">
        <v>4055</v>
      </c>
    </row>
    <row r="3" spans="1:102" hidden="1" x14ac:dyDescent="0.3">
      <c r="A3" s="12" t="s">
        <v>12</v>
      </c>
      <c r="B3" s="12" t="s">
        <v>274</v>
      </c>
      <c r="C3" s="12" t="s">
        <v>275</v>
      </c>
      <c r="D3" s="12" t="s">
        <v>276</v>
      </c>
      <c r="E3" s="12" t="s">
        <v>277</v>
      </c>
      <c r="F3" s="12" t="s">
        <v>277</v>
      </c>
      <c r="G3" s="12" t="s">
        <v>277</v>
      </c>
      <c r="H3" s="12" t="s">
        <v>277</v>
      </c>
      <c r="I3" s="12" t="s">
        <v>277</v>
      </c>
      <c r="J3" s="12" t="s">
        <v>277</v>
      </c>
      <c r="K3" s="12" t="s">
        <v>277</v>
      </c>
      <c r="L3" s="12" t="s">
        <v>277</v>
      </c>
      <c r="M3" s="12" t="s">
        <v>277</v>
      </c>
      <c r="N3" s="12" t="s">
        <v>277</v>
      </c>
      <c r="O3" s="12" t="s">
        <v>277</v>
      </c>
      <c r="P3" s="12" t="s">
        <v>277</v>
      </c>
      <c r="Q3" s="12" t="s">
        <v>277</v>
      </c>
      <c r="R3" s="12" t="s">
        <v>277</v>
      </c>
      <c r="S3" s="12" t="s">
        <v>277</v>
      </c>
      <c r="T3" s="12" t="s">
        <v>277</v>
      </c>
      <c r="U3" s="12" t="s">
        <v>277</v>
      </c>
      <c r="V3" s="12" t="s">
        <v>277</v>
      </c>
      <c r="W3" s="12" t="s">
        <v>277</v>
      </c>
      <c r="X3" s="12" t="s">
        <v>277</v>
      </c>
      <c r="Y3" s="12" t="s">
        <v>277</v>
      </c>
      <c r="Z3" s="12" t="s">
        <v>277</v>
      </c>
      <c r="AA3" s="12" t="s">
        <v>277</v>
      </c>
      <c r="AB3" s="12" t="s">
        <v>277</v>
      </c>
      <c r="AC3" s="12" t="s">
        <v>277</v>
      </c>
      <c r="AD3" s="12" t="s">
        <v>277</v>
      </c>
      <c r="AE3" s="12" t="s">
        <v>277</v>
      </c>
      <c r="AF3" s="12" t="s">
        <v>277</v>
      </c>
      <c r="AG3" s="12" t="s">
        <v>277</v>
      </c>
      <c r="AH3" s="12" t="s">
        <v>277</v>
      </c>
      <c r="AI3" s="12" t="s">
        <v>277</v>
      </c>
      <c r="AJ3" s="12" t="s">
        <v>277</v>
      </c>
      <c r="AK3" s="12" t="s">
        <v>277</v>
      </c>
      <c r="AL3" s="12" t="s">
        <v>278</v>
      </c>
      <c r="AM3" s="12" t="s">
        <v>278</v>
      </c>
      <c r="AN3" s="12" t="s">
        <v>278</v>
      </c>
      <c r="AO3" s="12" t="s">
        <v>278</v>
      </c>
      <c r="AP3" s="12" t="s">
        <v>278</v>
      </c>
      <c r="AQ3" s="12" t="s">
        <v>278</v>
      </c>
      <c r="AR3" s="12" t="s">
        <v>278</v>
      </c>
      <c r="AS3" s="12" t="s">
        <v>278</v>
      </c>
      <c r="AT3" s="12" t="s">
        <v>278</v>
      </c>
      <c r="AU3" s="12" t="s">
        <v>278</v>
      </c>
      <c r="AV3" s="12" t="s">
        <v>278</v>
      </c>
      <c r="AW3" s="12" t="s">
        <v>278</v>
      </c>
      <c r="AX3" s="12" t="s">
        <v>278</v>
      </c>
      <c r="AY3" s="12" t="s">
        <v>279</v>
      </c>
      <c r="AZ3" s="12" t="s">
        <v>279</v>
      </c>
      <c r="BA3" s="12" t="s">
        <v>280</v>
      </c>
      <c r="BB3" s="12" t="s">
        <v>281</v>
      </c>
      <c r="BC3" s="12" t="s">
        <v>281</v>
      </c>
      <c r="BD3" s="12" t="s">
        <v>281</v>
      </c>
      <c r="BE3" s="12" t="s">
        <v>282</v>
      </c>
      <c r="BF3" s="12" t="s">
        <v>283</v>
      </c>
      <c r="BG3" s="12" t="s">
        <v>284</v>
      </c>
      <c r="BH3" s="12" t="s">
        <v>285</v>
      </c>
      <c r="BI3" s="12" t="s">
        <v>285</v>
      </c>
      <c r="BJ3" s="12" t="s">
        <v>285</v>
      </c>
      <c r="BK3" s="12" t="s">
        <v>286</v>
      </c>
      <c r="BL3" s="12" t="s">
        <v>286</v>
      </c>
      <c r="BM3" s="12" t="s">
        <v>287</v>
      </c>
      <c r="BN3" s="12" t="s">
        <v>287</v>
      </c>
      <c r="BO3" s="12" t="s">
        <v>288</v>
      </c>
      <c r="BP3" s="12" t="s">
        <v>289</v>
      </c>
      <c r="BQ3" s="12" t="s">
        <v>290</v>
      </c>
      <c r="BR3" s="12" t="s">
        <v>291</v>
      </c>
      <c r="BS3" s="12" t="s">
        <v>291</v>
      </c>
      <c r="BT3" s="12" t="s">
        <v>292</v>
      </c>
      <c r="BU3" s="12" t="s">
        <v>293</v>
      </c>
      <c r="BV3" s="12" t="s">
        <v>294</v>
      </c>
      <c r="BW3" s="12" t="s">
        <v>295</v>
      </c>
      <c r="BX3" s="12" t="s">
        <v>296</v>
      </c>
      <c r="BY3" s="12" t="s">
        <v>297</v>
      </c>
      <c r="BZ3" s="12" t="s">
        <v>298</v>
      </c>
      <c r="CA3" s="12" t="s">
        <v>299</v>
      </c>
      <c r="CB3" s="12" t="s">
        <v>300</v>
      </c>
      <c r="CC3" s="12" t="s">
        <v>301</v>
      </c>
      <c r="CD3" s="12" t="s">
        <v>302</v>
      </c>
      <c r="CE3" s="12" t="s">
        <v>303</v>
      </c>
      <c r="CF3" s="12" t="s">
        <v>304</v>
      </c>
      <c r="CG3" s="12" t="s">
        <v>305</v>
      </c>
      <c r="CH3" s="12" t="s">
        <v>306</v>
      </c>
      <c r="CI3" s="12" t="s">
        <v>307</v>
      </c>
      <c r="CJ3" s="12" t="s">
        <v>308</v>
      </c>
      <c r="CK3" s="12" t="s">
        <v>309</v>
      </c>
      <c r="CL3" s="12" t="s">
        <v>310</v>
      </c>
      <c r="CM3" s="12" t="s">
        <v>311</v>
      </c>
      <c r="CN3" s="12" t="s">
        <v>312</v>
      </c>
      <c r="CO3" s="12" t="s">
        <v>313</v>
      </c>
      <c r="CP3" s="12" t="s">
        <v>314</v>
      </c>
      <c r="CQ3" s="12" t="s">
        <v>315</v>
      </c>
      <c r="CR3" s="12" t="s">
        <v>316</v>
      </c>
      <c r="CS3" s="12" t="s">
        <v>317</v>
      </c>
      <c r="CT3" s="12" t="s">
        <v>318</v>
      </c>
      <c r="CU3" s="12" t="s">
        <v>3102</v>
      </c>
      <c r="CV3" s="12" t="s">
        <v>4056</v>
      </c>
      <c r="CW3" s="12" t="s">
        <v>4057</v>
      </c>
      <c r="CX3" s="12" t="s">
        <v>2036</v>
      </c>
    </row>
    <row r="4" spans="1:102" hidden="1" x14ac:dyDescent="0.3">
      <c r="A4" s="12" t="s">
        <v>12</v>
      </c>
      <c r="B4" s="12" t="s">
        <v>319</v>
      </c>
      <c r="C4" s="12" t="s">
        <v>320</v>
      </c>
      <c r="D4" s="12" t="s">
        <v>321</v>
      </c>
      <c r="E4" s="12" t="s">
        <v>277</v>
      </c>
      <c r="F4" s="12" t="s">
        <v>277</v>
      </c>
      <c r="G4" s="12" t="s">
        <v>277</v>
      </c>
      <c r="H4" s="12" t="s">
        <v>277</v>
      </c>
      <c r="I4" s="12" t="s">
        <v>277</v>
      </c>
      <c r="J4" s="12" t="s">
        <v>277</v>
      </c>
      <c r="K4" s="12" t="s">
        <v>277</v>
      </c>
      <c r="L4" s="12" t="s">
        <v>277</v>
      </c>
      <c r="M4" s="12" t="s">
        <v>277</v>
      </c>
      <c r="N4" s="12" t="s">
        <v>277</v>
      </c>
      <c r="O4" s="12" t="s">
        <v>277</v>
      </c>
      <c r="P4" s="12" t="s">
        <v>277</v>
      </c>
      <c r="Q4" s="12" t="s">
        <v>277</v>
      </c>
      <c r="R4" s="12" t="s">
        <v>277</v>
      </c>
      <c r="S4" s="12" t="s">
        <v>277</v>
      </c>
      <c r="T4" s="12" t="s">
        <v>277</v>
      </c>
      <c r="U4" s="12" t="s">
        <v>277</v>
      </c>
      <c r="V4" s="12" t="s">
        <v>277</v>
      </c>
      <c r="W4" s="12" t="s">
        <v>277</v>
      </c>
      <c r="X4" s="12" t="s">
        <v>277</v>
      </c>
      <c r="Y4" s="12" t="s">
        <v>277</v>
      </c>
      <c r="Z4" s="12" t="s">
        <v>277</v>
      </c>
      <c r="AA4" s="12" t="s">
        <v>277</v>
      </c>
      <c r="AB4" s="12" t="s">
        <v>277</v>
      </c>
      <c r="AC4" s="12" t="s">
        <v>277</v>
      </c>
      <c r="AD4" s="12" t="s">
        <v>277</v>
      </c>
      <c r="AE4" s="12" t="s">
        <v>277</v>
      </c>
      <c r="AF4" s="12" t="s">
        <v>277</v>
      </c>
      <c r="AG4" s="12" t="s">
        <v>277</v>
      </c>
      <c r="AH4" s="12" t="s">
        <v>277</v>
      </c>
      <c r="AI4" s="12" t="s">
        <v>277</v>
      </c>
      <c r="AJ4" s="12" t="s">
        <v>277</v>
      </c>
      <c r="AK4" s="12" t="s">
        <v>277</v>
      </c>
      <c r="AL4" s="12" t="s">
        <v>277</v>
      </c>
      <c r="AM4" s="12" t="s">
        <v>277</v>
      </c>
      <c r="AN4" s="12" t="s">
        <v>277</v>
      </c>
      <c r="AO4" s="12" t="s">
        <v>277</v>
      </c>
      <c r="AP4" s="12" t="s">
        <v>277</v>
      </c>
      <c r="AQ4" s="12" t="s">
        <v>277</v>
      </c>
      <c r="AR4" s="12" t="s">
        <v>277</v>
      </c>
      <c r="AS4" s="12" t="s">
        <v>277</v>
      </c>
      <c r="AT4" s="12" t="s">
        <v>277</v>
      </c>
      <c r="AU4" s="12" t="s">
        <v>277</v>
      </c>
      <c r="AV4" s="12" t="s">
        <v>277</v>
      </c>
      <c r="AW4" s="12" t="s">
        <v>277</v>
      </c>
      <c r="AX4" s="12" t="s">
        <v>277</v>
      </c>
      <c r="AY4" s="12" t="s">
        <v>277</v>
      </c>
      <c r="AZ4" s="12" t="s">
        <v>322</v>
      </c>
      <c r="BA4" s="12" t="s">
        <v>323</v>
      </c>
      <c r="BB4" s="12" t="s">
        <v>324</v>
      </c>
      <c r="BC4" s="12" t="s">
        <v>325</v>
      </c>
      <c r="BD4" s="12" t="s">
        <v>326</v>
      </c>
      <c r="BE4" s="12" t="s">
        <v>327</v>
      </c>
      <c r="BF4" s="12" t="s">
        <v>328</v>
      </c>
      <c r="BG4" s="12" t="s">
        <v>329</v>
      </c>
      <c r="BH4" s="12" t="s">
        <v>330</v>
      </c>
      <c r="BI4" s="12" t="s">
        <v>331</v>
      </c>
      <c r="BJ4" s="12" t="s">
        <v>332</v>
      </c>
      <c r="BK4" s="12" t="s">
        <v>333</v>
      </c>
      <c r="BL4" s="12" t="s">
        <v>334</v>
      </c>
      <c r="BM4" s="12" t="s">
        <v>335</v>
      </c>
      <c r="BN4" s="12" t="s">
        <v>336</v>
      </c>
      <c r="BO4" s="12" t="s">
        <v>337</v>
      </c>
      <c r="BP4" s="12" t="s">
        <v>338</v>
      </c>
      <c r="BQ4" s="12" t="s">
        <v>294</v>
      </c>
      <c r="BR4" s="12" t="s">
        <v>339</v>
      </c>
      <c r="BS4" s="12" t="s">
        <v>340</v>
      </c>
      <c r="BT4" s="12" t="s">
        <v>341</v>
      </c>
      <c r="BU4" s="12" t="s">
        <v>342</v>
      </c>
      <c r="BV4" s="12" t="s">
        <v>343</v>
      </c>
      <c r="BW4" s="12" t="s">
        <v>344</v>
      </c>
      <c r="BX4" s="12" t="s">
        <v>345</v>
      </c>
      <c r="BY4" s="12" t="s">
        <v>346</v>
      </c>
      <c r="BZ4" s="12" t="s">
        <v>347</v>
      </c>
      <c r="CA4" s="12" t="s">
        <v>348</v>
      </c>
      <c r="CB4" s="12" t="s">
        <v>349</v>
      </c>
      <c r="CC4" s="12" t="s">
        <v>350</v>
      </c>
      <c r="CD4" s="12" t="s">
        <v>351</v>
      </c>
      <c r="CE4" s="12" t="s">
        <v>352</v>
      </c>
      <c r="CF4" s="12" t="s">
        <v>353</v>
      </c>
      <c r="CG4" s="12" t="s">
        <v>354</v>
      </c>
      <c r="CH4" s="12" t="s">
        <v>355</v>
      </c>
      <c r="CI4" s="12" t="s">
        <v>356</v>
      </c>
      <c r="CJ4" s="12" t="s">
        <v>357</v>
      </c>
      <c r="CK4" s="12" t="s">
        <v>358</v>
      </c>
      <c r="CL4" s="12" t="s">
        <v>359</v>
      </c>
      <c r="CM4" s="12" t="s">
        <v>360</v>
      </c>
      <c r="CN4" s="12" t="s">
        <v>361</v>
      </c>
      <c r="CO4" s="12" t="s">
        <v>362</v>
      </c>
      <c r="CP4" s="12" t="s">
        <v>363</v>
      </c>
      <c r="CQ4" s="12" t="s">
        <v>364</v>
      </c>
      <c r="CR4" s="12" t="s">
        <v>365</v>
      </c>
      <c r="CS4" s="12" t="s">
        <v>366</v>
      </c>
      <c r="CT4" s="12" t="s">
        <v>367</v>
      </c>
      <c r="CU4" s="12" t="s">
        <v>1915</v>
      </c>
      <c r="CV4" s="12" t="s">
        <v>1921</v>
      </c>
      <c r="CW4" s="12" t="s">
        <v>524</v>
      </c>
      <c r="CX4" s="12" t="s">
        <v>1737</v>
      </c>
    </row>
    <row r="5" spans="1:102" hidden="1" x14ac:dyDescent="0.3">
      <c r="A5" s="12" t="s">
        <v>12</v>
      </c>
      <c r="B5" s="12" t="s">
        <v>368</v>
      </c>
      <c r="C5" s="12" t="s">
        <v>369</v>
      </c>
      <c r="D5" s="12" t="s">
        <v>370</v>
      </c>
      <c r="E5" s="12" t="s">
        <v>277</v>
      </c>
      <c r="F5" s="12" t="s">
        <v>277</v>
      </c>
      <c r="G5" s="12" t="s">
        <v>277</v>
      </c>
      <c r="H5" s="12" t="s">
        <v>277</v>
      </c>
      <c r="I5" s="12" t="s">
        <v>277</v>
      </c>
      <c r="J5" s="12" t="s">
        <v>277</v>
      </c>
      <c r="K5" s="12" t="s">
        <v>277</v>
      </c>
      <c r="L5" s="12" t="s">
        <v>277</v>
      </c>
      <c r="M5" s="12" t="s">
        <v>277</v>
      </c>
      <c r="N5" s="12" t="s">
        <v>277</v>
      </c>
      <c r="O5" s="12" t="s">
        <v>277</v>
      </c>
      <c r="P5" s="12" t="s">
        <v>277</v>
      </c>
      <c r="Q5" s="12" t="s">
        <v>277</v>
      </c>
      <c r="R5" s="12" t="s">
        <v>277</v>
      </c>
      <c r="S5" s="12" t="s">
        <v>277</v>
      </c>
      <c r="T5" s="12" t="s">
        <v>277</v>
      </c>
      <c r="U5" s="12" t="s">
        <v>277</v>
      </c>
      <c r="V5" s="12" t="s">
        <v>277</v>
      </c>
      <c r="W5" s="12" t="s">
        <v>277</v>
      </c>
      <c r="X5" s="12" t="s">
        <v>277</v>
      </c>
      <c r="Y5" s="12" t="s">
        <v>277</v>
      </c>
      <c r="Z5" s="12" t="s">
        <v>277</v>
      </c>
      <c r="AA5" s="12" t="s">
        <v>277</v>
      </c>
      <c r="AB5" s="12" t="s">
        <v>277</v>
      </c>
      <c r="AC5" s="12" t="s">
        <v>277</v>
      </c>
      <c r="AD5" s="12" t="s">
        <v>277</v>
      </c>
      <c r="AE5" s="12" t="s">
        <v>277</v>
      </c>
      <c r="AF5" s="12" t="s">
        <v>277</v>
      </c>
      <c r="AG5" s="12" t="s">
        <v>277</v>
      </c>
      <c r="AH5" s="12" t="s">
        <v>277</v>
      </c>
      <c r="AI5" s="12" t="s">
        <v>277</v>
      </c>
      <c r="AJ5" s="12" t="s">
        <v>277</v>
      </c>
      <c r="AK5" s="12" t="s">
        <v>277</v>
      </c>
      <c r="AL5" s="12" t="s">
        <v>277</v>
      </c>
      <c r="AM5" s="12" t="s">
        <v>278</v>
      </c>
      <c r="AN5" s="12" t="s">
        <v>278</v>
      </c>
      <c r="AO5" s="12" t="s">
        <v>278</v>
      </c>
      <c r="AP5" s="12" t="s">
        <v>278</v>
      </c>
      <c r="AQ5" s="12" t="s">
        <v>278</v>
      </c>
      <c r="AR5" s="12" t="s">
        <v>278</v>
      </c>
      <c r="AS5" s="12" t="s">
        <v>371</v>
      </c>
      <c r="AT5" s="12" t="s">
        <v>280</v>
      </c>
      <c r="AU5" s="12" t="s">
        <v>324</v>
      </c>
      <c r="AV5" s="12" t="s">
        <v>324</v>
      </c>
      <c r="AW5" s="12" t="s">
        <v>372</v>
      </c>
      <c r="AX5" s="12" t="s">
        <v>372</v>
      </c>
      <c r="AY5" s="12" t="s">
        <v>373</v>
      </c>
      <c r="AZ5" s="12" t="s">
        <v>374</v>
      </c>
      <c r="BA5" s="12" t="s">
        <v>374</v>
      </c>
      <c r="BB5" s="12" t="s">
        <v>374</v>
      </c>
      <c r="BC5" s="12" t="s">
        <v>286</v>
      </c>
      <c r="BD5" s="12" t="s">
        <v>375</v>
      </c>
      <c r="BE5" s="12" t="s">
        <v>376</v>
      </c>
      <c r="BF5" s="12" t="s">
        <v>377</v>
      </c>
      <c r="BG5" s="12" t="s">
        <v>378</v>
      </c>
      <c r="BH5" s="12" t="s">
        <v>379</v>
      </c>
      <c r="BI5" s="12" t="s">
        <v>288</v>
      </c>
      <c r="BJ5" s="12" t="s">
        <v>380</v>
      </c>
      <c r="BK5" s="12" t="s">
        <v>381</v>
      </c>
      <c r="BL5" s="12" t="s">
        <v>382</v>
      </c>
      <c r="BM5" s="12" t="s">
        <v>383</v>
      </c>
      <c r="BN5" s="12" t="s">
        <v>384</v>
      </c>
      <c r="BO5" s="12" t="s">
        <v>385</v>
      </c>
      <c r="BP5" s="12" t="s">
        <v>386</v>
      </c>
      <c r="BQ5" s="12" t="s">
        <v>300</v>
      </c>
      <c r="BR5" s="12" t="s">
        <v>352</v>
      </c>
      <c r="BS5" s="12" t="s">
        <v>387</v>
      </c>
      <c r="BT5" s="12" t="s">
        <v>388</v>
      </c>
      <c r="BU5" s="12" t="s">
        <v>363</v>
      </c>
      <c r="BV5" s="12" t="s">
        <v>389</v>
      </c>
      <c r="BW5" s="12" t="s">
        <v>390</v>
      </c>
      <c r="BX5" s="12" t="s">
        <v>391</v>
      </c>
      <c r="BY5" s="12" t="s">
        <v>392</v>
      </c>
      <c r="BZ5" s="12" t="s">
        <v>393</v>
      </c>
      <c r="CA5" s="12" t="s">
        <v>394</v>
      </c>
      <c r="CB5" s="12" t="s">
        <v>395</v>
      </c>
      <c r="CC5" s="12" t="s">
        <v>396</v>
      </c>
      <c r="CD5" s="12" t="s">
        <v>397</v>
      </c>
      <c r="CE5" s="12" t="s">
        <v>398</v>
      </c>
      <c r="CF5" s="12" t="s">
        <v>399</v>
      </c>
      <c r="CG5" s="12" t="s">
        <v>400</v>
      </c>
      <c r="CH5" s="12" t="s">
        <v>401</v>
      </c>
      <c r="CI5" s="12" t="s">
        <v>402</v>
      </c>
      <c r="CJ5" s="12" t="s">
        <v>403</v>
      </c>
      <c r="CK5" s="12" t="s">
        <v>404</v>
      </c>
      <c r="CL5" s="12" t="s">
        <v>405</v>
      </c>
      <c r="CM5" s="12" t="s">
        <v>406</v>
      </c>
      <c r="CN5" s="12" t="s">
        <v>407</v>
      </c>
      <c r="CO5" s="12" t="s">
        <v>408</v>
      </c>
      <c r="CP5" s="12" t="s">
        <v>409</v>
      </c>
      <c r="CQ5" s="12" t="s">
        <v>410</v>
      </c>
      <c r="CR5" s="12" t="s">
        <v>411</v>
      </c>
      <c r="CS5" s="12" t="s">
        <v>412</v>
      </c>
      <c r="CT5" s="12" t="s">
        <v>413</v>
      </c>
      <c r="CU5" s="12" t="s">
        <v>4058</v>
      </c>
      <c r="CV5" s="12" t="s">
        <v>872</v>
      </c>
      <c r="CW5" s="12" t="s">
        <v>4059</v>
      </c>
      <c r="CX5" s="12" t="s">
        <v>4060</v>
      </c>
    </row>
    <row r="6" spans="1:102" hidden="1" x14ac:dyDescent="0.3">
      <c r="A6" s="12" t="s">
        <v>12</v>
      </c>
      <c r="B6" s="12" t="s">
        <v>414</v>
      </c>
      <c r="C6" s="12" t="s">
        <v>415</v>
      </c>
      <c r="D6" s="12" t="s">
        <v>416</v>
      </c>
      <c r="E6" s="12" t="s">
        <v>277</v>
      </c>
      <c r="F6" s="12" t="s">
        <v>277</v>
      </c>
      <c r="G6" s="12" t="s">
        <v>277</v>
      </c>
      <c r="H6" s="12" t="s">
        <v>277</v>
      </c>
      <c r="I6" s="12" t="s">
        <v>277</v>
      </c>
      <c r="J6" s="12" t="s">
        <v>277</v>
      </c>
      <c r="K6" s="12" t="s">
        <v>277</v>
      </c>
      <c r="L6" s="12" t="s">
        <v>277</v>
      </c>
      <c r="M6" s="12" t="s">
        <v>277</v>
      </c>
      <c r="N6" s="12" t="s">
        <v>277</v>
      </c>
      <c r="O6" s="12" t="s">
        <v>277</v>
      </c>
      <c r="P6" s="12" t="s">
        <v>277</v>
      </c>
      <c r="Q6" s="12" t="s">
        <v>277</v>
      </c>
      <c r="R6" s="12" t="s">
        <v>277</v>
      </c>
      <c r="S6" s="12" t="s">
        <v>277</v>
      </c>
      <c r="T6" s="12" t="s">
        <v>277</v>
      </c>
      <c r="U6" s="12" t="s">
        <v>277</v>
      </c>
      <c r="V6" s="12" t="s">
        <v>277</v>
      </c>
      <c r="W6" s="12" t="s">
        <v>277</v>
      </c>
      <c r="X6" s="12" t="s">
        <v>277</v>
      </c>
      <c r="Y6" s="12" t="s">
        <v>277</v>
      </c>
      <c r="Z6" s="12" t="s">
        <v>277</v>
      </c>
      <c r="AA6" s="12" t="s">
        <v>277</v>
      </c>
      <c r="AB6" s="12" t="s">
        <v>277</v>
      </c>
      <c r="AC6" s="12" t="s">
        <v>277</v>
      </c>
      <c r="AD6" s="12" t="s">
        <v>277</v>
      </c>
      <c r="AE6" s="12" t="s">
        <v>277</v>
      </c>
      <c r="AF6" s="12" t="s">
        <v>277</v>
      </c>
      <c r="AG6" s="12" t="s">
        <v>277</v>
      </c>
      <c r="AH6" s="12" t="s">
        <v>277</v>
      </c>
      <c r="AI6" s="12" t="s">
        <v>277</v>
      </c>
      <c r="AJ6" s="12" t="s">
        <v>277</v>
      </c>
      <c r="AK6" s="12" t="s">
        <v>277</v>
      </c>
      <c r="AL6" s="12" t="s">
        <v>277</v>
      </c>
      <c r="AM6" s="12" t="s">
        <v>277</v>
      </c>
      <c r="AN6" s="12" t="s">
        <v>277</v>
      </c>
      <c r="AO6" s="12" t="s">
        <v>277</v>
      </c>
      <c r="AP6" s="12" t="s">
        <v>277</v>
      </c>
      <c r="AQ6" s="12" t="s">
        <v>277</v>
      </c>
      <c r="AR6" s="12" t="s">
        <v>277</v>
      </c>
      <c r="AS6" s="12" t="s">
        <v>278</v>
      </c>
      <c r="AT6" s="12" t="s">
        <v>278</v>
      </c>
      <c r="AU6" s="12" t="s">
        <v>278</v>
      </c>
      <c r="AV6" s="12" t="s">
        <v>278</v>
      </c>
      <c r="AW6" s="12" t="s">
        <v>278</v>
      </c>
      <c r="AX6" s="12" t="s">
        <v>278</v>
      </c>
      <c r="AY6" s="12" t="s">
        <v>278</v>
      </c>
      <c r="AZ6" s="12" t="s">
        <v>278</v>
      </c>
      <c r="BA6" s="12" t="s">
        <v>278</v>
      </c>
      <c r="BB6" s="12" t="s">
        <v>278</v>
      </c>
      <c r="BC6" s="12" t="s">
        <v>278</v>
      </c>
      <c r="BD6" s="12" t="s">
        <v>278</v>
      </c>
      <c r="BE6" s="12" t="s">
        <v>278</v>
      </c>
      <c r="BF6" s="12" t="s">
        <v>278</v>
      </c>
      <c r="BG6" s="12" t="s">
        <v>322</v>
      </c>
      <c r="BH6" s="12" t="s">
        <v>417</v>
      </c>
      <c r="BI6" s="12" t="s">
        <v>417</v>
      </c>
      <c r="BJ6" s="12" t="s">
        <v>418</v>
      </c>
      <c r="BK6" s="12" t="s">
        <v>419</v>
      </c>
      <c r="BL6" s="12" t="s">
        <v>420</v>
      </c>
      <c r="BM6" s="12" t="s">
        <v>421</v>
      </c>
      <c r="BN6" s="12" t="s">
        <v>422</v>
      </c>
      <c r="BO6" s="12" t="s">
        <v>423</v>
      </c>
      <c r="BP6" s="12" t="s">
        <v>424</v>
      </c>
      <c r="BQ6" s="12" t="s">
        <v>425</v>
      </c>
      <c r="BR6" s="12" t="s">
        <v>426</v>
      </c>
      <c r="BS6" s="12" t="s">
        <v>427</v>
      </c>
      <c r="BT6" s="12" t="s">
        <v>428</v>
      </c>
      <c r="BU6" s="12" t="s">
        <v>429</v>
      </c>
      <c r="BV6" s="12" t="s">
        <v>430</v>
      </c>
      <c r="BW6" s="12" t="s">
        <v>431</v>
      </c>
      <c r="BX6" s="12" t="s">
        <v>432</v>
      </c>
      <c r="BY6" s="12" t="s">
        <v>433</v>
      </c>
      <c r="BZ6" s="12" t="s">
        <v>434</v>
      </c>
      <c r="CA6" s="12" t="s">
        <v>435</v>
      </c>
      <c r="CB6" s="12" t="s">
        <v>436</v>
      </c>
      <c r="CC6" s="12" t="s">
        <v>437</v>
      </c>
      <c r="CD6" s="12" t="s">
        <v>438</v>
      </c>
      <c r="CE6" s="12" t="s">
        <v>439</v>
      </c>
      <c r="CF6" s="12" t="s">
        <v>440</v>
      </c>
      <c r="CG6" s="12" t="s">
        <v>440</v>
      </c>
      <c r="CH6" s="12" t="s">
        <v>441</v>
      </c>
      <c r="CI6" s="12" t="s">
        <v>442</v>
      </c>
      <c r="CJ6" s="12" t="s">
        <v>443</v>
      </c>
      <c r="CK6" s="12" t="s">
        <v>444</v>
      </c>
      <c r="CL6" s="12" t="s">
        <v>444</v>
      </c>
      <c r="CM6" s="12" t="s">
        <v>445</v>
      </c>
      <c r="CN6" s="12" t="s">
        <v>446</v>
      </c>
      <c r="CO6" s="12" t="s">
        <v>447</v>
      </c>
      <c r="CP6" s="12" t="s">
        <v>448</v>
      </c>
      <c r="CQ6" s="12" t="s">
        <v>448</v>
      </c>
      <c r="CR6" s="12" t="s">
        <v>449</v>
      </c>
      <c r="CS6" s="12" t="s">
        <v>449</v>
      </c>
      <c r="CT6" s="12" t="s">
        <v>450</v>
      </c>
      <c r="CU6" s="12" t="s">
        <v>4061</v>
      </c>
      <c r="CV6" s="12" t="s">
        <v>4061</v>
      </c>
      <c r="CW6" s="12" t="s">
        <v>629</v>
      </c>
      <c r="CX6" s="12" t="s">
        <v>629</v>
      </c>
    </row>
    <row r="7" spans="1:102" hidden="1" x14ac:dyDescent="0.3">
      <c r="A7" s="12" t="s">
        <v>12</v>
      </c>
      <c r="B7" s="12" t="s">
        <v>451</v>
      </c>
      <c r="C7" s="12" t="s">
        <v>452</v>
      </c>
      <c r="D7" s="12" t="s">
        <v>453</v>
      </c>
      <c r="E7" s="12" t="s">
        <v>277</v>
      </c>
      <c r="F7" s="12" t="s">
        <v>277</v>
      </c>
      <c r="G7" s="12" t="s">
        <v>277</v>
      </c>
      <c r="H7" s="12" t="s">
        <v>277</v>
      </c>
      <c r="I7" s="12" t="s">
        <v>277</v>
      </c>
      <c r="J7" s="12" t="s">
        <v>277</v>
      </c>
      <c r="K7" s="12" t="s">
        <v>277</v>
      </c>
      <c r="L7" s="12" t="s">
        <v>277</v>
      </c>
      <c r="M7" s="12" t="s">
        <v>277</v>
      </c>
      <c r="N7" s="12" t="s">
        <v>277</v>
      </c>
      <c r="O7" s="12" t="s">
        <v>277</v>
      </c>
      <c r="P7" s="12" t="s">
        <v>277</v>
      </c>
      <c r="Q7" s="12" t="s">
        <v>277</v>
      </c>
      <c r="R7" s="12" t="s">
        <v>277</v>
      </c>
      <c r="S7" s="12" t="s">
        <v>277</v>
      </c>
      <c r="T7" s="12" t="s">
        <v>277</v>
      </c>
      <c r="U7" s="12" t="s">
        <v>277</v>
      </c>
      <c r="V7" s="12" t="s">
        <v>277</v>
      </c>
      <c r="W7" s="12" t="s">
        <v>277</v>
      </c>
      <c r="X7" s="12" t="s">
        <v>277</v>
      </c>
      <c r="Y7" s="12" t="s">
        <v>277</v>
      </c>
      <c r="Z7" s="12" t="s">
        <v>277</v>
      </c>
      <c r="AA7" s="12" t="s">
        <v>277</v>
      </c>
      <c r="AB7" s="12" t="s">
        <v>277</v>
      </c>
      <c r="AC7" s="12" t="s">
        <v>277</v>
      </c>
      <c r="AD7" s="12" t="s">
        <v>277</v>
      </c>
      <c r="AE7" s="12" t="s">
        <v>277</v>
      </c>
      <c r="AF7" s="12" t="s">
        <v>277</v>
      </c>
      <c r="AG7" s="12" t="s">
        <v>277</v>
      </c>
      <c r="AH7" s="12" t="s">
        <v>277</v>
      </c>
      <c r="AI7" s="12" t="s">
        <v>277</v>
      </c>
      <c r="AJ7" s="12" t="s">
        <v>277</v>
      </c>
      <c r="AK7" s="12" t="s">
        <v>277</v>
      </c>
      <c r="AL7" s="12" t="s">
        <v>277</v>
      </c>
      <c r="AM7" s="12" t="s">
        <v>277</v>
      </c>
      <c r="AN7" s="12" t="s">
        <v>277</v>
      </c>
      <c r="AO7" s="12" t="s">
        <v>277</v>
      </c>
      <c r="AP7" s="12" t="s">
        <v>277</v>
      </c>
      <c r="AQ7" s="12" t="s">
        <v>277</v>
      </c>
      <c r="AR7" s="12" t="s">
        <v>277</v>
      </c>
      <c r="AS7" s="12" t="s">
        <v>277</v>
      </c>
      <c r="AT7" s="12" t="s">
        <v>277</v>
      </c>
      <c r="AU7" s="12" t="s">
        <v>277</v>
      </c>
      <c r="AV7" s="12" t="s">
        <v>277</v>
      </c>
      <c r="AW7" s="12" t="s">
        <v>277</v>
      </c>
      <c r="AX7" s="12" t="s">
        <v>277</v>
      </c>
      <c r="AY7" s="12" t="s">
        <v>277</v>
      </c>
      <c r="AZ7" s="12" t="s">
        <v>277</v>
      </c>
      <c r="BA7" s="12" t="s">
        <v>277</v>
      </c>
      <c r="BB7" s="12" t="s">
        <v>277</v>
      </c>
      <c r="BC7" s="12" t="s">
        <v>277</v>
      </c>
      <c r="BD7" s="12" t="s">
        <v>277</v>
      </c>
      <c r="BE7" s="12" t="s">
        <v>277</v>
      </c>
      <c r="BF7" s="12" t="s">
        <v>277</v>
      </c>
      <c r="BG7" s="12" t="s">
        <v>277</v>
      </c>
      <c r="BH7" s="12" t="s">
        <v>277</v>
      </c>
      <c r="BI7" s="12" t="s">
        <v>277</v>
      </c>
      <c r="BJ7" s="12" t="s">
        <v>277</v>
      </c>
      <c r="BK7" s="12" t="s">
        <v>278</v>
      </c>
      <c r="BL7" s="12" t="s">
        <v>322</v>
      </c>
      <c r="BM7" s="12" t="s">
        <v>322</v>
      </c>
      <c r="BN7" s="12" t="s">
        <v>371</v>
      </c>
      <c r="BO7" s="12" t="s">
        <v>371</v>
      </c>
      <c r="BP7" s="12" t="s">
        <v>371</v>
      </c>
      <c r="BQ7" s="12" t="s">
        <v>279</v>
      </c>
      <c r="BR7" s="12" t="s">
        <v>279</v>
      </c>
      <c r="BS7" s="12" t="s">
        <v>280</v>
      </c>
      <c r="BT7" s="12" t="s">
        <v>281</v>
      </c>
      <c r="BU7" s="12" t="s">
        <v>281</v>
      </c>
      <c r="BV7" s="12" t="s">
        <v>281</v>
      </c>
      <c r="BW7" s="12" t="s">
        <v>454</v>
      </c>
      <c r="BX7" s="12" t="s">
        <v>454</v>
      </c>
      <c r="BY7" s="12" t="s">
        <v>454</v>
      </c>
      <c r="BZ7" s="12" t="s">
        <v>323</v>
      </c>
      <c r="CA7" s="12" t="s">
        <v>455</v>
      </c>
      <c r="CB7" s="12" t="s">
        <v>283</v>
      </c>
      <c r="CC7" s="12" t="s">
        <v>372</v>
      </c>
      <c r="CD7" s="12" t="s">
        <v>373</v>
      </c>
      <c r="CE7" s="12" t="s">
        <v>373</v>
      </c>
      <c r="CF7" s="12" t="s">
        <v>373</v>
      </c>
      <c r="CG7" s="12" t="s">
        <v>373</v>
      </c>
      <c r="CH7" s="12" t="s">
        <v>373</v>
      </c>
      <c r="CI7" s="12" t="s">
        <v>373</v>
      </c>
      <c r="CJ7" s="12" t="s">
        <v>373</v>
      </c>
      <c r="CK7" s="12" t="s">
        <v>373</v>
      </c>
      <c r="CL7" s="12" t="s">
        <v>373</v>
      </c>
      <c r="CM7" s="12" t="s">
        <v>373</v>
      </c>
      <c r="CN7" s="12" t="s">
        <v>286</v>
      </c>
      <c r="CO7" s="12" t="s">
        <v>286</v>
      </c>
      <c r="CP7" s="12" t="s">
        <v>286</v>
      </c>
      <c r="CQ7" s="12" t="s">
        <v>286</v>
      </c>
      <c r="CR7" s="12" t="s">
        <v>456</v>
      </c>
      <c r="CS7" s="12" t="s">
        <v>456</v>
      </c>
      <c r="CT7" s="12" t="s">
        <v>456</v>
      </c>
      <c r="CU7" s="12" t="s">
        <v>456</v>
      </c>
      <c r="CV7" s="12" t="s">
        <v>375</v>
      </c>
      <c r="CW7" s="12" t="s">
        <v>612</v>
      </c>
      <c r="CX7" s="12" t="s">
        <v>612</v>
      </c>
    </row>
    <row r="8" spans="1:102" hidden="1" x14ac:dyDescent="0.3">
      <c r="A8" s="12" t="s">
        <v>12</v>
      </c>
      <c r="B8" s="12" t="s">
        <v>457</v>
      </c>
      <c r="C8" s="12" t="s">
        <v>458</v>
      </c>
      <c r="D8" s="12" t="s">
        <v>459</v>
      </c>
      <c r="E8" s="12" t="s">
        <v>277</v>
      </c>
      <c r="F8" s="12" t="s">
        <v>277</v>
      </c>
      <c r="G8" s="12" t="s">
        <v>277</v>
      </c>
      <c r="H8" s="12" t="s">
        <v>277</v>
      </c>
      <c r="I8" s="12" t="s">
        <v>277</v>
      </c>
      <c r="J8" s="12" t="s">
        <v>277</v>
      </c>
      <c r="K8" s="12" t="s">
        <v>277</v>
      </c>
      <c r="L8" s="12" t="s">
        <v>277</v>
      </c>
      <c r="M8" s="12" t="s">
        <v>277</v>
      </c>
      <c r="N8" s="12" t="s">
        <v>277</v>
      </c>
      <c r="O8" s="12" t="s">
        <v>277</v>
      </c>
      <c r="P8" s="12" t="s">
        <v>277</v>
      </c>
      <c r="Q8" s="12" t="s">
        <v>277</v>
      </c>
      <c r="R8" s="12" t="s">
        <v>277</v>
      </c>
      <c r="S8" s="12" t="s">
        <v>277</v>
      </c>
      <c r="T8" s="12" t="s">
        <v>277</v>
      </c>
      <c r="U8" s="12" t="s">
        <v>277</v>
      </c>
      <c r="V8" s="12" t="s">
        <v>277</v>
      </c>
      <c r="W8" s="12" t="s">
        <v>277</v>
      </c>
      <c r="X8" s="12" t="s">
        <v>277</v>
      </c>
      <c r="Y8" s="12" t="s">
        <v>277</v>
      </c>
      <c r="Z8" s="12" t="s">
        <v>277</v>
      </c>
      <c r="AA8" s="12" t="s">
        <v>277</v>
      </c>
      <c r="AB8" s="12" t="s">
        <v>277</v>
      </c>
      <c r="AC8" s="12" t="s">
        <v>277</v>
      </c>
      <c r="AD8" s="12" t="s">
        <v>277</v>
      </c>
      <c r="AE8" s="12" t="s">
        <v>277</v>
      </c>
      <c r="AF8" s="12" t="s">
        <v>277</v>
      </c>
      <c r="AG8" s="12" t="s">
        <v>277</v>
      </c>
      <c r="AH8" s="12" t="s">
        <v>277</v>
      </c>
      <c r="AI8" s="12" t="s">
        <v>277</v>
      </c>
      <c r="AJ8" s="12" t="s">
        <v>277</v>
      </c>
      <c r="AK8" s="12" t="s">
        <v>277</v>
      </c>
      <c r="AL8" s="12" t="s">
        <v>277</v>
      </c>
      <c r="AM8" s="12" t="s">
        <v>277</v>
      </c>
      <c r="AN8" s="12" t="s">
        <v>277</v>
      </c>
      <c r="AO8" s="12" t="s">
        <v>277</v>
      </c>
      <c r="AP8" s="12" t="s">
        <v>277</v>
      </c>
      <c r="AQ8" s="12" t="s">
        <v>277</v>
      </c>
      <c r="AR8" s="12" t="s">
        <v>277</v>
      </c>
      <c r="AS8" s="12" t="s">
        <v>277</v>
      </c>
      <c r="AT8" s="12" t="s">
        <v>277</v>
      </c>
      <c r="AU8" s="12" t="s">
        <v>277</v>
      </c>
      <c r="AV8" s="12" t="s">
        <v>277</v>
      </c>
      <c r="AW8" s="12" t="s">
        <v>277</v>
      </c>
      <c r="AX8" s="12" t="s">
        <v>277</v>
      </c>
      <c r="AY8" s="12" t="s">
        <v>277</v>
      </c>
      <c r="AZ8" s="12" t="s">
        <v>277</v>
      </c>
      <c r="BA8" s="12" t="s">
        <v>277</v>
      </c>
      <c r="BB8" s="12" t="s">
        <v>277</v>
      </c>
      <c r="BC8" s="12" t="s">
        <v>277</v>
      </c>
      <c r="BD8" s="12" t="s">
        <v>278</v>
      </c>
      <c r="BE8" s="12" t="s">
        <v>278</v>
      </c>
      <c r="BF8" s="12" t="s">
        <v>278</v>
      </c>
      <c r="BG8" s="12" t="s">
        <v>278</v>
      </c>
      <c r="BH8" s="12" t="s">
        <v>278</v>
      </c>
      <c r="BI8" s="12" t="s">
        <v>278</v>
      </c>
      <c r="BJ8" s="12" t="s">
        <v>278</v>
      </c>
      <c r="BK8" s="12" t="s">
        <v>278</v>
      </c>
      <c r="BL8" s="12" t="s">
        <v>278</v>
      </c>
      <c r="BM8" s="12" t="s">
        <v>278</v>
      </c>
      <c r="BN8" s="12" t="s">
        <v>371</v>
      </c>
      <c r="BO8" s="12" t="s">
        <v>371</v>
      </c>
      <c r="BP8" s="12" t="s">
        <v>371</v>
      </c>
      <c r="BQ8" s="12" t="s">
        <v>281</v>
      </c>
      <c r="BR8" s="12" t="s">
        <v>281</v>
      </c>
      <c r="BS8" s="12" t="s">
        <v>281</v>
      </c>
      <c r="BT8" s="12" t="s">
        <v>281</v>
      </c>
      <c r="BU8" s="12" t="s">
        <v>281</v>
      </c>
      <c r="BV8" s="12" t="s">
        <v>281</v>
      </c>
      <c r="BW8" s="12" t="s">
        <v>281</v>
      </c>
      <c r="BX8" s="12" t="s">
        <v>460</v>
      </c>
      <c r="BY8" s="12" t="s">
        <v>461</v>
      </c>
      <c r="BZ8" s="12" t="s">
        <v>461</v>
      </c>
      <c r="CA8" s="12" t="s">
        <v>461</v>
      </c>
      <c r="CB8" s="12" t="s">
        <v>461</v>
      </c>
      <c r="CC8" s="12" t="s">
        <v>373</v>
      </c>
      <c r="CD8" s="12" t="s">
        <v>373</v>
      </c>
      <c r="CE8" s="12" t="s">
        <v>373</v>
      </c>
      <c r="CF8" s="12" t="s">
        <v>373</v>
      </c>
      <c r="CG8" s="12" t="s">
        <v>284</v>
      </c>
      <c r="CH8" s="12" t="s">
        <v>284</v>
      </c>
      <c r="CI8" s="12" t="s">
        <v>325</v>
      </c>
      <c r="CJ8" s="12" t="s">
        <v>325</v>
      </c>
      <c r="CK8" s="12" t="s">
        <v>325</v>
      </c>
      <c r="CL8" s="12" t="s">
        <v>325</v>
      </c>
      <c r="CM8" s="12" t="s">
        <v>325</v>
      </c>
      <c r="CN8" s="12" t="s">
        <v>325</v>
      </c>
      <c r="CO8" s="12" t="s">
        <v>325</v>
      </c>
      <c r="CP8" s="12" t="s">
        <v>325</v>
      </c>
      <c r="CQ8" s="12" t="s">
        <v>325</v>
      </c>
      <c r="CR8" s="12" t="s">
        <v>286</v>
      </c>
      <c r="CS8" s="12" t="s">
        <v>286</v>
      </c>
      <c r="CT8" s="12" t="s">
        <v>286</v>
      </c>
      <c r="CU8" s="12" t="s">
        <v>286</v>
      </c>
      <c r="CV8" s="12" t="s">
        <v>286</v>
      </c>
      <c r="CW8" s="12" t="s">
        <v>286</v>
      </c>
      <c r="CX8" s="12" t="s">
        <v>286</v>
      </c>
    </row>
    <row r="9" spans="1:102" hidden="1" x14ac:dyDescent="0.3">
      <c r="A9" s="12" t="s">
        <v>12</v>
      </c>
      <c r="B9" s="12" t="s">
        <v>462</v>
      </c>
      <c r="C9" s="12" t="s">
        <v>463</v>
      </c>
      <c r="D9" s="12" t="s">
        <v>464</v>
      </c>
      <c r="E9" s="12" t="s">
        <v>277</v>
      </c>
      <c r="F9" s="12" t="s">
        <v>277</v>
      </c>
      <c r="G9" s="12" t="s">
        <v>277</v>
      </c>
      <c r="H9" s="12" t="s">
        <v>277</v>
      </c>
      <c r="I9" s="12" t="s">
        <v>277</v>
      </c>
      <c r="J9" s="12" t="s">
        <v>277</v>
      </c>
      <c r="K9" s="12" t="s">
        <v>277</v>
      </c>
      <c r="L9" s="12" t="s">
        <v>277</v>
      </c>
      <c r="M9" s="12" t="s">
        <v>277</v>
      </c>
      <c r="N9" s="12" t="s">
        <v>277</v>
      </c>
      <c r="O9" s="12" t="s">
        <v>277</v>
      </c>
      <c r="P9" s="12" t="s">
        <v>277</v>
      </c>
      <c r="Q9" s="12" t="s">
        <v>277</v>
      </c>
      <c r="R9" s="12" t="s">
        <v>277</v>
      </c>
      <c r="S9" s="12" t="s">
        <v>277</v>
      </c>
      <c r="T9" s="12" t="s">
        <v>277</v>
      </c>
      <c r="U9" s="12" t="s">
        <v>277</v>
      </c>
      <c r="V9" s="12" t="s">
        <v>277</v>
      </c>
      <c r="W9" s="12" t="s">
        <v>277</v>
      </c>
      <c r="X9" s="12" t="s">
        <v>277</v>
      </c>
      <c r="Y9" s="12" t="s">
        <v>277</v>
      </c>
      <c r="Z9" s="12" t="s">
        <v>277</v>
      </c>
      <c r="AA9" s="12" t="s">
        <v>277</v>
      </c>
      <c r="AB9" s="12" t="s">
        <v>277</v>
      </c>
      <c r="AC9" s="12" t="s">
        <v>277</v>
      </c>
      <c r="AD9" s="12" t="s">
        <v>277</v>
      </c>
      <c r="AE9" s="12" t="s">
        <v>277</v>
      </c>
      <c r="AF9" s="12" t="s">
        <v>277</v>
      </c>
      <c r="AG9" s="12" t="s">
        <v>277</v>
      </c>
      <c r="AH9" s="12" t="s">
        <v>277</v>
      </c>
      <c r="AI9" s="12" t="s">
        <v>277</v>
      </c>
      <c r="AJ9" s="12" t="s">
        <v>277</v>
      </c>
      <c r="AK9" s="12" t="s">
        <v>277</v>
      </c>
      <c r="AL9" s="12" t="s">
        <v>277</v>
      </c>
      <c r="AM9" s="12" t="s">
        <v>277</v>
      </c>
      <c r="AN9" s="12" t="s">
        <v>277</v>
      </c>
      <c r="AO9" s="12" t="s">
        <v>277</v>
      </c>
      <c r="AP9" s="12" t="s">
        <v>277</v>
      </c>
      <c r="AQ9" s="12" t="s">
        <v>277</v>
      </c>
      <c r="AR9" s="12" t="s">
        <v>277</v>
      </c>
      <c r="AS9" s="12" t="s">
        <v>277</v>
      </c>
      <c r="AT9" s="12" t="s">
        <v>278</v>
      </c>
      <c r="AU9" s="12" t="s">
        <v>278</v>
      </c>
      <c r="AV9" s="12" t="s">
        <v>278</v>
      </c>
      <c r="AW9" s="12" t="s">
        <v>322</v>
      </c>
      <c r="AX9" s="12" t="s">
        <v>454</v>
      </c>
      <c r="AY9" s="12" t="s">
        <v>324</v>
      </c>
      <c r="AZ9" s="12" t="s">
        <v>324</v>
      </c>
      <c r="BA9" s="12" t="s">
        <v>372</v>
      </c>
      <c r="BB9" s="12" t="s">
        <v>373</v>
      </c>
      <c r="BC9" s="12" t="s">
        <v>373</v>
      </c>
      <c r="BD9" s="12" t="s">
        <v>465</v>
      </c>
      <c r="BE9" s="12" t="s">
        <v>466</v>
      </c>
      <c r="BF9" s="12" t="s">
        <v>467</v>
      </c>
      <c r="BG9" s="12" t="s">
        <v>468</v>
      </c>
      <c r="BH9" s="12" t="s">
        <v>469</v>
      </c>
      <c r="BI9" s="12" t="s">
        <v>470</v>
      </c>
      <c r="BJ9" s="12" t="s">
        <v>471</v>
      </c>
      <c r="BK9" s="12" t="s">
        <v>472</v>
      </c>
      <c r="BL9" s="12" t="s">
        <v>473</v>
      </c>
      <c r="BM9" s="12" t="s">
        <v>474</v>
      </c>
      <c r="BN9" s="12" t="s">
        <v>475</v>
      </c>
      <c r="BO9" s="12" t="s">
        <v>476</v>
      </c>
      <c r="BP9" s="12" t="s">
        <v>476</v>
      </c>
      <c r="BQ9" s="12" t="s">
        <v>477</v>
      </c>
      <c r="BR9" s="12" t="s">
        <v>478</v>
      </c>
      <c r="BS9" s="12" t="s">
        <v>479</v>
      </c>
      <c r="BT9" s="12" t="s">
        <v>480</v>
      </c>
      <c r="BU9" s="12" t="s">
        <v>481</v>
      </c>
      <c r="BV9" s="12" t="s">
        <v>482</v>
      </c>
      <c r="BW9" s="12" t="s">
        <v>482</v>
      </c>
      <c r="BX9" s="12" t="s">
        <v>483</v>
      </c>
      <c r="BY9" s="12" t="s">
        <v>484</v>
      </c>
      <c r="BZ9" s="12" t="s">
        <v>485</v>
      </c>
      <c r="CA9" s="12" t="s">
        <v>485</v>
      </c>
      <c r="CB9" s="12" t="s">
        <v>486</v>
      </c>
      <c r="CC9" s="12" t="s">
        <v>487</v>
      </c>
      <c r="CD9" s="12" t="s">
        <v>488</v>
      </c>
      <c r="CE9" s="12" t="s">
        <v>489</v>
      </c>
      <c r="CF9" s="12" t="s">
        <v>490</v>
      </c>
      <c r="CG9" s="12" t="s">
        <v>490</v>
      </c>
      <c r="CH9" s="12" t="s">
        <v>491</v>
      </c>
      <c r="CI9" s="12" t="s">
        <v>492</v>
      </c>
      <c r="CJ9" s="12" t="s">
        <v>493</v>
      </c>
      <c r="CK9" s="12" t="s">
        <v>494</v>
      </c>
      <c r="CL9" s="12" t="s">
        <v>495</v>
      </c>
      <c r="CM9" s="12" t="s">
        <v>496</v>
      </c>
      <c r="CN9" s="12" t="s">
        <v>497</v>
      </c>
      <c r="CO9" s="12" t="s">
        <v>498</v>
      </c>
      <c r="CP9" s="12" t="s">
        <v>499</v>
      </c>
      <c r="CQ9" s="12" t="s">
        <v>500</v>
      </c>
      <c r="CR9" s="12" t="s">
        <v>501</v>
      </c>
      <c r="CS9" s="12" t="s">
        <v>502</v>
      </c>
      <c r="CT9" s="12" t="s">
        <v>503</v>
      </c>
      <c r="CU9" s="12" t="s">
        <v>4062</v>
      </c>
      <c r="CV9" s="12" t="s">
        <v>4063</v>
      </c>
      <c r="CW9" s="12" t="s">
        <v>4064</v>
      </c>
      <c r="CX9" s="12" t="s">
        <v>4065</v>
      </c>
    </row>
    <row r="10" spans="1:102" hidden="1" x14ac:dyDescent="0.3">
      <c r="A10" s="12" t="s">
        <v>12</v>
      </c>
      <c r="B10" s="12" t="s">
        <v>504</v>
      </c>
      <c r="C10" s="12" t="s">
        <v>505</v>
      </c>
      <c r="D10" s="12" t="s">
        <v>506</v>
      </c>
      <c r="E10" s="12" t="s">
        <v>277</v>
      </c>
      <c r="F10" s="12" t="s">
        <v>277</v>
      </c>
      <c r="G10" s="12" t="s">
        <v>277</v>
      </c>
      <c r="H10" s="12" t="s">
        <v>277</v>
      </c>
      <c r="I10" s="12" t="s">
        <v>277</v>
      </c>
      <c r="J10" s="12" t="s">
        <v>277</v>
      </c>
      <c r="K10" s="12" t="s">
        <v>277</v>
      </c>
      <c r="L10" s="12" t="s">
        <v>277</v>
      </c>
      <c r="M10" s="12" t="s">
        <v>277</v>
      </c>
      <c r="N10" s="12" t="s">
        <v>277</v>
      </c>
      <c r="O10" s="12" t="s">
        <v>277</v>
      </c>
      <c r="P10" s="12" t="s">
        <v>277</v>
      </c>
      <c r="Q10" s="12" t="s">
        <v>277</v>
      </c>
      <c r="R10" s="12" t="s">
        <v>277</v>
      </c>
      <c r="S10" s="12" t="s">
        <v>277</v>
      </c>
      <c r="T10" s="12" t="s">
        <v>277</v>
      </c>
      <c r="U10" s="12" t="s">
        <v>277</v>
      </c>
      <c r="V10" s="12" t="s">
        <v>277</v>
      </c>
      <c r="W10" s="12" t="s">
        <v>277</v>
      </c>
      <c r="X10" s="12" t="s">
        <v>277</v>
      </c>
      <c r="Y10" s="12" t="s">
        <v>277</v>
      </c>
      <c r="Z10" s="12" t="s">
        <v>277</v>
      </c>
      <c r="AA10" s="12" t="s">
        <v>277</v>
      </c>
      <c r="AB10" s="12" t="s">
        <v>277</v>
      </c>
      <c r="AC10" s="12" t="s">
        <v>277</v>
      </c>
      <c r="AD10" s="12" t="s">
        <v>277</v>
      </c>
      <c r="AE10" s="12" t="s">
        <v>277</v>
      </c>
      <c r="AF10" s="12" t="s">
        <v>277</v>
      </c>
      <c r="AG10" s="12" t="s">
        <v>277</v>
      </c>
      <c r="AH10" s="12" t="s">
        <v>277</v>
      </c>
      <c r="AI10" s="12" t="s">
        <v>277</v>
      </c>
      <c r="AJ10" s="12" t="s">
        <v>277</v>
      </c>
      <c r="AK10" s="12" t="s">
        <v>277</v>
      </c>
      <c r="AL10" s="12" t="s">
        <v>277</v>
      </c>
      <c r="AM10" s="12" t="s">
        <v>277</v>
      </c>
      <c r="AN10" s="12" t="s">
        <v>277</v>
      </c>
      <c r="AO10" s="12" t="s">
        <v>277</v>
      </c>
      <c r="AP10" s="12" t="s">
        <v>277</v>
      </c>
      <c r="AQ10" s="12" t="s">
        <v>277</v>
      </c>
      <c r="AR10" s="12" t="s">
        <v>278</v>
      </c>
      <c r="AS10" s="12" t="s">
        <v>278</v>
      </c>
      <c r="AT10" s="12" t="s">
        <v>278</v>
      </c>
      <c r="AU10" s="12" t="s">
        <v>278</v>
      </c>
      <c r="AV10" s="12" t="s">
        <v>278</v>
      </c>
      <c r="AW10" s="12" t="s">
        <v>278</v>
      </c>
      <c r="AX10" s="12" t="s">
        <v>278</v>
      </c>
      <c r="AY10" s="12" t="s">
        <v>278</v>
      </c>
      <c r="AZ10" s="12" t="s">
        <v>278</v>
      </c>
      <c r="BA10" s="12" t="s">
        <v>278</v>
      </c>
      <c r="BB10" s="12" t="s">
        <v>278</v>
      </c>
      <c r="BC10" s="12" t="s">
        <v>279</v>
      </c>
      <c r="BD10" s="12" t="s">
        <v>454</v>
      </c>
      <c r="BE10" s="12" t="s">
        <v>507</v>
      </c>
      <c r="BF10" s="12" t="s">
        <v>375</v>
      </c>
      <c r="BG10" s="12" t="s">
        <v>508</v>
      </c>
      <c r="BH10" s="12" t="s">
        <v>509</v>
      </c>
      <c r="BI10" s="12" t="s">
        <v>289</v>
      </c>
      <c r="BJ10" s="12" t="s">
        <v>510</v>
      </c>
      <c r="BK10" s="12" t="s">
        <v>511</v>
      </c>
      <c r="BL10" s="12" t="s">
        <v>512</v>
      </c>
      <c r="BM10" s="12" t="s">
        <v>513</v>
      </c>
      <c r="BN10" s="12" t="s">
        <v>514</v>
      </c>
      <c r="BO10" s="12" t="s">
        <v>515</v>
      </c>
      <c r="BP10" s="12" t="s">
        <v>516</v>
      </c>
      <c r="BQ10" s="12" t="s">
        <v>517</v>
      </c>
      <c r="BR10" s="12" t="s">
        <v>518</v>
      </c>
      <c r="BS10" s="12" t="s">
        <v>519</v>
      </c>
      <c r="BT10" s="12" t="s">
        <v>520</v>
      </c>
      <c r="BU10" s="12" t="s">
        <v>521</v>
      </c>
      <c r="BV10" s="12" t="s">
        <v>522</v>
      </c>
      <c r="BW10" s="12" t="s">
        <v>523</v>
      </c>
      <c r="BX10" s="12" t="s">
        <v>366</v>
      </c>
      <c r="BY10" s="12" t="s">
        <v>524</v>
      </c>
      <c r="BZ10" s="12" t="s">
        <v>525</v>
      </c>
      <c r="CA10" s="12" t="s">
        <v>526</v>
      </c>
      <c r="CB10" s="12" t="s">
        <v>527</v>
      </c>
      <c r="CC10" s="12" t="s">
        <v>528</v>
      </c>
      <c r="CD10" s="12" t="s">
        <v>529</v>
      </c>
      <c r="CE10" s="12" t="s">
        <v>530</v>
      </c>
      <c r="CF10" s="12" t="s">
        <v>531</v>
      </c>
      <c r="CG10" s="12" t="s">
        <v>532</v>
      </c>
      <c r="CH10" s="12" t="s">
        <v>533</v>
      </c>
      <c r="CI10" s="12" t="s">
        <v>534</v>
      </c>
      <c r="CJ10" s="12" t="s">
        <v>535</v>
      </c>
      <c r="CK10" s="12" t="s">
        <v>536</v>
      </c>
      <c r="CL10" s="12" t="s">
        <v>537</v>
      </c>
      <c r="CM10" s="12" t="s">
        <v>538</v>
      </c>
      <c r="CN10" s="12" t="s">
        <v>539</v>
      </c>
      <c r="CO10" s="12" t="s">
        <v>540</v>
      </c>
      <c r="CP10" s="12" t="s">
        <v>541</v>
      </c>
      <c r="CQ10" s="12" t="s">
        <v>542</v>
      </c>
      <c r="CR10" s="12" t="s">
        <v>543</v>
      </c>
      <c r="CS10" s="12" t="s">
        <v>544</v>
      </c>
      <c r="CT10" s="12" t="s">
        <v>545</v>
      </c>
      <c r="CU10" s="12" t="s">
        <v>2456</v>
      </c>
      <c r="CV10" s="12" t="s">
        <v>3104</v>
      </c>
      <c r="CW10" s="12" t="s">
        <v>4066</v>
      </c>
      <c r="CX10" s="12" t="s">
        <v>4067</v>
      </c>
    </row>
    <row r="11" spans="1:102" hidden="1" x14ac:dyDescent="0.3">
      <c r="A11" s="12" t="s">
        <v>546</v>
      </c>
      <c r="B11" s="12" t="s">
        <v>547</v>
      </c>
      <c r="C11" s="12" t="s">
        <v>548</v>
      </c>
      <c r="D11" s="12" t="s">
        <v>549</v>
      </c>
      <c r="E11" s="12" t="s">
        <v>277</v>
      </c>
      <c r="F11" s="12" t="s">
        <v>277</v>
      </c>
      <c r="G11" s="12" t="s">
        <v>277</v>
      </c>
      <c r="H11" s="12" t="s">
        <v>277</v>
      </c>
      <c r="I11" s="12" t="s">
        <v>277</v>
      </c>
      <c r="J11" s="12" t="s">
        <v>277</v>
      </c>
      <c r="K11" s="12" t="s">
        <v>277</v>
      </c>
      <c r="L11" s="12" t="s">
        <v>277</v>
      </c>
      <c r="M11" s="12" t="s">
        <v>277</v>
      </c>
      <c r="N11" s="12" t="s">
        <v>277</v>
      </c>
      <c r="O11" s="12" t="s">
        <v>277</v>
      </c>
      <c r="P11" s="12" t="s">
        <v>277</v>
      </c>
      <c r="Q11" s="12" t="s">
        <v>277</v>
      </c>
      <c r="R11" s="12" t="s">
        <v>277</v>
      </c>
      <c r="S11" s="12" t="s">
        <v>277</v>
      </c>
      <c r="T11" s="12" t="s">
        <v>277</v>
      </c>
      <c r="U11" s="12" t="s">
        <v>277</v>
      </c>
      <c r="V11" s="12" t="s">
        <v>277</v>
      </c>
      <c r="W11" s="12" t="s">
        <v>277</v>
      </c>
      <c r="X11" s="12" t="s">
        <v>277</v>
      </c>
      <c r="Y11" s="12" t="s">
        <v>277</v>
      </c>
      <c r="Z11" s="12" t="s">
        <v>277</v>
      </c>
      <c r="AA11" s="12" t="s">
        <v>277</v>
      </c>
      <c r="AB11" s="12" t="s">
        <v>277</v>
      </c>
      <c r="AC11" s="12" t="s">
        <v>277</v>
      </c>
      <c r="AD11" s="12" t="s">
        <v>277</v>
      </c>
      <c r="AE11" s="12" t="s">
        <v>277</v>
      </c>
      <c r="AF11" s="12" t="s">
        <v>277</v>
      </c>
      <c r="AG11" s="12" t="s">
        <v>277</v>
      </c>
      <c r="AH11" s="12" t="s">
        <v>277</v>
      </c>
      <c r="AI11" s="12" t="s">
        <v>277</v>
      </c>
      <c r="AJ11" s="12" t="s">
        <v>277</v>
      </c>
      <c r="AK11" s="12" t="s">
        <v>277</v>
      </c>
      <c r="AL11" s="12" t="s">
        <v>277</v>
      </c>
      <c r="AM11" s="12" t="s">
        <v>277</v>
      </c>
      <c r="AN11" s="12" t="s">
        <v>277</v>
      </c>
      <c r="AO11" s="12" t="s">
        <v>277</v>
      </c>
      <c r="AP11" s="12" t="s">
        <v>277</v>
      </c>
      <c r="AQ11" s="12" t="s">
        <v>277</v>
      </c>
      <c r="AR11" s="12" t="s">
        <v>277</v>
      </c>
      <c r="AS11" s="12" t="s">
        <v>277</v>
      </c>
      <c r="AT11" s="12" t="s">
        <v>277</v>
      </c>
      <c r="AU11" s="12" t="s">
        <v>277</v>
      </c>
      <c r="AV11" s="12" t="s">
        <v>277</v>
      </c>
      <c r="AW11" s="12" t="s">
        <v>277</v>
      </c>
      <c r="AX11" s="12" t="s">
        <v>277</v>
      </c>
      <c r="AY11" s="12" t="s">
        <v>277</v>
      </c>
      <c r="AZ11" s="12" t="s">
        <v>277</v>
      </c>
      <c r="BA11" s="12" t="s">
        <v>277</v>
      </c>
      <c r="BB11" s="12" t="s">
        <v>277</v>
      </c>
      <c r="BC11" s="12" t="s">
        <v>277</v>
      </c>
      <c r="BD11" s="12" t="s">
        <v>278</v>
      </c>
      <c r="BE11" s="12" t="s">
        <v>278</v>
      </c>
      <c r="BF11" s="12" t="s">
        <v>278</v>
      </c>
      <c r="BG11" s="12" t="s">
        <v>322</v>
      </c>
      <c r="BH11" s="12" t="s">
        <v>322</v>
      </c>
      <c r="BI11" s="12" t="s">
        <v>371</v>
      </c>
      <c r="BJ11" s="12" t="s">
        <v>279</v>
      </c>
      <c r="BK11" s="12" t="s">
        <v>550</v>
      </c>
      <c r="BL11" s="12" t="s">
        <v>460</v>
      </c>
      <c r="BM11" s="12" t="s">
        <v>373</v>
      </c>
      <c r="BN11" s="12" t="s">
        <v>551</v>
      </c>
      <c r="BO11" s="12" t="s">
        <v>417</v>
      </c>
      <c r="BP11" s="12" t="s">
        <v>417</v>
      </c>
      <c r="BQ11" s="12" t="s">
        <v>418</v>
      </c>
      <c r="BR11" s="12" t="s">
        <v>552</v>
      </c>
      <c r="BS11" s="12" t="s">
        <v>553</v>
      </c>
      <c r="BT11" s="12" t="s">
        <v>554</v>
      </c>
      <c r="BU11" s="12" t="s">
        <v>509</v>
      </c>
      <c r="BV11" s="12" t="s">
        <v>555</v>
      </c>
      <c r="BW11" s="12" t="s">
        <v>289</v>
      </c>
      <c r="BX11" s="12" t="s">
        <v>380</v>
      </c>
      <c r="BY11" s="12" t="s">
        <v>556</v>
      </c>
      <c r="BZ11" s="12" t="s">
        <v>557</v>
      </c>
      <c r="CA11" s="12" t="s">
        <v>558</v>
      </c>
      <c r="CB11" s="12" t="s">
        <v>558</v>
      </c>
      <c r="CC11" s="12" t="s">
        <v>558</v>
      </c>
      <c r="CD11" s="12" t="s">
        <v>559</v>
      </c>
      <c r="CE11" s="12" t="s">
        <v>560</v>
      </c>
      <c r="CF11" s="12" t="s">
        <v>561</v>
      </c>
      <c r="CG11" s="12" t="s">
        <v>561</v>
      </c>
      <c r="CH11" s="12" t="s">
        <v>561</v>
      </c>
      <c r="CI11" s="12" t="s">
        <v>562</v>
      </c>
      <c r="CJ11" s="12" t="s">
        <v>561</v>
      </c>
      <c r="CK11" s="12" t="s">
        <v>561</v>
      </c>
      <c r="CL11" s="12" t="s">
        <v>561</v>
      </c>
      <c r="CM11" s="12" t="s">
        <v>561</v>
      </c>
      <c r="CN11" s="12" t="s">
        <v>561</v>
      </c>
      <c r="CO11" s="12" t="s">
        <v>561</v>
      </c>
      <c r="CP11" s="12" t="s">
        <v>336</v>
      </c>
      <c r="CQ11" s="12" t="s">
        <v>336</v>
      </c>
      <c r="CR11" s="12" t="s">
        <v>336</v>
      </c>
      <c r="CS11" s="12" t="s">
        <v>336</v>
      </c>
      <c r="CT11" s="12" t="s">
        <v>563</v>
      </c>
      <c r="CU11" s="12" t="s">
        <v>1362</v>
      </c>
      <c r="CV11" s="12" t="s">
        <v>1362</v>
      </c>
      <c r="CW11" s="12" t="s">
        <v>1362</v>
      </c>
      <c r="CX11" s="12" t="s">
        <v>1362</v>
      </c>
    </row>
    <row r="12" spans="1:102" hidden="1" x14ac:dyDescent="0.3">
      <c r="A12" s="12" t="s">
        <v>564</v>
      </c>
      <c r="B12" s="12" t="s">
        <v>547</v>
      </c>
      <c r="C12" s="12" t="s">
        <v>565</v>
      </c>
      <c r="D12" s="12" t="s">
        <v>566</v>
      </c>
      <c r="E12" s="12" t="s">
        <v>277</v>
      </c>
      <c r="F12" s="12" t="s">
        <v>277</v>
      </c>
      <c r="G12" s="12" t="s">
        <v>277</v>
      </c>
      <c r="H12" s="12" t="s">
        <v>277</v>
      </c>
      <c r="I12" s="12" t="s">
        <v>371</v>
      </c>
      <c r="J12" s="12" t="s">
        <v>279</v>
      </c>
      <c r="K12" s="12" t="s">
        <v>279</v>
      </c>
      <c r="L12" s="12" t="s">
        <v>279</v>
      </c>
      <c r="M12" s="12" t="s">
        <v>279</v>
      </c>
      <c r="N12" s="12" t="s">
        <v>279</v>
      </c>
      <c r="O12" s="12" t="s">
        <v>279</v>
      </c>
      <c r="P12" s="12" t="s">
        <v>279</v>
      </c>
      <c r="Q12" s="12" t="s">
        <v>279</v>
      </c>
      <c r="R12" s="12" t="s">
        <v>279</v>
      </c>
      <c r="S12" s="12" t="s">
        <v>279</v>
      </c>
      <c r="T12" s="12" t="s">
        <v>279</v>
      </c>
      <c r="U12" s="12" t="s">
        <v>279</v>
      </c>
      <c r="V12" s="12" t="s">
        <v>279</v>
      </c>
      <c r="W12" s="12" t="s">
        <v>279</v>
      </c>
      <c r="X12" s="12" t="s">
        <v>279</v>
      </c>
      <c r="Y12" s="12" t="s">
        <v>279</v>
      </c>
      <c r="Z12" s="12" t="s">
        <v>279</v>
      </c>
      <c r="AA12" s="12" t="s">
        <v>279</v>
      </c>
      <c r="AB12" s="12" t="s">
        <v>279</v>
      </c>
      <c r="AC12" s="12" t="s">
        <v>279</v>
      </c>
      <c r="AD12" s="12" t="s">
        <v>279</v>
      </c>
      <c r="AE12" s="12" t="s">
        <v>279</v>
      </c>
      <c r="AF12" s="12" t="s">
        <v>279</v>
      </c>
      <c r="AG12" s="12" t="s">
        <v>279</v>
      </c>
      <c r="AH12" s="12" t="s">
        <v>279</v>
      </c>
      <c r="AI12" s="12" t="s">
        <v>279</v>
      </c>
      <c r="AJ12" s="12" t="s">
        <v>279</v>
      </c>
      <c r="AK12" s="12" t="s">
        <v>279</v>
      </c>
      <c r="AL12" s="12" t="s">
        <v>279</v>
      </c>
      <c r="AM12" s="12" t="s">
        <v>279</v>
      </c>
      <c r="AN12" s="12" t="s">
        <v>279</v>
      </c>
      <c r="AO12" s="12" t="s">
        <v>279</v>
      </c>
      <c r="AP12" s="12" t="s">
        <v>279</v>
      </c>
      <c r="AQ12" s="12" t="s">
        <v>279</v>
      </c>
      <c r="AR12" s="12" t="s">
        <v>550</v>
      </c>
      <c r="AS12" s="12" t="s">
        <v>550</v>
      </c>
      <c r="AT12" s="12" t="s">
        <v>567</v>
      </c>
      <c r="AU12" s="12" t="s">
        <v>285</v>
      </c>
      <c r="AV12" s="12" t="s">
        <v>285</v>
      </c>
      <c r="AW12" s="12" t="s">
        <v>375</v>
      </c>
      <c r="AX12" s="12" t="s">
        <v>568</v>
      </c>
      <c r="AY12" s="12" t="s">
        <v>327</v>
      </c>
      <c r="AZ12" s="12" t="s">
        <v>377</v>
      </c>
      <c r="BA12" s="12" t="s">
        <v>330</v>
      </c>
      <c r="BB12" s="12" t="s">
        <v>569</v>
      </c>
      <c r="BC12" s="12" t="s">
        <v>569</v>
      </c>
      <c r="BD12" s="12" t="s">
        <v>570</v>
      </c>
      <c r="BE12" s="12" t="s">
        <v>571</v>
      </c>
      <c r="BF12" s="12" t="s">
        <v>572</v>
      </c>
      <c r="BG12" s="12" t="s">
        <v>573</v>
      </c>
      <c r="BH12" s="12" t="s">
        <v>574</v>
      </c>
      <c r="BI12" s="12" t="s">
        <v>426</v>
      </c>
      <c r="BJ12" s="12" t="s">
        <v>575</v>
      </c>
      <c r="BK12" s="12" t="s">
        <v>576</v>
      </c>
      <c r="BL12" s="12" t="s">
        <v>577</v>
      </c>
      <c r="BM12" s="12" t="s">
        <v>578</v>
      </c>
      <c r="BN12" s="12" t="s">
        <v>578</v>
      </c>
      <c r="BO12" s="12" t="s">
        <v>579</v>
      </c>
      <c r="BP12" s="12" t="s">
        <v>580</v>
      </c>
      <c r="BQ12" s="12" t="s">
        <v>581</v>
      </c>
      <c r="BR12" s="12" t="s">
        <v>582</v>
      </c>
      <c r="BS12" s="12" t="s">
        <v>583</v>
      </c>
      <c r="BT12" s="12" t="s">
        <v>584</v>
      </c>
      <c r="BU12" s="12" t="s">
        <v>585</v>
      </c>
      <c r="BV12" s="12" t="s">
        <v>585</v>
      </c>
      <c r="BW12" s="12" t="s">
        <v>586</v>
      </c>
      <c r="BX12" s="12" t="s">
        <v>587</v>
      </c>
      <c r="BY12" s="12" t="s">
        <v>588</v>
      </c>
      <c r="BZ12" s="12" t="s">
        <v>589</v>
      </c>
      <c r="CA12" s="12" t="s">
        <v>590</v>
      </c>
      <c r="CB12" s="12" t="s">
        <v>591</v>
      </c>
      <c r="CC12" s="12" t="s">
        <v>592</v>
      </c>
      <c r="CD12" s="12" t="s">
        <v>593</v>
      </c>
      <c r="CE12" s="12" t="s">
        <v>594</v>
      </c>
      <c r="CF12" s="12" t="s">
        <v>595</v>
      </c>
      <c r="CG12" s="12" t="s">
        <v>596</v>
      </c>
      <c r="CH12" s="12" t="s">
        <v>596</v>
      </c>
      <c r="CI12" s="12" t="s">
        <v>597</v>
      </c>
      <c r="CJ12" s="12" t="s">
        <v>598</v>
      </c>
      <c r="CK12" s="12" t="s">
        <v>599</v>
      </c>
      <c r="CL12" s="12" t="s">
        <v>600</v>
      </c>
      <c r="CM12" s="12" t="s">
        <v>601</v>
      </c>
      <c r="CN12" s="12" t="s">
        <v>602</v>
      </c>
      <c r="CO12" s="12" t="s">
        <v>603</v>
      </c>
      <c r="CP12" s="12" t="s">
        <v>604</v>
      </c>
      <c r="CQ12" s="12" t="s">
        <v>605</v>
      </c>
      <c r="CR12" s="12" t="s">
        <v>606</v>
      </c>
      <c r="CS12" s="12" t="s">
        <v>607</v>
      </c>
      <c r="CT12" s="12" t="s">
        <v>608</v>
      </c>
      <c r="CU12" s="12" t="s">
        <v>3023</v>
      </c>
      <c r="CV12" s="12" t="s">
        <v>4068</v>
      </c>
      <c r="CW12" s="12" t="s">
        <v>4069</v>
      </c>
      <c r="CX12" s="12" t="s">
        <v>4070</v>
      </c>
    </row>
    <row r="13" spans="1:102" hidden="1" x14ac:dyDescent="0.3">
      <c r="A13" s="12" t="s">
        <v>609</v>
      </c>
      <c r="B13" s="12" t="s">
        <v>547</v>
      </c>
      <c r="C13" s="12" t="s">
        <v>610</v>
      </c>
      <c r="D13" s="12" t="s">
        <v>611</v>
      </c>
      <c r="E13" s="12" t="s">
        <v>277</v>
      </c>
      <c r="F13" s="12" t="s">
        <v>277</v>
      </c>
      <c r="G13" s="12" t="s">
        <v>277</v>
      </c>
      <c r="H13" s="12" t="s">
        <v>277</v>
      </c>
      <c r="I13" s="12" t="s">
        <v>277</v>
      </c>
      <c r="J13" s="12" t="s">
        <v>277</v>
      </c>
      <c r="K13" s="12" t="s">
        <v>277</v>
      </c>
      <c r="L13" s="12" t="s">
        <v>277</v>
      </c>
      <c r="M13" s="12" t="s">
        <v>277</v>
      </c>
      <c r="N13" s="12" t="s">
        <v>277</v>
      </c>
      <c r="O13" s="12" t="s">
        <v>277</v>
      </c>
      <c r="P13" s="12" t="s">
        <v>277</v>
      </c>
      <c r="Q13" s="12" t="s">
        <v>277</v>
      </c>
      <c r="R13" s="12" t="s">
        <v>277</v>
      </c>
      <c r="S13" s="12" t="s">
        <v>277</v>
      </c>
      <c r="T13" s="12" t="s">
        <v>277</v>
      </c>
      <c r="U13" s="12" t="s">
        <v>277</v>
      </c>
      <c r="V13" s="12" t="s">
        <v>277</v>
      </c>
      <c r="W13" s="12" t="s">
        <v>277</v>
      </c>
      <c r="X13" s="12" t="s">
        <v>277</v>
      </c>
      <c r="Y13" s="12" t="s">
        <v>277</v>
      </c>
      <c r="Z13" s="12" t="s">
        <v>277</v>
      </c>
      <c r="AA13" s="12" t="s">
        <v>277</v>
      </c>
      <c r="AB13" s="12" t="s">
        <v>277</v>
      </c>
      <c r="AC13" s="12" t="s">
        <v>277</v>
      </c>
      <c r="AD13" s="12" t="s">
        <v>277</v>
      </c>
      <c r="AE13" s="12" t="s">
        <v>277</v>
      </c>
      <c r="AF13" s="12" t="s">
        <v>277</v>
      </c>
      <c r="AG13" s="12" t="s">
        <v>277</v>
      </c>
      <c r="AH13" s="12" t="s">
        <v>277</v>
      </c>
      <c r="AI13" s="12" t="s">
        <v>277</v>
      </c>
      <c r="AJ13" s="12" t="s">
        <v>277</v>
      </c>
      <c r="AK13" s="12" t="s">
        <v>277</v>
      </c>
      <c r="AL13" s="12" t="s">
        <v>277</v>
      </c>
      <c r="AM13" s="12" t="s">
        <v>277</v>
      </c>
      <c r="AN13" s="12" t="s">
        <v>277</v>
      </c>
      <c r="AO13" s="12" t="s">
        <v>277</v>
      </c>
      <c r="AP13" s="12" t="s">
        <v>277</v>
      </c>
      <c r="AQ13" s="12" t="s">
        <v>277</v>
      </c>
      <c r="AR13" s="12" t="s">
        <v>277</v>
      </c>
      <c r="AS13" s="12" t="s">
        <v>277</v>
      </c>
      <c r="AT13" s="12" t="s">
        <v>277</v>
      </c>
      <c r="AU13" s="12" t="s">
        <v>278</v>
      </c>
      <c r="AV13" s="12" t="s">
        <v>278</v>
      </c>
      <c r="AW13" s="12" t="s">
        <v>277</v>
      </c>
      <c r="AX13" s="12" t="s">
        <v>277</v>
      </c>
      <c r="AY13" s="12" t="s">
        <v>277</v>
      </c>
      <c r="AZ13" s="12" t="s">
        <v>277</v>
      </c>
      <c r="BA13" s="12" t="s">
        <v>278</v>
      </c>
      <c r="BB13" s="12" t="s">
        <v>278</v>
      </c>
      <c r="BC13" s="12" t="s">
        <v>278</v>
      </c>
      <c r="BD13" s="12" t="s">
        <v>278</v>
      </c>
      <c r="BE13" s="12" t="s">
        <v>278</v>
      </c>
      <c r="BF13" s="12" t="s">
        <v>278</v>
      </c>
      <c r="BG13" s="12" t="s">
        <v>278</v>
      </c>
      <c r="BH13" s="12" t="s">
        <v>278</v>
      </c>
      <c r="BI13" s="12" t="s">
        <v>278</v>
      </c>
      <c r="BJ13" s="12" t="s">
        <v>278</v>
      </c>
      <c r="BK13" s="12" t="s">
        <v>371</v>
      </c>
      <c r="BL13" s="12" t="s">
        <v>371</v>
      </c>
      <c r="BM13" s="12" t="s">
        <v>280</v>
      </c>
      <c r="BN13" s="12" t="s">
        <v>280</v>
      </c>
      <c r="BO13" s="12" t="s">
        <v>550</v>
      </c>
      <c r="BP13" s="12" t="s">
        <v>550</v>
      </c>
      <c r="BQ13" s="12" t="s">
        <v>324</v>
      </c>
      <c r="BR13" s="12" t="s">
        <v>324</v>
      </c>
      <c r="BS13" s="12" t="s">
        <v>461</v>
      </c>
      <c r="BT13" s="12" t="s">
        <v>461</v>
      </c>
      <c r="BU13" s="12" t="s">
        <v>461</v>
      </c>
      <c r="BV13" s="12" t="s">
        <v>372</v>
      </c>
      <c r="BW13" s="12" t="s">
        <v>373</v>
      </c>
      <c r="BX13" s="12" t="s">
        <v>284</v>
      </c>
      <c r="BY13" s="12" t="s">
        <v>285</v>
      </c>
      <c r="BZ13" s="12" t="s">
        <v>375</v>
      </c>
      <c r="CA13" s="12" t="s">
        <v>612</v>
      </c>
      <c r="CB13" s="12" t="s">
        <v>568</v>
      </c>
      <c r="CC13" s="12" t="s">
        <v>568</v>
      </c>
      <c r="CD13" s="12" t="s">
        <v>568</v>
      </c>
      <c r="CE13" s="12" t="s">
        <v>568</v>
      </c>
      <c r="CF13" s="12" t="s">
        <v>568</v>
      </c>
      <c r="CG13" s="12" t="s">
        <v>568</v>
      </c>
      <c r="CH13" s="12" t="s">
        <v>568</v>
      </c>
      <c r="CI13" s="12" t="s">
        <v>568</v>
      </c>
      <c r="CJ13" s="12" t="s">
        <v>568</v>
      </c>
      <c r="CK13" s="12" t="s">
        <v>568</v>
      </c>
      <c r="CL13" s="12" t="s">
        <v>568</v>
      </c>
      <c r="CM13" s="12" t="s">
        <v>568</v>
      </c>
      <c r="CN13" s="12" t="s">
        <v>568</v>
      </c>
      <c r="CO13" s="12" t="s">
        <v>568</v>
      </c>
      <c r="CP13" s="12" t="s">
        <v>568</v>
      </c>
      <c r="CQ13" s="12" t="s">
        <v>568</v>
      </c>
      <c r="CR13" s="12" t="s">
        <v>568</v>
      </c>
      <c r="CS13" s="12" t="s">
        <v>568</v>
      </c>
      <c r="CT13" s="12" t="s">
        <v>568</v>
      </c>
      <c r="CU13" s="12" t="s">
        <v>568</v>
      </c>
      <c r="CV13" s="12" t="s">
        <v>568</v>
      </c>
      <c r="CW13" s="12" t="s">
        <v>568</v>
      </c>
      <c r="CX13" s="12" t="s">
        <v>568</v>
      </c>
    </row>
    <row r="14" spans="1:102" hidden="1" x14ac:dyDescent="0.3">
      <c r="A14" s="12" t="s">
        <v>613</v>
      </c>
      <c r="B14" s="12" t="s">
        <v>547</v>
      </c>
      <c r="C14" s="12" t="s">
        <v>614</v>
      </c>
      <c r="D14" s="12" t="s">
        <v>615</v>
      </c>
      <c r="E14" s="12" t="s">
        <v>277</v>
      </c>
      <c r="F14" s="12" t="s">
        <v>277</v>
      </c>
      <c r="G14" s="12" t="s">
        <v>277</v>
      </c>
      <c r="H14" s="12" t="s">
        <v>277</v>
      </c>
      <c r="I14" s="12" t="s">
        <v>277</v>
      </c>
      <c r="J14" s="12" t="s">
        <v>277</v>
      </c>
      <c r="K14" s="12" t="s">
        <v>277</v>
      </c>
      <c r="L14" s="12" t="s">
        <v>278</v>
      </c>
      <c r="M14" s="12" t="s">
        <v>371</v>
      </c>
      <c r="N14" s="12" t="s">
        <v>322</v>
      </c>
      <c r="O14" s="12" t="s">
        <v>371</v>
      </c>
      <c r="P14" s="12" t="s">
        <v>322</v>
      </c>
      <c r="Q14" s="12" t="s">
        <v>322</v>
      </c>
      <c r="R14" s="12" t="s">
        <v>371</v>
      </c>
      <c r="S14" s="12" t="s">
        <v>371</v>
      </c>
      <c r="T14" s="12" t="s">
        <v>279</v>
      </c>
      <c r="U14" s="12" t="s">
        <v>280</v>
      </c>
      <c r="V14" s="12" t="s">
        <v>280</v>
      </c>
      <c r="W14" s="12" t="s">
        <v>280</v>
      </c>
      <c r="X14" s="12" t="s">
        <v>280</v>
      </c>
      <c r="Y14" s="12" t="s">
        <v>280</v>
      </c>
      <c r="Z14" s="12" t="s">
        <v>280</v>
      </c>
      <c r="AA14" s="12" t="s">
        <v>280</v>
      </c>
      <c r="AB14" s="12" t="s">
        <v>280</v>
      </c>
      <c r="AC14" s="12" t="s">
        <v>280</v>
      </c>
      <c r="AD14" s="12" t="s">
        <v>280</v>
      </c>
      <c r="AE14" s="12" t="s">
        <v>280</v>
      </c>
      <c r="AF14" s="12" t="s">
        <v>280</v>
      </c>
      <c r="AG14" s="12" t="s">
        <v>280</v>
      </c>
      <c r="AH14" s="12" t="s">
        <v>280</v>
      </c>
      <c r="AI14" s="12" t="s">
        <v>280</v>
      </c>
      <c r="AJ14" s="12" t="s">
        <v>280</v>
      </c>
      <c r="AK14" s="12" t="s">
        <v>280</v>
      </c>
      <c r="AL14" s="12" t="s">
        <v>280</v>
      </c>
      <c r="AM14" s="12" t="s">
        <v>280</v>
      </c>
      <c r="AN14" s="12" t="s">
        <v>280</v>
      </c>
      <c r="AO14" s="12" t="s">
        <v>280</v>
      </c>
      <c r="AP14" s="12" t="s">
        <v>280</v>
      </c>
      <c r="AQ14" s="12" t="s">
        <v>460</v>
      </c>
      <c r="AR14" s="12" t="s">
        <v>460</v>
      </c>
      <c r="AS14" s="12" t="s">
        <v>460</v>
      </c>
      <c r="AT14" s="12" t="s">
        <v>282</v>
      </c>
      <c r="AU14" s="12" t="s">
        <v>282</v>
      </c>
      <c r="AV14" s="12" t="s">
        <v>567</v>
      </c>
      <c r="AW14" s="12" t="s">
        <v>567</v>
      </c>
      <c r="AX14" s="12" t="s">
        <v>567</v>
      </c>
      <c r="AY14" s="12" t="s">
        <v>461</v>
      </c>
      <c r="AZ14" s="12" t="s">
        <v>461</v>
      </c>
      <c r="BA14" s="12" t="s">
        <v>507</v>
      </c>
      <c r="BB14" s="12" t="s">
        <v>374</v>
      </c>
      <c r="BC14" s="12" t="s">
        <v>374</v>
      </c>
      <c r="BD14" s="12" t="s">
        <v>616</v>
      </c>
      <c r="BE14" s="12" t="s">
        <v>617</v>
      </c>
      <c r="BF14" s="12" t="s">
        <v>618</v>
      </c>
      <c r="BG14" s="12" t="s">
        <v>469</v>
      </c>
      <c r="BH14" s="12" t="s">
        <v>509</v>
      </c>
      <c r="BI14" s="12" t="s">
        <v>290</v>
      </c>
      <c r="BJ14" s="12" t="s">
        <v>619</v>
      </c>
      <c r="BK14" s="12" t="s">
        <v>620</v>
      </c>
      <c r="BL14" s="12" t="s">
        <v>621</v>
      </c>
      <c r="BM14" s="12" t="s">
        <v>344</v>
      </c>
      <c r="BN14" s="12" t="s">
        <v>622</v>
      </c>
      <c r="BO14" s="12" t="s">
        <v>623</v>
      </c>
      <c r="BP14" s="12" t="s">
        <v>624</v>
      </c>
      <c r="BQ14" s="12" t="s">
        <v>625</v>
      </c>
      <c r="BR14" s="12" t="s">
        <v>305</v>
      </c>
      <c r="BS14" s="12" t="s">
        <v>626</v>
      </c>
      <c r="BT14" s="12" t="s">
        <v>627</v>
      </c>
      <c r="BU14" s="12" t="s">
        <v>628</v>
      </c>
      <c r="BV14" s="12" t="s">
        <v>629</v>
      </c>
      <c r="BW14" s="12" t="s">
        <v>630</v>
      </c>
      <c r="BX14" s="12" t="s">
        <v>631</v>
      </c>
      <c r="BY14" s="12" t="s">
        <v>632</v>
      </c>
      <c r="BZ14" s="12" t="s">
        <v>633</v>
      </c>
      <c r="CA14" s="12" t="s">
        <v>634</v>
      </c>
      <c r="CB14" s="12" t="s">
        <v>530</v>
      </c>
      <c r="CC14" s="12" t="s">
        <v>635</v>
      </c>
      <c r="CD14" s="12" t="s">
        <v>636</v>
      </c>
      <c r="CE14" s="12" t="s">
        <v>637</v>
      </c>
      <c r="CF14" s="12" t="s">
        <v>638</v>
      </c>
      <c r="CG14" s="12" t="s">
        <v>639</v>
      </c>
      <c r="CH14" s="12" t="s">
        <v>640</v>
      </c>
      <c r="CI14" s="12" t="s">
        <v>641</v>
      </c>
      <c r="CJ14" s="12" t="s">
        <v>642</v>
      </c>
      <c r="CK14" s="12" t="s">
        <v>643</v>
      </c>
      <c r="CL14" s="12" t="s">
        <v>644</v>
      </c>
      <c r="CM14" s="12" t="s">
        <v>645</v>
      </c>
      <c r="CN14" s="12" t="s">
        <v>646</v>
      </c>
      <c r="CO14" s="12" t="s">
        <v>647</v>
      </c>
      <c r="CP14" s="12" t="s">
        <v>647</v>
      </c>
      <c r="CQ14" s="12" t="s">
        <v>648</v>
      </c>
      <c r="CR14" s="12" t="s">
        <v>648</v>
      </c>
      <c r="CS14" s="12" t="s">
        <v>314</v>
      </c>
      <c r="CT14" s="12" t="s">
        <v>314</v>
      </c>
      <c r="CU14" s="12" t="s">
        <v>314</v>
      </c>
      <c r="CV14" s="12" t="s">
        <v>2884</v>
      </c>
      <c r="CW14" s="12" t="s">
        <v>1565</v>
      </c>
      <c r="CX14" s="12" t="s">
        <v>1456</v>
      </c>
    </row>
    <row r="15" spans="1:102" hidden="1" x14ac:dyDescent="0.3">
      <c r="A15" s="12" t="s">
        <v>649</v>
      </c>
      <c r="B15" s="12" t="s">
        <v>547</v>
      </c>
      <c r="C15" s="12" t="s">
        <v>650</v>
      </c>
      <c r="D15" s="12" t="s">
        <v>651</v>
      </c>
      <c r="E15" s="12" t="s">
        <v>277</v>
      </c>
      <c r="F15" s="12" t="s">
        <v>277</v>
      </c>
      <c r="G15" s="12" t="s">
        <v>277</v>
      </c>
      <c r="H15" s="12" t="s">
        <v>277</v>
      </c>
      <c r="I15" s="12" t="s">
        <v>277</v>
      </c>
      <c r="J15" s="12" t="s">
        <v>277</v>
      </c>
      <c r="K15" s="12" t="s">
        <v>277</v>
      </c>
      <c r="L15" s="12" t="s">
        <v>277</v>
      </c>
      <c r="M15" s="12" t="s">
        <v>277</v>
      </c>
      <c r="N15" s="12" t="s">
        <v>277</v>
      </c>
      <c r="O15" s="12" t="s">
        <v>278</v>
      </c>
      <c r="P15" s="12" t="s">
        <v>322</v>
      </c>
      <c r="Q15" s="12" t="s">
        <v>322</v>
      </c>
      <c r="R15" s="12" t="s">
        <v>322</v>
      </c>
      <c r="S15" s="12" t="s">
        <v>322</v>
      </c>
      <c r="T15" s="12" t="s">
        <v>322</v>
      </c>
      <c r="U15" s="12" t="s">
        <v>322</v>
      </c>
      <c r="V15" s="12" t="s">
        <v>322</v>
      </c>
      <c r="W15" s="12" t="s">
        <v>322</v>
      </c>
      <c r="X15" s="12" t="s">
        <v>322</v>
      </c>
      <c r="Y15" s="12" t="s">
        <v>322</v>
      </c>
      <c r="Z15" s="12" t="s">
        <v>322</v>
      </c>
      <c r="AA15" s="12" t="s">
        <v>322</v>
      </c>
      <c r="AB15" s="12" t="s">
        <v>322</v>
      </c>
      <c r="AC15" s="12" t="s">
        <v>322</v>
      </c>
      <c r="AD15" s="12" t="s">
        <v>322</v>
      </c>
      <c r="AE15" s="12" t="s">
        <v>322</v>
      </c>
      <c r="AF15" s="12" t="s">
        <v>322</v>
      </c>
      <c r="AG15" s="12" t="s">
        <v>322</v>
      </c>
      <c r="AH15" s="12" t="s">
        <v>322</v>
      </c>
      <c r="AI15" s="12" t="s">
        <v>322</v>
      </c>
      <c r="AJ15" s="12" t="s">
        <v>322</v>
      </c>
      <c r="AK15" s="12" t="s">
        <v>322</v>
      </c>
      <c r="AL15" s="12" t="s">
        <v>322</v>
      </c>
      <c r="AM15" s="12" t="s">
        <v>322</v>
      </c>
      <c r="AN15" s="12" t="s">
        <v>322</v>
      </c>
      <c r="AO15" s="12" t="s">
        <v>322</v>
      </c>
      <c r="AP15" s="12" t="s">
        <v>322</v>
      </c>
      <c r="AQ15" s="12" t="s">
        <v>371</v>
      </c>
      <c r="AR15" s="12" t="s">
        <v>371</v>
      </c>
      <c r="AS15" s="12" t="s">
        <v>371</v>
      </c>
      <c r="AT15" s="12" t="s">
        <v>371</v>
      </c>
      <c r="AU15" s="12" t="s">
        <v>280</v>
      </c>
      <c r="AV15" s="12" t="s">
        <v>280</v>
      </c>
      <c r="AW15" s="12" t="s">
        <v>281</v>
      </c>
      <c r="AX15" s="12" t="s">
        <v>281</v>
      </c>
      <c r="AY15" s="12" t="s">
        <v>281</v>
      </c>
      <c r="AZ15" s="12" t="s">
        <v>281</v>
      </c>
      <c r="BA15" s="12" t="s">
        <v>281</v>
      </c>
      <c r="BB15" s="12" t="s">
        <v>460</v>
      </c>
      <c r="BC15" s="12" t="s">
        <v>460</v>
      </c>
      <c r="BD15" s="12" t="s">
        <v>283</v>
      </c>
      <c r="BE15" s="12" t="s">
        <v>373</v>
      </c>
      <c r="BF15" s="12" t="s">
        <v>374</v>
      </c>
      <c r="BG15" s="12" t="s">
        <v>652</v>
      </c>
      <c r="BH15" s="12" t="s">
        <v>652</v>
      </c>
      <c r="BI15" s="12" t="s">
        <v>376</v>
      </c>
      <c r="BJ15" s="12" t="s">
        <v>328</v>
      </c>
      <c r="BK15" s="12" t="s">
        <v>653</v>
      </c>
      <c r="BL15" s="12" t="s">
        <v>654</v>
      </c>
      <c r="BM15" s="12" t="s">
        <v>560</v>
      </c>
      <c r="BN15" s="12" t="s">
        <v>572</v>
      </c>
      <c r="BO15" s="12" t="s">
        <v>293</v>
      </c>
      <c r="BP15" s="12" t="s">
        <v>293</v>
      </c>
      <c r="BQ15" s="12" t="s">
        <v>514</v>
      </c>
      <c r="BR15" s="12" t="s">
        <v>655</v>
      </c>
      <c r="BS15" s="12" t="s">
        <v>656</v>
      </c>
      <c r="BT15" s="12" t="s">
        <v>298</v>
      </c>
      <c r="BU15" s="12" t="s">
        <v>657</v>
      </c>
      <c r="BV15" s="12" t="s">
        <v>658</v>
      </c>
      <c r="BW15" s="12" t="s">
        <v>300</v>
      </c>
      <c r="BX15" s="12" t="s">
        <v>300</v>
      </c>
      <c r="BY15" s="12" t="s">
        <v>659</v>
      </c>
      <c r="BZ15" s="12" t="s">
        <v>519</v>
      </c>
      <c r="CA15" s="12" t="s">
        <v>519</v>
      </c>
      <c r="CB15" s="12" t="s">
        <v>660</v>
      </c>
      <c r="CC15" s="12" t="s">
        <v>660</v>
      </c>
      <c r="CD15" s="12" t="s">
        <v>661</v>
      </c>
      <c r="CE15" s="12" t="s">
        <v>662</v>
      </c>
      <c r="CF15" s="12" t="s">
        <v>432</v>
      </c>
      <c r="CG15" s="12" t="s">
        <v>663</v>
      </c>
      <c r="CH15" s="12" t="s">
        <v>663</v>
      </c>
      <c r="CI15" s="12" t="s">
        <v>663</v>
      </c>
      <c r="CJ15" s="12" t="s">
        <v>354</v>
      </c>
      <c r="CK15" s="12" t="s">
        <v>354</v>
      </c>
      <c r="CL15" s="12" t="s">
        <v>354</v>
      </c>
      <c r="CM15" s="12" t="s">
        <v>664</v>
      </c>
      <c r="CN15" s="12" t="s">
        <v>664</v>
      </c>
      <c r="CO15" s="12" t="s">
        <v>664</v>
      </c>
      <c r="CP15" s="12" t="s">
        <v>664</v>
      </c>
      <c r="CQ15" s="12" t="s">
        <v>665</v>
      </c>
      <c r="CR15" s="12" t="s">
        <v>666</v>
      </c>
      <c r="CS15" s="12" t="s">
        <v>666</v>
      </c>
      <c r="CT15" s="12" t="s">
        <v>666</v>
      </c>
      <c r="CU15" s="12" t="s">
        <v>666</v>
      </c>
      <c r="CV15" s="12" t="s">
        <v>666</v>
      </c>
      <c r="CW15" s="12" t="s">
        <v>666</v>
      </c>
      <c r="CX15" s="12" t="s">
        <v>666</v>
      </c>
    </row>
    <row r="16" spans="1:102" hidden="1" x14ac:dyDescent="0.3">
      <c r="A16" s="12" t="s">
        <v>667</v>
      </c>
      <c r="B16" s="12" t="s">
        <v>547</v>
      </c>
      <c r="C16" s="12" t="s">
        <v>668</v>
      </c>
      <c r="D16" s="12" t="s">
        <v>669</v>
      </c>
      <c r="E16" s="12" t="s">
        <v>277</v>
      </c>
      <c r="F16" s="12" t="s">
        <v>277</v>
      </c>
      <c r="G16" s="12" t="s">
        <v>277</v>
      </c>
      <c r="H16" s="12" t="s">
        <v>277</v>
      </c>
      <c r="I16" s="12" t="s">
        <v>277</v>
      </c>
      <c r="J16" s="12" t="s">
        <v>277</v>
      </c>
      <c r="K16" s="12" t="s">
        <v>277</v>
      </c>
      <c r="L16" s="12" t="s">
        <v>277</v>
      </c>
      <c r="M16" s="12" t="s">
        <v>277</v>
      </c>
      <c r="N16" s="12" t="s">
        <v>277</v>
      </c>
      <c r="O16" s="12" t="s">
        <v>277</v>
      </c>
      <c r="P16" s="12" t="s">
        <v>277</v>
      </c>
      <c r="Q16" s="12" t="s">
        <v>277</v>
      </c>
      <c r="R16" s="12" t="s">
        <v>277</v>
      </c>
      <c r="S16" s="12" t="s">
        <v>277</v>
      </c>
      <c r="T16" s="12" t="s">
        <v>277</v>
      </c>
      <c r="U16" s="12" t="s">
        <v>277</v>
      </c>
      <c r="V16" s="12" t="s">
        <v>277</v>
      </c>
      <c r="W16" s="12" t="s">
        <v>277</v>
      </c>
      <c r="X16" s="12" t="s">
        <v>277</v>
      </c>
      <c r="Y16" s="12" t="s">
        <v>277</v>
      </c>
      <c r="Z16" s="12" t="s">
        <v>277</v>
      </c>
      <c r="AA16" s="12" t="s">
        <v>277</v>
      </c>
      <c r="AB16" s="12" t="s">
        <v>277</v>
      </c>
      <c r="AC16" s="12" t="s">
        <v>277</v>
      </c>
      <c r="AD16" s="12" t="s">
        <v>277</v>
      </c>
      <c r="AE16" s="12" t="s">
        <v>277</v>
      </c>
      <c r="AF16" s="12" t="s">
        <v>277</v>
      </c>
      <c r="AG16" s="12" t="s">
        <v>277</v>
      </c>
      <c r="AH16" s="12" t="s">
        <v>277</v>
      </c>
      <c r="AI16" s="12" t="s">
        <v>277</v>
      </c>
      <c r="AJ16" s="12" t="s">
        <v>277</v>
      </c>
      <c r="AK16" s="12" t="s">
        <v>277</v>
      </c>
      <c r="AL16" s="12" t="s">
        <v>277</v>
      </c>
      <c r="AM16" s="12" t="s">
        <v>277</v>
      </c>
      <c r="AN16" s="12" t="s">
        <v>277</v>
      </c>
      <c r="AO16" s="12" t="s">
        <v>277</v>
      </c>
      <c r="AP16" s="12" t="s">
        <v>277</v>
      </c>
      <c r="AQ16" s="12" t="s">
        <v>277</v>
      </c>
      <c r="AR16" s="12" t="s">
        <v>277</v>
      </c>
      <c r="AS16" s="12" t="s">
        <v>278</v>
      </c>
      <c r="AT16" s="12" t="s">
        <v>278</v>
      </c>
      <c r="AU16" s="12" t="s">
        <v>278</v>
      </c>
      <c r="AV16" s="12" t="s">
        <v>278</v>
      </c>
      <c r="AW16" s="12" t="s">
        <v>278</v>
      </c>
      <c r="AX16" s="12" t="s">
        <v>278</v>
      </c>
      <c r="AY16" s="12" t="s">
        <v>322</v>
      </c>
      <c r="AZ16" s="12" t="s">
        <v>322</v>
      </c>
      <c r="BA16" s="12" t="s">
        <v>322</v>
      </c>
      <c r="BB16" s="12" t="s">
        <v>371</v>
      </c>
      <c r="BC16" s="12" t="s">
        <v>371</v>
      </c>
      <c r="BD16" s="12" t="s">
        <v>280</v>
      </c>
      <c r="BE16" s="12" t="s">
        <v>280</v>
      </c>
      <c r="BF16" s="12" t="s">
        <v>550</v>
      </c>
      <c r="BG16" s="12" t="s">
        <v>281</v>
      </c>
      <c r="BH16" s="12" t="s">
        <v>281</v>
      </c>
      <c r="BI16" s="12" t="s">
        <v>323</v>
      </c>
      <c r="BJ16" s="12" t="s">
        <v>323</v>
      </c>
      <c r="BK16" s="12" t="s">
        <v>323</v>
      </c>
      <c r="BL16" s="12" t="s">
        <v>283</v>
      </c>
      <c r="BM16" s="12" t="s">
        <v>285</v>
      </c>
      <c r="BN16" s="12" t="s">
        <v>568</v>
      </c>
      <c r="BO16" s="12" t="s">
        <v>568</v>
      </c>
      <c r="BP16" s="12" t="s">
        <v>670</v>
      </c>
      <c r="BQ16" s="12" t="s">
        <v>671</v>
      </c>
      <c r="BR16" s="12" t="s">
        <v>671</v>
      </c>
      <c r="BS16" s="12" t="s">
        <v>552</v>
      </c>
      <c r="BT16" s="12" t="s">
        <v>672</v>
      </c>
      <c r="BU16" s="12" t="s">
        <v>672</v>
      </c>
      <c r="BV16" s="12" t="s">
        <v>673</v>
      </c>
      <c r="BW16" s="12" t="s">
        <v>673</v>
      </c>
      <c r="BX16" s="12" t="s">
        <v>674</v>
      </c>
      <c r="BY16" s="12" t="s">
        <v>288</v>
      </c>
      <c r="BZ16" s="12" t="s">
        <v>555</v>
      </c>
      <c r="CA16" s="12" t="s">
        <v>675</v>
      </c>
      <c r="CB16" s="12" t="s">
        <v>676</v>
      </c>
      <c r="CC16" s="12" t="s">
        <v>335</v>
      </c>
      <c r="CD16" s="12" t="s">
        <v>677</v>
      </c>
      <c r="CE16" s="12" t="s">
        <v>678</v>
      </c>
      <c r="CF16" s="12" t="s">
        <v>679</v>
      </c>
      <c r="CG16" s="12" t="s">
        <v>422</v>
      </c>
      <c r="CH16" s="12" t="s">
        <v>422</v>
      </c>
      <c r="CI16" s="12" t="s">
        <v>619</v>
      </c>
      <c r="CJ16" s="12" t="s">
        <v>680</v>
      </c>
      <c r="CK16" s="12" t="s">
        <v>680</v>
      </c>
      <c r="CL16" s="12" t="s">
        <v>681</v>
      </c>
      <c r="CM16" s="12" t="s">
        <v>682</v>
      </c>
      <c r="CN16" s="12" t="s">
        <v>424</v>
      </c>
      <c r="CO16" s="12" t="s">
        <v>683</v>
      </c>
      <c r="CP16" s="12" t="s">
        <v>684</v>
      </c>
      <c r="CQ16" s="12" t="s">
        <v>383</v>
      </c>
      <c r="CR16" s="12" t="s">
        <v>685</v>
      </c>
      <c r="CS16" s="12" t="s">
        <v>686</v>
      </c>
      <c r="CT16" s="12" t="s">
        <v>686</v>
      </c>
      <c r="CU16" s="12" t="s">
        <v>686</v>
      </c>
      <c r="CV16" s="12" t="s">
        <v>341</v>
      </c>
      <c r="CW16" s="12" t="s">
        <v>825</v>
      </c>
      <c r="CX16" s="12" t="s">
        <v>862</v>
      </c>
    </row>
    <row r="17" spans="1:102" hidden="1" x14ac:dyDescent="0.3">
      <c r="A17" s="12" t="s">
        <v>687</v>
      </c>
      <c r="B17" s="12" t="s">
        <v>547</v>
      </c>
      <c r="C17" s="12" t="s">
        <v>688</v>
      </c>
      <c r="D17" s="12" t="s">
        <v>689</v>
      </c>
      <c r="E17" s="12" t="s">
        <v>277</v>
      </c>
      <c r="F17" s="12" t="s">
        <v>277</v>
      </c>
      <c r="G17" s="12" t="s">
        <v>277</v>
      </c>
      <c r="H17" s="12" t="s">
        <v>277</v>
      </c>
      <c r="I17" s="12" t="s">
        <v>278</v>
      </c>
      <c r="J17" s="12" t="s">
        <v>278</v>
      </c>
      <c r="K17" s="12" t="s">
        <v>278</v>
      </c>
      <c r="L17" s="12" t="s">
        <v>278</v>
      </c>
      <c r="M17" s="12" t="s">
        <v>322</v>
      </c>
      <c r="N17" s="12" t="s">
        <v>371</v>
      </c>
      <c r="O17" s="12" t="s">
        <v>279</v>
      </c>
      <c r="P17" s="12" t="s">
        <v>279</v>
      </c>
      <c r="Q17" s="12" t="s">
        <v>279</v>
      </c>
      <c r="R17" s="12" t="s">
        <v>279</v>
      </c>
      <c r="S17" s="12" t="s">
        <v>279</v>
      </c>
      <c r="T17" s="12" t="s">
        <v>279</v>
      </c>
      <c r="U17" s="12" t="s">
        <v>279</v>
      </c>
      <c r="V17" s="12" t="s">
        <v>279</v>
      </c>
      <c r="W17" s="12" t="s">
        <v>279</v>
      </c>
      <c r="X17" s="12" t="s">
        <v>279</v>
      </c>
      <c r="Y17" s="12" t="s">
        <v>279</v>
      </c>
      <c r="Z17" s="12" t="s">
        <v>279</v>
      </c>
      <c r="AA17" s="12" t="s">
        <v>279</v>
      </c>
      <c r="AB17" s="12" t="s">
        <v>279</v>
      </c>
      <c r="AC17" s="12" t="s">
        <v>279</v>
      </c>
      <c r="AD17" s="12" t="s">
        <v>279</v>
      </c>
      <c r="AE17" s="12" t="s">
        <v>279</v>
      </c>
      <c r="AF17" s="12" t="s">
        <v>279</v>
      </c>
      <c r="AG17" s="12" t="s">
        <v>279</v>
      </c>
      <c r="AH17" s="12" t="s">
        <v>279</v>
      </c>
      <c r="AI17" s="12" t="s">
        <v>279</v>
      </c>
      <c r="AJ17" s="12" t="s">
        <v>279</v>
      </c>
      <c r="AK17" s="12" t="s">
        <v>279</v>
      </c>
      <c r="AL17" s="12" t="s">
        <v>279</v>
      </c>
      <c r="AM17" s="12" t="s">
        <v>279</v>
      </c>
      <c r="AN17" s="12" t="s">
        <v>279</v>
      </c>
      <c r="AO17" s="12" t="s">
        <v>279</v>
      </c>
      <c r="AP17" s="12" t="s">
        <v>279</v>
      </c>
      <c r="AQ17" s="12" t="s">
        <v>281</v>
      </c>
      <c r="AR17" s="12" t="s">
        <v>281</v>
      </c>
      <c r="AS17" s="12" t="s">
        <v>460</v>
      </c>
      <c r="AT17" s="12" t="s">
        <v>460</v>
      </c>
      <c r="AU17" s="12" t="s">
        <v>323</v>
      </c>
      <c r="AV17" s="12" t="s">
        <v>323</v>
      </c>
      <c r="AW17" s="12" t="s">
        <v>323</v>
      </c>
      <c r="AX17" s="12" t="s">
        <v>282</v>
      </c>
      <c r="AY17" s="12" t="s">
        <v>282</v>
      </c>
      <c r="AZ17" s="12" t="s">
        <v>461</v>
      </c>
      <c r="BA17" s="12" t="s">
        <v>507</v>
      </c>
      <c r="BB17" s="12" t="s">
        <v>284</v>
      </c>
      <c r="BC17" s="12" t="s">
        <v>284</v>
      </c>
      <c r="BD17" s="12" t="s">
        <v>670</v>
      </c>
      <c r="BE17" s="12" t="s">
        <v>690</v>
      </c>
      <c r="BF17" s="12" t="s">
        <v>691</v>
      </c>
      <c r="BG17" s="12" t="s">
        <v>553</v>
      </c>
      <c r="BH17" s="12" t="s">
        <v>290</v>
      </c>
      <c r="BI17" s="12" t="s">
        <v>692</v>
      </c>
      <c r="BJ17" s="12" t="s">
        <v>692</v>
      </c>
      <c r="BK17" s="12" t="s">
        <v>692</v>
      </c>
      <c r="BL17" s="12" t="s">
        <v>693</v>
      </c>
      <c r="BM17" s="12" t="s">
        <v>694</v>
      </c>
      <c r="BN17" s="12" t="s">
        <v>694</v>
      </c>
      <c r="BO17" s="12" t="s">
        <v>660</v>
      </c>
      <c r="BP17" s="12" t="s">
        <v>434</v>
      </c>
      <c r="BQ17" s="12" t="s">
        <v>695</v>
      </c>
      <c r="BR17" s="12" t="s">
        <v>696</v>
      </c>
      <c r="BS17" s="12" t="s">
        <v>697</v>
      </c>
      <c r="BT17" s="12" t="s">
        <v>698</v>
      </c>
      <c r="BU17" s="12" t="s">
        <v>699</v>
      </c>
      <c r="BV17" s="12" t="s">
        <v>700</v>
      </c>
      <c r="BW17" s="12" t="s">
        <v>701</v>
      </c>
      <c r="BX17" s="12" t="s">
        <v>702</v>
      </c>
      <c r="BY17" s="12" t="s">
        <v>703</v>
      </c>
      <c r="BZ17" s="12" t="s">
        <v>704</v>
      </c>
      <c r="CA17" s="12" t="s">
        <v>705</v>
      </c>
      <c r="CB17" s="12" t="s">
        <v>706</v>
      </c>
      <c r="CC17" s="12" t="s">
        <v>707</v>
      </c>
      <c r="CD17" s="12" t="s">
        <v>708</v>
      </c>
      <c r="CE17" s="12" t="s">
        <v>709</v>
      </c>
      <c r="CF17" s="12" t="s">
        <v>710</v>
      </c>
      <c r="CG17" s="12" t="s">
        <v>484</v>
      </c>
      <c r="CH17" s="12" t="s">
        <v>711</v>
      </c>
      <c r="CI17" s="12" t="s">
        <v>712</v>
      </c>
      <c r="CJ17" s="12" t="s">
        <v>540</v>
      </c>
      <c r="CK17" s="12" t="s">
        <v>713</v>
      </c>
      <c r="CL17" s="12" t="s">
        <v>713</v>
      </c>
      <c r="CM17" s="12" t="s">
        <v>714</v>
      </c>
      <c r="CN17" s="12" t="s">
        <v>715</v>
      </c>
      <c r="CO17" s="12" t="s">
        <v>716</v>
      </c>
      <c r="CP17" s="12" t="s">
        <v>717</v>
      </c>
      <c r="CQ17" s="12" t="s">
        <v>718</v>
      </c>
      <c r="CR17" s="12" t="s">
        <v>718</v>
      </c>
      <c r="CS17" s="12" t="s">
        <v>719</v>
      </c>
      <c r="CT17" s="12" t="s">
        <v>720</v>
      </c>
      <c r="CU17" s="12" t="s">
        <v>4071</v>
      </c>
      <c r="CV17" s="12" t="s">
        <v>1469</v>
      </c>
      <c r="CW17" s="12" t="s">
        <v>1469</v>
      </c>
      <c r="CX17" s="12" t="s">
        <v>4072</v>
      </c>
    </row>
    <row r="18" spans="1:102" hidden="1" x14ac:dyDescent="0.3">
      <c r="A18" s="12" t="s">
        <v>721</v>
      </c>
      <c r="B18" s="12" t="s">
        <v>547</v>
      </c>
      <c r="C18" s="12" t="s">
        <v>722</v>
      </c>
      <c r="D18" s="12" t="s">
        <v>723</v>
      </c>
      <c r="E18" s="12" t="s">
        <v>277</v>
      </c>
      <c r="F18" s="12" t="s">
        <v>277</v>
      </c>
      <c r="G18" s="12" t="s">
        <v>277</v>
      </c>
      <c r="H18" s="12" t="s">
        <v>277</v>
      </c>
      <c r="I18" s="12" t="s">
        <v>277</v>
      </c>
      <c r="J18" s="12" t="s">
        <v>277</v>
      </c>
      <c r="K18" s="12" t="s">
        <v>277</v>
      </c>
      <c r="L18" s="12" t="s">
        <v>277</v>
      </c>
      <c r="M18" s="12" t="s">
        <v>277</v>
      </c>
      <c r="N18" s="12" t="s">
        <v>277</v>
      </c>
      <c r="O18" s="12" t="s">
        <v>277</v>
      </c>
      <c r="P18" s="12" t="s">
        <v>277</v>
      </c>
      <c r="Q18" s="12" t="s">
        <v>277</v>
      </c>
      <c r="R18" s="12" t="s">
        <v>277</v>
      </c>
      <c r="S18" s="12" t="s">
        <v>277</v>
      </c>
      <c r="T18" s="12" t="s">
        <v>277</v>
      </c>
      <c r="U18" s="12" t="s">
        <v>277</v>
      </c>
      <c r="V18" s="12" t="s">
        <v>277</v>
      </c>
      <c r="W18" s="12" t="s">
        <v>277</v>
      </c>
      <c r="X18" s="12" t="s">
        <v>277</v>
      </c>
      <c r="Y18" s="12" t="s">
        <v>277</v>
      </c>
      <c r="Z18" s="12" t="s">
        <v>277</v>
      </c>
      <c r="AA18" s="12" t="s">
        <v>277</v>
      </c>
      <c r="AB18" s="12" t="s">
        <v>277</v>
      </c>
      <c r="AC18" s="12" t="s">
        <v>277</v>
      </c>
      <c r="AD18" s="12" t="s">
        <v>277</v>
      </c>
      <c r="AE18" s="12" t="s">
        <v>277</v>
      </c>
      <c r="AF18" s="12" t="s">
        <v>277</v>
      </c>
      <c r="AG18" s="12" t="s">
        <v>277</v>
      </c>
      <c r="AH18" s="12" t="s">
        <v>277</v>
      </c>
      <c r="AI18" s="12" t="s">
        <v>277</v>
      </c>
      <c r="AJ18" s="12" t="s">
        <v>277</v>
      </c>
      <c r="AK18" s="12" t="s">
        <v>277</v>
      </c>
      <c r="AL18" s="12" t="s">
        <v>277</v>
      </c>
      <c r="AM18" s="12" t="s">
        <v>277</v>
      </c>
      <c r="AN18" s="12" t="s">
        <v>277</v>
      </c>
      <c r="AO18" s="12" t="s">
        <v>277</v>
      </c>
      <c r="AP18" s="12" t="s">
        <v>277</v>
      </c>
      <c r="AQ18" s="12" t="s">
        <v>322</v>
      </c>
      <c r="AR18" s="12" t="s">
        <v>322</v>
      </c>
      <c r="AS18" s="12" t="s">
        <v>322</v>
      </c>
      <c r="AT18" s="12" t="s">
        <v>322</v>
      </c>
      <c r="AU18" s="12" t="s">
        <v>322</v>
      </c>
      <c r="AV18" s="12" t="s">
        <v>371</v>
      </c>
      <c r="AW18" s="12" t="s">
        <v>371</v>
      </c>
      <c r="AX18" s="12" t="s">
        <v>371</v>
      </c>
      <c r="AY18" s="12" t="s">
        <v>371</v>
      </c>
      <c r="AZ18" s="12" t="s">
        <v>279</v>
      </c>
      <c r="BA18" s="12" t="s">
        <v>550</v>
      </c>
      <c r="BB18" s="12" t="s">
        <v>460</v>
      </c>
      <c r="BC18" s="12" t="s">
        <v>460</v>
      </c>
      <c r="BD18" s="12" t="s">
        <v>455</v>
      </c>
      <c r="BE18" s="12" t="s">
        <v>372</v>
      </c>
      <c r="BF18" s="12" t="s">
        <v>372</v>
      </c>
      <c r="BG18" s="12" t="s">
        <v>568</v>
      </c>
      <c r="BH18" s="12" t="s">
        <v>465</v>
      </c>
      <c r="BI18" s="12" t="s">
        <v>616</v>
      </c>
      <c r="BJ18" s="12" t="s">
        <v>508</v>
      </c>
      <c r="BK18" s="12" t="s">
        <v>332</v>
      </c>
      <c r="BL18" s="12" t="s">
        <v>381</v>
      </c>
      <c r="BM18" s="12" t="s">
        <v>292</v>
      </c>
      <c r="BN18" s="12" t="s">
        <v>724</v>
      </c>
      <c r="BO18" s="12" t="s">
        <v>725</v>
      </c>
      <c r="BP18" s="12" t="s">
        <v>725</v>
      </c>
      <c r="BQ18" s="12" t="s">
        <v>726</v>
      </c>
      <c r="BR18" s="12" t="s">
        <v>726</v>
      </c>
      <c r="BS18" s="12" t="s">
        <v>727</v>
      </c>
      <c r="BT18" s="12" t="s">
        <v>728</v>
      </c>
      <c r="BU18" s="12" t="s">
        <v>694</v>
      </c>
      <c r="BV18" s="12" t="s">
        <v>729</v>
      </c>
      <c r="BW18" s="12" t="s">
        <v>730</v>
      </c>
      <c r="BX18" s="12" t="s">
        <v>351</v>
      </c>
      <c r="BY18" s="12" t="s">
        <v>351</v>
      </c>
      <c r="BZ18" s="12" t="s">
        <v>577</v>
      </c>
      <c r="CA18" s="12" t="s">
        <v>731</v>
      </c>
      <c r="CB18" s="12" t="s">
        <v>732</v>
      </c>
      <c r="CC18" s="12" t="s">
        <v>732</v>
      </c>
      <c r="CD18" s="12" t="s">
        <v>733</v>
      </c>
      <c r="CE18" s="12" t="s">
        <v>734</v>
      </c>
      <c r="CF18" s="12" t="s">
        <v>735</v>
      </c>
      <c r="CG18" s="12" t="s">
        <v>736</v>
      </c>
      <c r="CH18" s="12" t="s">
        <v>736</v>
      </c>
      <c r="CI18" s="12" t="s">
        <v>737</v>
      </c>
      <c r="CJ18" s="12" t="s">
        <v>738</v>
      </c>
      <c r="CK18" s="12" t="s">
        <v>738</v>
      </c>
      <c r="CL18" s="12" t="s">
        <v>522</v>
      </c>
      <c r="CM18" s="12" t="s">
        <v>739</v>
      </c>
      <c r="CN18" s="12" t="s">
        <v>740</v>
      </c>
      <c r="CO18" s="12" t="s">
        <v>437</v>
      </c>
      <c r="CP18" s="12" t="s">
        <v>437</v>
      </c>
      <c r="CQ18" s="12" t="s">
        <v>741</v>
      </c>
      <c r="CR18" s="12" t="s">
        <v>741</v>
      </c>
      <c r="CS18" s="12" t="s">
        <v>741</v>
      </c>
      <c r="CT18" s="12" t="s">
        <v>361</v>
      </c>
      <c r="CU18" s="12" t="s">
        <v>1072</v>
      </c>
      <c r="CV18" s="12" t="s">
        <v>1072</v>
      </c>
      <c r="CW18" s="12" t="s">
        <v>1072</v>
      </c>
      <c r="CX18" s="12" t="s">
        <v>1782</v>
      </c>
    </row>
    <row r="19" spans="1:102" hidden="1" x14ac:dyDescent="0.3">
      <c r="A19" s="12" t="s">
        <v>12</v>
      </c>
      <c r="B19" s="12" t="s">
        <v>742</v>
      </c>
      <c r="C19" s="12" t="s">
        <v>743</v>
      </c>
      <c r="D19" s="12" t="s">
        <v>744</v>
      </c>
      <c r="E19" s="12" t="s">
        <v>277</v>
      </c>
      <c r="F19" s="12" t="s">
        <v>277</v>
      </c>
      <c r="G19" s="12" t="s">
        <v>277</v>
      </c>
      <c r="H19" s="12" t="s">
        <v>277</v>
      </c>
      <c r="I19" s="12" t="s">
        <v>277</v>
      </c>
      <c r="J19" s="12" t="s">
        <v>277</v>
      </c>
      <c r="K19" s="12" t="s">
        <v>277</v>
      </c>
      <c r="L19" s="12" t="s">
        <v>277</v>
      </c>
      <c r="M19" s="12" t="s">
        <v>277</v>
      </c>
      <c r="N19" s="12" t="s">
        <v>277</v>
      </c>
      <c r="O19" s="12" t="s">
        <v>277</v>
      </c>
      <c r="P19" s="12" t="s">
        <v>277</v>
      </c>
      <c r="Q19" s="12" t="s">
        <v>277</v>
      </c>
      <c r="R19" s="12" t="s">
        <v>277</v>
      </c>
      <c r="S19" s="12" t="s">
        <v>277</v>
      </c>
      <c r="T19" s="12" t="s">
        <v>277</v>
      </c>
      <c r="U19" s="12" t="s">
        <v>277</v>
      </c>
      <c r="V19" s="12" t="s">
        <v>277</v>
      </c>
      <c r="W19" s="12" t="s">
        <v>277</v>
      </c>
      <c r="X19" s="12" t="s">
        <v>277</v>
      </c>
      <c r="Y19" s="12" t="s">
        <v>277</v>
      </c>
      <c r="Z19" s="12" t="s">
        <v>277</v>
      </c>
      <c r="AA19" s="12" t="s">
        <v>277</v>
      </c>
      <c r="AB19" s="12" t="s">
        <v>277</v>
      </c>
      <c r="AC19" s="12" t="s">
        <v>277</v>
      </c>
      <c r="AD19" s="12" t="s">
        <v>277</v>
      </c>
      <c r="AE19" s="12" t="s">
        <v>277</v>
      </c>
      <c r="AF19" s="12" t="s">
        <v>277</v>
      </c>
      <c r="AG19" s="12" t="s">
        <v>277</v>
      </c>
      <c r="AH19" s="12" t="s">
        <v>277</v>
      </c>
      <c r="AI19" s="12" t="s">
        <v>277</v>
      </c>
      <c r="AJ19" s="12" t="s">
        <v>277</v>
      </c>
      <c r="AK19" s="12" t="s">
        <v>277</v>
      </c>
      <c r="AL19" s="12" t="s">
        <v>277</v>
      </c>
      <c r="AM19" s="12" t="s">
        <v>322</v>
      </c>
      <c r="AN19" s="12" t="s">
        <v>322</v>
      </c>
      <c r="AO19" s="12" t="s">
        <v>371</v>
      </c>
      <c r="AP19" s="12" t="s">
        <v>371</v>
      </c>
      <c r="AQ19" s="12" t="s">
        <v>460</v>
      </c>
      <c r="AR19" s="12" t="s">
        <v>455</v>
      </c>
      <c r="AS19" s="12" t="s">
        <v>507</v>
      </c>
      <c r="AT19" s="12" t="s">
        <v>284</v>
      </c>
      <c r="AU19" s="12" t="s">
        <v>652</v>
      </c>
      <c r="AV19" s="12" t="s">
        <v>745</v>
      </c>
      <c r="AW19" s="12" t="s">
        <v>330</v>
      </c>
      <c r="AX19" s="12" t="s">
        <v>470</v>
      </c>
      <c r="AY19" s="12" t="s">
        <v>336</v>
      </c>
      <c r="AZ19" s="12" t="s">
        <v>746</v>
      </c>
      <c r="BA19" s="12" t="s">
        <v>747</v>
      </c>
      <c r="BB19" s="12" t="s">
        <v>748</v>
      </c>
      <c r="BC19" s="12" t="s">
        <v>386</v>
      </c>
      <c r="BD19" s="12" t="s">
        <v>749</v>
      </c>
      <c r="BE19" s="12" t="s">
        <v>750</v>
      </c>
      <c r="BF19" s="12" t="s">
        <v>751</v>
      </c>
      <c r="BG19" s="12" t="s">
        <v>752</v>
      </c>
      <c r="BH19" s="12" t="s">
        <v>753</v>
      </c>
      <c r="BI19" s="12" t="s">
        <v>754</v>
      </c>
      <c r="BJ19" s="12" t="s">
        <v>755</v>
      </c>
      <c r="BK19" s="12" t="s">
        <v>756</v>
      </c>
      <c r="BL19" s="12" t="s">
        <v>757</v>
      </c>
      <c r="BM19" s="12" t="s">
        <v>758</v>
      </c>
      <c r="BN19" s="12" t="s">
        <v>759</v>
      </c>
      <c r="BO19" s="12" t="s">
        <v>760</v>
      </c>
      <c r="BP19" s="12" t="s">
        <v>761</v>
      </c>
      <c r="BQ19" s="12" t="s">
        <v>762</v>
      </c>
      <c r="BR19" s="12" t="s">
        <v>763</v>
      </c>
      <c r="BS19" s="12" t="s">
        <v>764</v>
      </c>
      <c r="BT19" s="12" t="s">
        <v>765</v>
      </c>
      <c r="BU19" s="12" t="s">
        <v>766</v>
      </c>
      <c r="BV19" s="12" t="s">
        <v>767</v>
      </c>
      <c r="BW19" s="12" t="s">
        <v>768</v>
      </c>
      <c r="BX19" s="12" t="s">
        <v>769</v>
      </c>
      <c r="BY19" s="12" t="s">
        <v>770</v>
      </c>
      <c r="BZ19" s="12" t="s">
        <v>771</v>
      </c>
      <c r="CA19" s="12" t="s">
        <v>772</v>
      </c>
      <c r="CB19" s="12" t="s">
        <v>773</v>
      </c>
      <c r="CC19" s="12" t="s">
        <v>774</v>
      </c>
      <c r="CD19" s="12" t="s">
        <v>775</v>
      </c>
      <c r="CE19" s="12" t="s">
        <v>776</v>
      </c>
      <c r="CF19" s="12" t="s">
        <v>777</v>
      </c>
      <c r="CG19" s="12" t="s">
        <v>778</v>
      </c>
      <c r="CH19" s="12" t="s">
        <v>779</v>
      </c>
      <c r="CI19" s="12" t="s">
        <v>780</v>
      </c>
      <c r="CJ19" s="12" t="s">
        <v>781</v>
      </c>
      <c r="CK19" s="12" t="s">
        <v>782</v>
      </c>
      <c r="CL19" s="12" t="s">
        <v>783</v>
      </c>
      <c r="CM19" s="12" t="s">
        <v>784</v>
      </c>
      <c r="CN19" s="12" t="s">
        <v>785</v>
      </c>
      <c r="CO19" s="12" t="s">
        <v>786</v>
      </c>
      <c r="CP19" s="12" t="s">
        <v>787</v>
      </c>
      <c r="CQ19" s="12" t="s">
        <v>788</v>
      </c>
      <c r="CR19" s="12" t="s">
        <v>789</v>
      </c>
      <c r="CS19" s="12" t="s">
        <v>790</v>
      </c>
      <c r="CT19" s="12" t="s">
        <v>791</v>
      </c>
      <c r="CU19" s="12" t="s">
        <v>4073</v>
      </c>
      <c r="CV19" s="12" t="s">
        <v>4074</v>
      </c>
      <c r="CW19" s="12" t="s">
        <v>4075</v>
      </c>
      <c r="CX19" s="12" t="s">
        <v>4076</v>
      </c>
    </row>
    <row r="20" spans="1:102" hidden="1" x14ac:dyDescent="0.3">
      <c r="A20" s="12" t="s">
        <v>12</v>
      </c>
      <c r="B20" s="12" t="s">
        <v>792</v>
      </c>
      <c r="C20" s="12" t="s">
        <v>793</v>
      </c>
      <c r="D20" s="12" t="s">
        <v>794</v>
      </c>
      <c r="E20" s="12" t="s">
        <v>277</v>
      </c>
      <c r="F20" s="12" t="s">
        <v>277</v>
      </c>
      <c r="G20" s="12" t="s">
        <v>277</v>
      </c>
      <c r="H20" s="12" t="s">
        <v>277</v>
      </c>
      <c r="I20" s="12" t="s">
        <v>277</v>
      </c>
      <c r="J20" s="12" t="s">
        <v>277</v>
      </c>
      <c r="K20" s="12" t="s">
        <v>277</v>
      </c>
      <c r="L20" s="12" t="s">
        <v>277</v>
      </c>
      <c r="M20" s="12" t="s">
        <v>277</v>
      </c>
      <c r="N20" s="12" t="s">
        <v>277</v>
      </c>
      <c r="O20" s="12" t="s">
        <v>277</v>
      </c>
      <c r="P20" s="12" t="s">
        <v>277</v>
      </c>
      <c r="Q20" s="12" t="s">
        <v>277</v>
      </c>
      <c r="R20" s="12" t="s">
        <v>277</v>
      </c>
      <c r="S20" s="12" t="s">
        <v>277</v>
      </c>
      <c r="T20" s="12" t="s">
        <v>277</v>
      </c>
      <c r="U20" s="12" t="s">
        <v>277</v>
      </c>
      <c r="V20" s="12" t="s">
        <v>277</v>
      </c>
      <c r="W20" s="12" t="s">
        <v>277</v>
      </c>
      <c r="X20" s="12" t="s">
        <v>277</v>
      </c>
      <c r="Y20" s="12" t="s">
        <v>277</v>
      </c>
      <c r="Z20" s="12" t="s">
        <v>277</v>
      </c>
      <c r="AA20" s="12" t="s">
        <v>277</v>
      </c>
      <c r="AB20" s="12" t="s">
        <v>277</v>
      </c>
      <c r="AC20" s="12" t="s">
        <v>277</v>
      </c>
      <c r="AD20" s="12" t="s">
        <v>277</v>
      </c>
      <c r="AE20" s="12" t="s">
        <v>277</v>
      </c>
      <c r="AF20" s="12" t="s">
        <v>277</v>
      </c>
      <c r="AG20" s="12" t="s">
        <v>277</v>
      </c>
      <c r="AH20" s="12" t="s">
        <v>277</v>
      </c>
      <c r="AI20" s="12" t="s">
        <v>277</v>
      </c>
      <c r="AJ20" s="12" t="s">
        <v>277</v>
      </c>
      <c r="AK20" s="12" t="s">
        <v>277</v>
      </c>
      <c r="AL20" s="12" t="s">
        <v>277</v>
      </c>
      <c r="AM20" s="12" t="s">
        <v>277</v>
      </c>
      <c r="AN20" s="12" t="s">
        <v>277</v>
      </c>
      <c r="AO20" s="12" t="s">
        <v>277</v>
      </c>
      <c r="AP20" s="12" t="s">
        <v>277</v>
      </c>
      <c r="AQ20" s="12" t="s">
        <v>277</v>
      </c>
      <c r="AR20" s="12" t="s">
        <v>371</v>
      </c>
      <c r="AS20" s="12" t="s">
        <v>371</v>
      </c>
      <c r="AT20" s="12" t="s">
        <v>371</v>
      </c>
      <c r="AU20" s="12" t="s">
        <v>371</v>
      </c>
      <c r="AV20" s="12" t="s">
        <v>550</v>
      </c>
      <c r="AW20" s="12" t="s">
        <v>550</v>
      </c>
      <c r="AX20" s="12" t="s">
        <v>460</v>
      </c>
      <c r="AY20" s="12" t="s">
        <v>460</v>
      </c>
      <c r="AZ20" s="12" t="s">
        <v>460</v>
      </c>
      <c r="BA20" s="12" t="s">
        <v>282</v>
      </c>
      <c r="BB20" s="12" t="s">
        <v>282</v>
      </c>
      <c r="BC20" s="12" t="s">
        <v>282</v>
      </c>
      <c r="BD20" s="12" t="s">
        <v>461</v>
      </c>
      <c r="BE20" s="12" t="s">
        <v>461</v>
      </c>
      <c r="BF20" s="12" t="s">
        <v>325</v>
      </c>
      <c r="BG20" s="12" t="s">
        <v>568</v>
      </c>
      <c r="BH20" s="12" t="s">
        <v>568</v>
      </c>
      <c r="BI20" s="12" t="s">
        <v>568</v>
      </c>
      <c r="BJ20" s="12" t="s">
        <v>795</v>
      </c>
      <c r="BK20" s="12" t="s">
        <v>795</v>
      </c>
      <c r="BL20" s="12" t="s">
        <v>418</v>
      </c>
      <c r="BM20" s="12" t="s">
        <v>569</v>
      </c>
      <c r="BN20" s="12" t="s">
        <v>674</v>
      </c>
      <c r="BO20" s="12" t="s">
        <v>380</v>
      </c>
      <c r="BP20" s="12" t="s">
        <v>557</v>
      </c>
      <c r="BQ20" s="12" t="s">
        <v>679</v>
      </c>
      <c r="BR20" s="12" t="s">
        <v>680</v>
      </c>
      <c r="BS20" s="12" t="s">
        <v>747</v>
      </c>
      <c r="BT20" s="12" t="s">
        <v>796</v>
      </c>
      <c r="BU20" s="12" t="s">
        <v>296</v>
      </c>
      <c r="BV20" s="12" t="s">
        <v>797</v>
      </c>
      <c r="BW20" s="12" t="s">
        <v>798</v>
      </c>
      <c r="BX20" s="12" t="s">
        <v>351</v>
      </c>
      <c r="BY20" s="12" t="s">
        <v>624</v>
      </c>
      <c r="BZ20" s="12" t="s">
        <v>304</v>
      </c>
      <c r="CA20" s="12" t="s">
        <v>363</v>
      </c>
      <c r="CB20" s="12" t="s">
        <v>799</v>
      </c>
      <c r="CC20" s="12" t="s">
        <v>448</v>
      </c>
      <c r="CD20" s="12" t="s">
        <v>526</v>
      </c>
      <c r="CE20" s="12" t="s">
        <v>800</v>
      </c>
      <c r="CF20" s="12" t="s">
        <v>801</v>
      </c>
      <c r="CG20" s="12" t="s">
        <v>802</v>
      </c>
      <c r="CH20" s="12" t="s">
        <v>803</v>
      </c>
      <c r="CI20" s="12" t="s">
        <v>804</v>
      </c>
      <c r="CJ20" s="12" t="s">
        <v>805</v>
      </c>
      <c r="CK20" s="12" t="s">
        <v>806</v>
      </c>
      <c r="CL20" s="12" t="s">
        <v>807</v>
      </c>
      <c r="CM20" s="12" t="s">
        <v>808</v>
      </c>
      <c r="CN20" s="12" t="s">
        <v>809</v>
      </c>
      <c r="CO20" s="12" t="s">
        <v>810</v>
      </c>
      <c r="CP20" s="12" t="s">
        <v>811</v>
      </c>
      <c r="CQ20" s="12" t="s">
        <v>812</v>
      </c>
      <c r="CR20" s="12" t="s">
        <v>813</v>
      </c>
      <c r="CS20" s="12" t="s">
        <v>814</v>
      </c>
      <c r="CT20" s="12" t="s">
        <v>815</v>
      </c>
      <c r="CU20" s="12" t="s">
        <v>583</v>
      </c>
      <c r="CV20" s="12" t="s">
        <v>4077</v>
      </c>
      <c r="CW20" s="12" t="s">
        <v>3909</v>
      </c>
      <c r="CX20" s="12" t="s">
        <v>3148</v>
      </c>
    </row>
    <row r="21" spans="1:102" hidden="1" x14ac:dyDescent="0.3">
      <c r="A21" s="12" t="s">
        <v>12</v>
      </c>
      <c r="B21" s="12" t="s">
        <v>816</v>
      </c>
      <c r="C21" s="12" t="s">
        <v>817</v>
      </c>
      <c r="D21" s="12" t="s">
        <v>818</v>
      </c>
      <c r="E21" s="12" t="s">
        <v>277</v>
      </c>
      <c r="F21" s="12" t="s">
        <v>277</v>
      </c>
      <c r="G21" s="12" t="s">
        <v>277</v>
      </c>
      <c r="H21" s="12" t="s">
        <v>277</v>
      </c>
      <c r="I21" s="12" t="s">
        <v>277</v>
      </c>
      <c r="J21" s="12" t="s">
        <v>277</v>
      </c>
      <c r="K21" s="12" t="s">
        <v>277</v>
      </c>
      <c r="L21" s="12" t="s">
        <v>277</v>
      </c>
      <c r="M21" s="12" t="s">
        <v>277</v>
      </c>
      <c r="N21" s="12" t="s">
        <v>277</v>
      </c>
      <c r="O21" s="12" t="s">
        <v>277</v>
      </c>
      <c r="P21" s="12" t="s">
        <v>277</v>
      </c>
      <c r="Q21" s="12" t="s">
        <v>277</v>
      </c>
      <c r="R21" s="12" t="s">
        <v>277</v>
      </c>
      <c r="S21" s="12" t="s">
        <v>277</v>
      </c>
      <c r="T21" s="12" t="s">
        <v>277</v>
      </c>
      <c r="U21" s="12" t="s">
        <v>277</v>
      </c>
      <c r="V21" s="12" t="s">
        <v>277</v>
      </c>
      <c r="W21" s="12" t="s">
        <v>277</v>
      </c>
      <c r="X21" s="12" t="s">
        <v>277</v>
      </c>
      <c r="Y21" s="12" t="s">
        <v>277</v>
      </c>
      <c r="Z21" s="12" t="s">
        <v>277</v>
      </c>
      <c r="AA21" s="12" t="s">
        <v>277</v>
      </c>
      <c r="AB21" s="12" t="s">
        <v>277</v>
      </c>
      <c r="AC21" s="12" t="s">
        <v>277</v>
      </c>
      <c r="AD21" s="12" t="s">
        <v>277</v>
      </c>
      <c r="AE21" s="12" t="s">
        <v>277</v>
      </c>
      <c r="AF21" s="12" t="s">
        <v>277</v>
      </c>
      <c r="AG21" s="12" t="s">
        <v>277</v>
      </c>
      <c r="AH21" s="12" t="s">
        <v>277</v>
      </c>
      <c r="AI21" s="12" t="s">
        <v>277</v>
      </c>
      <c r="AJ21" s="12" t="s">
        <v>277</v>
      </c>
      <c r="AK21" s="12" t="s">
        <v>277</v>
      </c>
      <c r="AL21" s="12" t="s">
        <v>277</v>
      </c>
      <c r="AM21" s="12" t="s">
        <v>277</v>
      </c>
      <c r="AN21" s="12" t="s">
        <v>277</v>
      </c>
      <c r="AO21" s="12" t="s">
        <v>277</v>
      </c>
      <c r="AP21" s="12" t="s">
        <v>277</v>
      </c>
      <c r="AQ21" s="12" t="s">
        <v>277</v>
      </c>
      <c r="AR21" s="12" t="s">
        <v>277</v>
      </c>
      <c r="AS21" s="12" t="s">
        <v>277</v>
      </c>
      <c r="AT21" s="12" t="s">
        <v>277</v>
      </c>
      <c r="AU21" s="12" t="s">
        <v>277</v>
      </c>
      <c r="AV21" s="12" t="s">
        <v>277</v>
      </c>
      <c r="AW21" s="12" t="s">
        <v>277</v>
      </c>
      <c r="AX21" s="12" t="s">
        <v>277</v>
      </c>
      <c r="AY21" s="12" t="s">
        <v>277</v>
      </c>
      <c r="AZ21" s="12" t="s">
        <v>277</v>
      </c>
      <c r="BA21" s="12" t="s">
        <v>277</v>
      </c>
      <c r="BB21" s="12" t="s">
        <v>277</v>
      </c>
      <c r="BC21" s="12" t="s">
        <v>277</v>
      </c>
      <c r="BD21" s="12" t="s">
        <v>277</v>
      </c>
      <c r="BE21" s="12" t="s">
        <v>277</v>
      </c>
      <c r="BF21" s="12" t="s">
        <v>277</v>
      </c>
      <c r="BG21" s="12" t="s">
        <v>278</v>
      </c>
      <c r="BH21" s="12" t="s">
        <v>278</v>
      </c>
      <c r="BI21" s="12" t="s">
        <v>278</v>
      </c>
      <c r="BJ21" s="12" t="s">
        <v>371</v>
      </c>
      <c r="BK21" s="12" t="s">
        <v>371</v>
      </c>
      <c r="BL21" s="12" t="s">
        <v>279</v>
      </c>
      <c r="BM21" s="12" t="s">
        <v>279</v>
      </c>
      <c r="BN21" s="12" t="s">
        <v>279</v>
      </c>
      <c r="BO21" s="12" t="s">
        <v>280</v>
      </c>
      <c r="BP21" s="12" t="s">
        <v>280</v>
      </c>
      <c r="BQ21" s="12" t="s">
        <v>460</v>
      </c>
      <c r="BR21" s="12" t="s">
        <v>323</v>
      </c>
      <c r="BS21" s="12" t="s">
        <v>323</v>
      </c>
      <c r="BT21" s="12" t="s">
        <v>282</v>
      </c>
      <c r="BU21" s="12" t="s">
        <v>455</v>
      </c>
      <c r="BV21" s="12" t="s">
        <v>455</v>
      </c>
      <c r="BW21" s="12" t="s">
        <v>284</v>
      </c>
      <c r="BX21" s="12" t="s">
        <v>286</v>
      </c>
      <c r="BY21" s="12" t="s">
        <v>286</v>
      </c>
      <c r="BZ21" s="12" t="s">
        <v>568</v>
      </c>
      <c r="CA21" s="12" t="s">
        <v>568</v>
      </c>
      <c r="CB21" s="12" t="s">
        <v>652</v>
      </c>
      <c r="CC21" s="12" t="s">
        <v>326</v>
      </c>
      <c r="CD21" s="12" t="s">
        <v>287</v>
      </c>
      <c r="CE21" s="12" t="s">
        <v>745</v>
      </c>
      <c r="CF21" s="12" t="s">
        <v>328</v>
      </c>
      <c r="CG21" s="12" t="s">
        <v>617</v>
      </c>
      <c r="CH21" s="12" t="s">
        <v>617</v>
      </c>
      <c r="CI21" s="12" t="s">
        <v>671</v>
      </c>
      <c r="CJ21" s="12" t="s">
        <v>690</v>
      </c>
      <c r="CK21" s="12" t="s">
        <v>690</v>
      </c>
      <c r="CL21" s="12" t="s">
        <v>418</v>
      </c>
      <c r="CM21" s="12" t="s">
        <v>378</v>
      </c>
      <c r="CN21" s="12" t="s">
        <v>330</v>
      </c>
      <c r="CO21" s="12" t="s">
        <v>330</v>
      </c>
      <c r="CP21" s="12" t="s">
        <v>379</v>
      </c>
      <c r="CQ21" s="12" t="s">
        <v>569</v>
      </c>
      <c r="CR21" s="12" t="s">
        <v>569</v>
      </c>
      <c r="CS21" s="12" t="s">
        <v>674</v>
      </c>
      <c r="CT21" s="12" t="s">
        <v>819</v>
      </c>
      <c r="CU21" s="12" t="s">
        <v>509</v>
      </c>
      <c r="CV21" s="12" t="s">
        <v>555</v>
      </c>
      <c r="CW21" s="12" t="s">
        <v>555</v>
      </c>
      <c r="CX21" s="12" t="s">
        <v>555</v>
      </c>
    </row>
    <row r="22" spans="1:102" hidden="1" x14ac:dyDescent="0.3">
      <c r="A22" s="12" t="s">
        <v>12</v>
      </c>
      <c r="B22" s="12" t="s">
        <v>820</v>
      </c>
      <c r="C22" s="12" t="s">
        <v>821</v>
      </c>
      <c r="D22" s="12" t="s">
        <v>822</v>
      </c>
      <c r="E22" s="12" t="s">
        <v>277</v>
      </c>
      <c r="F22" s="12" t="s">
        <v>277</v>
      </c>
      <c r="G22" s="12" t="s">
        <v>277</v>
      </c>
      <c r="H22" s="12" t="s">
        <v>277</v>
      </c>
      <c r="I22" s="12" t="s">
        <v>277</v>
      </c>
      <c r="J22" s="12" t="s">
        <v>277</v>
      </c>
      <c r="K22" s="12" t="s">
        <v>277</v>
      </c>
      <c r="L22" s="12" t="s">
        <v>277</v>
      </c>
      <c r="M22" s="12" t="s">
        <v>277</v>
      </c>
      <c r="N22" s="12" t="s">
        <v>277</v>
      </c>
      <c r="O22" s="12" t="s">
        <v>277</v>
      </c>
      <c r="P22" s="12" t="s">
        <v>277</v>
      </c>
      <c r="Q22" s="12" t="s">
        <v>277</v>
      </c>
      <c r="R22" s="12" t="s">
        <v>277</v>
      </c>
      <c r="S22" s="12" t="s">
        <v>277</v>
      </c>
      <c r="T22" s="12" t="s">
        <v>277</v>
      </c>
      <c r="U22" s="12" t="s">
        <v>277</v>
      </c>
      <c r="V22" s="12" t="s">
        <v>277</v>
      </c>
      <c r="W22" s="12" t="s">
        <v>277</v>
      </c>
      <c r="X22" s="12" t="s">
        <v>277</v>
      </c>
      <c r="Y22" s="12" t="s">
        <v>277</v>
      </c>
      <c r="Z22" s="12" t="s">
        <v>277</v>
      </c>
      <c r="AA22" s="12" t="s">
        <v>277</v>
      </c>
      <c r="AB22" s="12" t="s">
        <v>277</v>
      </c>
      <c r="AC22" s="12" t="s">
        <v>277</v>
      </c>
      <c r="AD22" s="12" t="s">
        <v>277</v>
      </c>
      <c r="AE22" s="12" t="s">
        <v>277</v>
      </c>
      <c r="AF22" s="12" t="s">
        <v>277</v>
      </c>
      <c r="AG22" s="12" t="s">
        <v>277</v>
      </c>
      <c r="AH22" s="12" t="s">
        <v>277</v>
      </c>
      <c r="AI22" s="12" t="s">
        <v>277</v>
      </c>
      <c r="AJ22" s="12" t="s">
        <v>277</v>
      </c>
      <c r="AK22" s="12" t="s">
        <v>277</v>
      </c>
      <c r="AL22" s="12" t="s">
        <v>278</v>
      </c>
      <c r="AM22" s="12" t="s">
        <v>325</v>
      </c>
      <c r="AN22" s="12" t="s">
        <v>326</v>
      </c>
      <c r="AO22" s="12" t="s">
        <v>326</v>
      </c>
      <c r="AP22" s="12" t="s">
        <v>670</v>
      </c>
      <c r="AQ22" s="12" t="s">
        <v>745</v>
      </c>
      <c r="AR22" s="12" t="s">
        <v>671</v>
      </c>
      <c r="AS22" s="12" t="s">
        <v>690</v>
      </c>
      <c r="AT22" s="12" t="s">
        <v>690</v>
      </c>
      <c r="AU22" s="12" t="s">
        <v>508</v>
      </c>
      <c r="AV22" s="12" t="s">
        <v>330</v>
      </c>
      <c r="AW22" s="12" t="s">
        <v>379</v>
      </c>
      <c r="AX22" s="12" t="s">
        <v>823</v>
      </c>
      <c r="AY22" s="12" t="s">
        <v>823</v>
      </c>
      <c r="AZ22" s="12" t="s">
        <v>824</v>
      </c>
      <c r="BA22" s="12" t="s">
        <v>291</v>
      </c>
      <c r="BB22" s="12" t="s">
        <v>683</v>
      </c>
      <c r="BC22" s="12" t="s">
        <v>683</v>
      </c>
      <c r="BD22" s="12" t="s">
        <v>683</v>
      </c>
      <c r="BE22" s="12" t="s">
        <v>574</v>
      </c>
      <c r="BF22" s="12" t="s">
        <v>825</v>
      </c>
      <c r="BG22" s="12" t="s">
        <v>825</v>
      </c>
      <c r="BH22" s="12" t="s">
        <v>826</v>
      </c>
      <c r="BI22" s="12" t="s">
        <v>827</v>
      </c>
      <c r="BJ22" s="12" t="s">
        <v>727</v>
      </c>
      <c r="BK22" s="12" t="s">
        <v>828</v>
      </c>
      <c r="BL22" s="12" t="s">
        <v>657</v>
      </c>
      <c r="BM22" s="12" t="s">
        <v>428</v>
      </c>
      <c r="BN22" s="12" t="s">
        <v>349</v>
      </c>
      <c r="BO22" s="12" t="s">
        <v>730</v>
      </c>
      <c r="BP22" s="12" t="s">
        <v>829</v>
      </c>
      <c r="BQ22" s="12" t="s">
        <v>830</v>
      </c>
      <c r="BR22" s="12" t="s">
        <v>434</v>
      </c>
      <c r="BS22" s="12" t="s">
        <v>831</v>
      </c>
      <c r="BT22" s="12" t="s">
        <v>832</v>
      </c>
      <c r="BU22" s="12" t="s">
        <v>833</v>
      </c>
      <c r="BV22" s="12" t="s">
        <v>834</v>
      </c>
      <c r="BW22" s="12" t="s">
        <v>835</v>
      </c>
      <c r="BX22" s="12" t="s">
        <v>836</v>
      </c>
      <c r="BY22" s="12" t="s">
        <v>837</v>
      </c>
      <c r="BZ22" s="12" t="s">
        <v>838</v>
      </c>
      <c r="CA22" s="12" t="s">
        <v>839</v>
      </c>
      <c r="CB22" s="12" t="s">
        <v>840</v>
      </c>
      <c r="CC22" s="12" t="s">
        <v>841</v>
      </c>
      <c r="CD22" s="12" t="s">
        <v>842</v>
      </c>
      <c r="CE22" s="12" t="s">
        <v>843</v>
      </c>
      <c r="CF22" s="12" t="s">
        <v>844</v>
      </c>
      <c r="CG22" s="12" t="s">
        <v>845</v>
      </c>
      <c r="CH22" s="12" t="s">
        <v>846</v>
      </c>
      <c r="CI22" s="12" t="s">
        <v>847</v>
      </c>
      <c r="CJ22" s="12" t="s">
        <v>848</v>
      </c>
      <c r="CK22" s="12" t="s">
        <v>849</v>
      </c>
      <c r="CL22" s="12" t="s">
        <v>850</v>
      </c>
      <c r="CM22" s="12" t="s">
        <v>851</v>
      </c>
      <c r="CN22" s="12" t="s">
        <v>852</v>
      </c>
      <c r="CO22" s="12" t="s">
        <v>853</v>
      </c>
      <c r="CP22" s="12" t="s">
        <v>854</v>
      </c>
      <c r="CQ22" s="12" t="s">
        <v>855</v>
      </c>
      <c r="CR22" s="12" t="s">
        <v>856</v>
      </c>
      <c r="CS22" s="12" t="s">
        <v>857</v>
      </c>
      <c r="CT22" s="12" t="s">
        <v>858</v>
      </c>
      <c r="CU22" s="12" t="s">
        <v>4078</v>
      </c>
      <c r="CV22" s="12" t="s">
        <v>4079</v>
      </c>
      <c r="CW22" s="12" t="s">
        <v>4080</v>
      </c>
      <c r="CX22" s="12" t="s">
        <v>410</v>
      </c>
    </row>
    <row r="23" spans="1:102" hidden="1" x14ac:dyDescent="0.3">
      <c r="A23" s="12" t="s">
        <v>12</v>
      </c>
      <c r="B23" s="12" t="s">
        <v>859</v>
      </c>
      <c r="C23" s="12" t="s">
        <v>860</v>
      </c>
      <c r="D23" s="12" t="s">
        <v>861</v>
      </c>
      <c r="E23" s="12" t="s">
        <v>277</v>
      </c>
      <c r="F23" s="12" t="s">
        <v>277</v>
      </c>
      <c r="G23" s="12" t="s">
        <v>277</v>
      </c>
      <c r="H23" s="12" t="s">
        <v>277</v>
      </c>
      <c r="I23" s="12" t="s">
        <v>277</v>
      </c>
      <c r="J23" s="12" t="s">
        <v>277</v>
      </c>
      <c r="K23" s="12" t="s">
        <v>277</v>
      </c>
      <c r="L23" s="12" t="s">
        <v>277</v>
      </c>
      <c r="M23" s="12" t="s">
        <v>277</v>
      </c>
      <c r="N23" s="12" t="s">
        <v>277</v>
      </c>
      <c r="O23" s="12" t="s">
        <v>277</v>
      </c>
      <c r="P23" s="12" t="s">
        <v>277</v>
      </c>
      <c r="Q23" s="12" t="s">
        <v>277</v>
      </c>
      <c r="R23" s="12" t="s">
        <v>277</v>
      </c>
      <c r="S23" s="12" t="s">
        <v>277</v>
      </c>
      <c r="T23" s="12" t="s">
        <v>277</v>
      </c>
      <c r="U23" s="12" t="s">
        <v>277</v>
      </c>
      <c r="V23" s="12" t="s">
        <v>277</v>
      </c>
      <c r="W23" s="12" t="s">
        <v>277</v>
      </c>
      <c r="X23" s="12" t="s">
        <v>277</v>
      </c>
      <c r="Y23" s="12" t="s">
        <v>277</v>
      </c>
      <c r="Z23" s="12" t="s">
        <v>277</v>
      </c>
      <c r="AA23" s="12" t="s">
        <v>277</v>
      </c>
      <c r="AB23" s="12" t="s">
        <v>277</v>
      </c>
      <c r="AC23" s="12" t="s">
        <v>277</v>
      </c>
      <c r="AD23" s="12" t="s">
        <v>277</v>
      </c>
      <c r="AE23" s="12" t="s">
        <v>277</v>
      </c>
      <c r="AF23" s="12" t="s">
        <v>277</v>
      </c>
      <c r="AG23" s="12" t="s">
        <v>277</v>
      </c>
      <c r="AH23" s="12" t="s">
        <v>277</v>
      </c>
      <c r="AI23" s="12" t="s">
        <v>277</v>
      </c>
      <c r="AJ23" s="12" t="s">
        <v>277</v>
      </c>
      <c r="AK23" s="12" t="s">
        <v>277</v>
      </c>
      <c r="AL23" s="12" t="s">
        <v>277</v>
      </c>
      <c r="AM23" s="12" t="s">
        <v>277</v>
      </c>
      <c r="AN23" s="12" t="s">
        <v>277</v>
      </c>
      <c r="AO23" s="12" t="s">
        <v>277</v>
      </c>
      <c r="AP23" s="12" t="s">
        <v>277</v>
      </c>
      <c r="AQ23" s="12" t="s">
        <v>277</v>
      </c>
      <c r="AR23" s="12" t="s">
        <v>277</v>
      </c>
      <c r="AS23" s="12" t="s">
        <v>277</v>
      </c>
      <c r="AT23" s="12" t="s">
        <v>277</v>
      </c>
      <c r="AU23" s="12" t="s">
        <v>277</v>
      </c>
      <c r="AV23" s="12" t="s">
        <v>277</v>
      </c>
      <c r="AW23" s="12" t="s">
        <v>277</v>
      </c>
      <c r="AX23" s="12" t="s">
        <v>277</v>
      </c>
      <c r="AY23" s="12" t="s">
        <v>371</v>
      </c>
      <c r="AZ23" s="12" t="s">
        <v>371</v>
      </c>
      <c r="BA23" s="12" t="s">
        <v>371</v>
      </c>
      <c r="BB23" s="12" t="s">
        <v>371</v>
      </c>
      <c r="BC23" s="12" t="s">
        <v>371</v>
      </c>
      <c r="BD23" s="12" t="s">
        <v>371</v>
      </c>
      <c r="BE23" s="12" t="s">
        <v>371</v>
      </c>
      <c r="BF23" s="12" t="s">
        <v>280</v>
      </c>
      <c r="BG23" s="12" t="s">
        <v>454</v>
      </c>
      <c r="BH23" s="12" t="s">
        <v>323</v>
      </c>
      <c r="BI23" s="12" t="s">
        <v>455</v>
      </c>
      <c r="BJ23" s="12" t="s">
        <v>372</v>
      </c>
      <c r="BK23" s="12" t="s">
        <v>374</v>
      </c>
      <c r="BL23" s="12" t="s">
        <v>456</v>
      </c>
      <c r="BM23" s="12" t="s">
        <v>612</v>
      </c>
      <c r="BN23" s="12" t="s">
        <v>326</v>
      </c>
      <c r="BO23" s="12" t="s">
        <v>417</v>
      </c>
      <c r="BP23" s="12" t="s">
        <v>417</v>
      </c>
      <c r="BQ23" s="12" t="s">
        <v>795</v>
      </c>
      <c r="BR23" s="12" t="s">
        <v>377</v>
      </c>
      <c r="BS23" s="12" t="s">
        <v>377</v>
      </c>
      <c r="BT23" s="12" t="s">
        <v>377</v>
      </c>
      <c r="BU23" s="12" t="s">
        <v>690</v>
      </c>
      <c r="BV23" s="12" t="s">
        <v>329</v>
      </c>
      <c r="BW23" s="12" t="s">
        <v>378</v>
      </c>
      <c r="BX23" s="12" t="s">
        <v>468</v>
      </c>
      <c r="BY23" s="12" t="s">
        <v>618</v>
      </c>
      <c r="BZ23" s="12" t="s">
        <v>333</v>
      </c>
      <c r="CA23" s="12" t="s">
        <v>420</v>
      </c>
      <c r="CB23" s="12" t="s">
        <v>337</v>
      </c>
      <c r="CC23" s="12" t="s">
        <v>423</v>
      </c>
      <c r="CD23" s="12" t="s">
        <v>862</v>
      </c>
      <c r="CE23" s="12" t="s">
        <v>863</v>
      </c>
      <c r="CF23" s="12" t="s">
        <v>520</v>
      </c>
      <c r="CG23" s="12" t="s">
        <v>521</v>
      </c>
      <c r="CH23" s="12" t="s">
        <v>864</v>
      </c>
      <c r="CI23" s="12" t="s">
        <v>865</v>
      </c>
      <c r="CJ23" s="12" t="s">
        <v>866</v>
      </c>
      <c r="CK23" s="12" t="s">
        <v>867</v>
      </c>
      <c r="CL23" s="12" t="s">
        <v>397</v>
      </c>
      <c r="CM23" s="12" t="s">
        <v>868</v>
      </c>
      <c r="CN23" s="12" t="s">
        <v>869</v>
      </c>
      <c r="CO23" s="12" t="s">
        <v>870</v>
      </c>
      <c r="CP23" s="12" t="s">
        <v>871</v>
      </c>
      <c r="CQ23" s="12" t="s">
        <v>872</v>
      </c>
      <c r="CR23" s="12" t="s">
        <v>873</v>
      </c>
      <c r="CS23" s="12" t="s">
        <v>874</v>
      </c>
      <c r="CT23" s="12" t="s">
        <v>875</v>
      </c>
      <c r="CU23" s="12" t="s">
        <v>4081</v>
      </c>
      <c r="CV23" s="12" t="s">
        <v>4082</v>
      </c>
      <c r="CW23" s="12" t="s">
        <v>4083</v>
      </c>
      <c r="CX23" s="12" t="s">
        <v>4084</v>
      </c>
    </row>
    <row r="24" spans="1:102" hidden="1" x14ac:dyDescent="0.3">
      <c r="A24" s="12" t="s">
        <v>12</v>
      </c>
      <c r="B24" s="12" t="s">
        <v>876</v>
      </c>
      <c r="C24" s="12" t="s">
        <v>877</v>
      </c>
      <c r="D24" s="12" t="s">
        <v>878</v>
      </c>
      <c r="E24" s="12" t="s">
        <v>277</v>
      </c>
      <c r="F24" s="12" t="s">
        <v>277</v>
      </c>
      <c r="G24" s="12" t="s">
        <v>277</v>
      </c>
      <c r="H24" s="12" t="s">
        <v>277</v>
      </c>
      <c r="I24" s="12" t="s">
        <v>277</v>
      </c>
      <c r="J24" s="12" t="s">
        <v>277</v>
      </c>
      <c r="K24" s="12" t="s">
        <v>277</v>
      </c>
      <c r="L24" s="12" t="s">
        <v>277</v>
      </c>
      <c r="M24" s="12" t="s">
        <v>277</v>
      </c>
      <c r="N24" s="12" t="s">
        <v>277</v>
      </c>
      <c r="O24" s="12" t="s">
        <v>277</v>
      </c>
      <c r="P24" s="12" t="s">
        <v>277</v>
      </c>
      <c r="Q24" s="12" t="s">
        <v>277</v>
      </c>
      <c r="R24" s="12" t="s">
        <v>277</v>
      </c>
      <c r="S24" s="12" t="s">
        <v>277</v>
      </c>
      <c r="T24" s="12" t="s">
        <v>277</v>
      </c>
      <c r="U24" s="12" t="s">
        <v>277</v>
      </c>
      <c r="V24" s="12" t="s">
        <v>277</v>
      </c>
      <c r="W24" s="12" t="s">
        <v>277</v>
      </c>
      <c r="X24" s="12" t="s">
        <v>277</v>
      </c>
      <c r="Y24" s="12" t="s">
        <v>277</v>
      </c>
      <c r="Z24" s="12" t="s">
        <v>277</v>
      </c>
      <c r="AA24" s="12" t="s">
        <v>277</v>
      </c>
      <c r="AB24" s="12" t="s">
        <v>277</v>
      </c>
      <c r="AC24" s="12" t="s">
        <v>277</v>
      </c>
      <c r="AD24" s="12" t="s">
        <v>277</v>
      </c>
      <c r="AE24" s="12" t="s">
        <v>277</v>
      </c>
      <c r="AF24" s="12" t="s">
        <v>277</v>
      </c>
      <c r="AG24" s="12" t="s">
        <v>277</v>
      </c>
      <c r="AH24" s="12" t="s">
        <v>277</v>
      </c>
      <c r="AI24" s="12" t="s">
        <v>277</v>
      </c>
      <c r="AJ24" s="12" t="s">
        <v>277</v>
      </c>
      <c r="AK24" s="12" t="s">
        <v>277</v>
      </c>
      <c r="AL24" s="12" t="s">
        <v>277</v>
      </c>
      <c r="AM24" s="12" t="s">
        <v>277</v>
      </c>
      <c r="AN24" s="12" t="s">
        <v>277</v>
      </c>
      <c r="AO24" s="12" t="s">
        <v>277</v>
      </c>
      <c r="AP24" s="12" t="s">
        <v>277</v>
      </c>
      <c r="AQ24" s="12" t="s">
        <v>277</v>
      </c>
      <c r="AR24" s="12" t="s">
        <v>277</v>
      </c>
      <c r="AS24" s="12" t="s">
        <v>277</v>
      </c>
      <c r="AT24" s="12" t="s">
        <v>277</v>
      </c>
      <c r="AU24" s="12" t="s">
        <v>277</v>
      </c>
      <c r="AV24" s="12" t="s">
        <v>277</v>
      </c>
      <c r="AW24" s="12" t="s">
        <v>277</v>
      </c>
      <c r="AX24" s="12" t="s">
        <v>277</v>
      </c>
      <c r="AY24" s="12" t="s">
        <v>277</v>
      </c>
      <c r="AZ24" s="12" t="s">
        <v>277</v>
      </c>
      <c r="BA24" s="12" t="s">
        <v>277</v>
      </c>
      <c r="BB24" s="12" t="s">
        <v>277</v>
      </c>
      <c r="BC24" s="12" t="s">
        <v>277</v>
      </c>
      <c r="BD24" s="12" t="s">
        <v>277</v>
      </c>
      <c r="BE24" s="12" t="s">
        <v>277</v>
      </c>
      <c r="BF24" s="12" t="s">
        <v>277</v>
      </c>
      <c r="BG24" s="12" t="s">
        <v>277</v>
      </c>
      <c r="BH24" s="12" t="s">
        <v>322</v>
      </c>
      <c r="BI24" s="12" t="s">
        <v>322</v>
      </c>
      <c r="BJ24" s="12" t="s">
        <v>280</v>
      </c>
      <c r="BK24" s="12" t="s">
        <v>280</v>
      </c>
      <c r="BL24" s="12" t="s">
        <v>550</v>
      </c>
      <c r="BM24" s="12" t="s">
        <v>455</v>
      </c>
      <c r="BN24" s="12" t="s">
        <v>372</v>
      </c>
      <c r="BO24" s="12" t="s">
        <v>507</v>
      </c>
      <c r="BP24" s="12" t="s">
        <v>507</v>
      </c>
      <c r="BQ24" s="12" t="s">
        <v>507</v>
      </c>
      <c r="BR24" s="12" t="s">
        <v>286</v>
      </c>
      <c r="BS24" s="12" t="s">
        <v>375</v>
      </c>
      <c r="BT24" s="12" t="s">
        <v>326</v>
      </c>
      <c r="BU24" s="12" t="s">
        <v>326</v>
      </c>
      <c r="BV24" s="12" t="s">
        <v>466</v>
      </c>
      <c r="BW24" s="12" t="s">
        <v>466</v>
      </c>
      <c r="BX24" s="12" t="s">
        <v>617</v>
      </c>
      <c r="BY24" s="12" t="s">
        <v>329</v>
      </c>
      <c r="BZ24" s="12" t="s">
        <v>508</v>
      </c>
      <c r="CA24" s="12" t="s">
        <v>468</v>
      </c>
      <c r="CB24" s="12" t="s">
        <v>379</v>
      </c>
      <c r="CC24" s="12" t="s">
        <v>879</v>
      </c>
      <c r="CD24" s="12" t="s">
        <v>879</v>
      </c>
      <c r="CE24" s="12" t="s">
        <v>672</v>
      </c>
      <c r="CF24" s="12" t="s">
        <v>654</v>
      </c>
      <c r="CG24" s="12" t="s">
        <v>469</v>
      </c>
      <c r="CH24" s="12" t="s">
        <v>553</v>
      </c>
      <c r="CI24" s="12" t="s">
        <v>674</v>
      </c>
      <c r="CJ24" s="12" t="s">
        <v>674</v>
      </c>
      <c r="CK24" s="12" t="s">
        <v>819</v>
      </c>
      <c r="CL24" s="12" t="s">
        <v>419</v>
      </c>
      <c r="CM24" s="12" t="s">
        <v>419</v>
      </c>
      <c r="CN24" s="12" t="s">
        <v>419</v>
      </c>
      <c r="CO24" s="12" t="s">
        <v>419</v>
      </c>
      <c r="CP24" s="12" t="s">
        <v>419</v>
      </c>
      <c r="CQ24" s="12" t="s">
        <v>419</v>
      </c>
      <c r="CR24" s="12" t="s">
        <v>419</v>
      </c>
      <c r="CS24" s="12" t="s">
        <v>334</v>
      </c>
      <c r="CT24" s="12" t="s">
        <v>554</v>
      </c>
      <c r="CU24" s="12" t="s">
        <v>470</v>
      </c>
      <c r="CV24" s="12" t="s">
        <v>470</v>
      </c>
      <c r="CW24" s="12" t="s">
        <v>555</v>
      </c>
      <c r="CX24" s="12" t="s">
        <v>555</v>
      </c>
    </row>
    <row r="25" spans="1:102" hidden="1" x14ac:dyDescent="0.3">
      <c r="A25" s="12" t="s">
        <v>12</v>
      </c>
      <c r="B25" s="12" t="s">
        <v>880</v>
      </c>
      <c r="C25" s="12" t="s">
        <v>881</v>
      </c>
      <c r="D25" s="12" t="s">
        <v>882</v>
      </c>
      <c r="E25" s="12" t="s">
        <v>277</v>
      </c>
      <c r="F25" s="12" t="s">
        <v>277</v>
      </c>
      <c r="G25" s="12" t="s">
        <v>277</v>
      </c>
      <c r="H25" s="12" t="s">
        <v>277</v>
      </c>
      <c r="I25" s="12" t="s">
        <v>277</v>
      </c>
      <c r="J25" s="12" t="s">
        <v>277</v>
      </c>
      <c r="K25" s="12" t="s">
        <v>277</v>
      </c>
      <c r="L25" s="12" t="s">
        <v>277</v>
      </c>
      <c r="M25" s="12" t="s">
        <v>277</v>
      </c>
      <c r="N25" s="12" t="s">
        <v>277</v>
      </c>
      <c r="O25" s="12" t="s">
        <v>277</v>
      </c>
      <c r="P25" s="12" t="s">
        <v>277</v>
      </c>
      <c r="Q25" s="12" t="s">
        <v>277</v>
      </c>
      <c r="R25" s="12" t="s">
        <v>277</v>
      </c>
      <c r="S25" s="12" t="s">
        <v>277</v>
      </c>
      <c r="T25" s="12" t="s">
        <v>277</v>
      </c>
      <c r="U25" s="12" t="s">
        <v>277</v>
      </c>
      <c r="V25" s="12" t="s">
        <v>277</v>
      </c>
      <c r="W25" s="12" t="s">
        <v>277</v>
      </c>
      <c r="X25" s="12" t="s">
        <v>277</v>
      </c>
      <c r="Y25" s="12" t="s">
        <v>277</v>
      </c>
      <c r="Z25" s="12" t="s">
        <v>277</v>
      </c>
      <c r="AA25" s="12" t="s">
        <v>277</v>
      </c>
      <c r="AB25" s="12" t="s">
        <v>277</v>
      </c>
      <c r="AC25" s="12" t="s">
        <v>277</v>
      </c>
      <c r="AD25" s="12" t="s">
        <v>277</v>
      </c>
      <c r="AE25" s="12" t="s">
        <v>277</v>
      </c>
      <c r="AF25" s="12" t="s">
        <v>277</v>
      </c>
      <c r="AG25" s="12" t="s">
        <v>277</v>
      </c>
      <c r="AH25" s="12" t="s">
        <v>277</v>
      </c>
      <c r="AI25" s="12" t="s">
        <v>277</v>
      </c>
      <c r="AJ25" s="12" t="s">
        <v>277</v>
      </c>
      <c r="AK25" s="12" t="s">
        <v>277</v>
      </c>
      <c r="AL25" s="12" t="s">
        <v>277</v>
      </c>
      <c r="AM25" s="12" t="s">
        <v>277</v>
      </c>
      <c r="AN25" s="12" t="s">
        <v>277</v>
      </c>
      <c r="AO25" s="12" t="s">
        <v>277</v>
      </c>
      <c r="AP25" s="12" t="s">
        <v>278</v>
      </c>
      <c r="AQ25" s="12" t="s">
        <v>278</v>
      </c>
      <c r="AR25" s="12" t="s">
        <v>278</v>
      </c>
      <c r="AS25" s="12" t="s">
        <v>278</v>
      </c>
      <c r="AT25" s="12" t="s">
        <v>278</v>
      </c>
      <c r="AU25" s="12" t="s">
        <v>550</v>
      </c>
      <c r="AV25" s="12" t="s">
        <v>550</v>
      </c>
      <c r="AW25" s="12" t="s">
        <v>550</v>
      </c>
      <c r="AX25" s="12" t="s">
        <v>550</v>
      </c>
      <c r="AY25" s="12" t="s">
        <v>550</v>
      </c>
      <c r="AZ25" s="12" t="s">
        <v>550</v>
      </c>
      <c r="BA25" s="12" t="s">
        <v>460</v>
      </c>
      <c r="BB25" s="12" t="s">
        <v>460</v>
      </c>
      <c r="BC25" s="12" t="s">
        <v>324</v>
      </c>
      <c r="BD25" s="12" t="s">
        <v>612</v>
      </c>
      <c r="BE25" s="12" t="s">
        <v>612</v>
      </c>
      <c r="BF25" s="12" t="s">
        <v>612</v>
      </c>
      <c r="BG25" s="12" t="s">
        <v>670</v>
      </c>
      <c r="BH25" s="12" t="s">
        <v>670</v>
      </c>
      <c r="BI25" s="12" t="s">
        <v>329</v>
      </c>
      <c r="BJ25" s="12" t="s">
        <v>329</v>
      </c>
      <c r="BK25" s="12" t="s">
        <v>673</v>
      </c>
      <c r="BL25" s="12" t="s">
        <v>334</v>
      </c>
      <c r="BM25" s="12" t="s">
        <v>334</v>
      </c>
      <c r="BN25" s="12" t="s">
        <v>883</v>
      </c>
      <c r="BO25" s="12" t="s">
        <v>883</v>
      </c>
      <c r="BP25" s="12" t="s">
        <v>676</v>
      </c>
      <c r="BQ25" s="12" t="s">
        <v>676</v>
      </c>
      <c r="BR25" s="12" t="s">
        <v>290</v>
      </c>
      <c r="BS25" s="12" t="s">
        <v>290</v>
      </c>
      <c r="BT25" s="12" t="s">
        <v>290</v>
      </c>
      <c r="BU25" s="12" t="s">
        <v>884</v>
      </c>
      <c r="BV25" s="12" t="s">
        <v>884</v>
      </c>
      <c r="BW25" s="12" t="s">
        <v>885</v>
      </c>
      <c r="BX25" s="12" t="s">
        <v>346</v>
      </c>
      <c r="BY25" s="12" t="s">
        <v>886</v>
      </c>
      <c r="BZ25" s="12" t="s">
        <v>887</v>
      </c>
      <c r="CA25" s="12" t="s">
        <v>362</v>
      </c>
      <c r="CB25" s="12" t="s">
        <v>839</v>
      </c>
      <c r="CC25" s="12" t="s">
        <v>888</v>
      </c>
      <c r="CD25" s="12" t="s">
        <v>889</v>
      </c>
      <c r="CE25" s="12" t="s">
        <v>890</v>
      </c>
      <c r="CF25" s="12" t="s">
        <v>891</v>
      </c>
      <c r="CG25" s="12" t="s">
        <v>892</v>
      </c>
      <c r="CH25" s="12" t="s">
        <v>893</v>
      </c>
      <c r="CI25" s="12" t="s">
        <v>894</v>
      </c>
      <c r="CJ25" s="12" t="s">
        <v>895</v>
      </c>
      <c r="CK25" s="12" t="s">
        <v>896</v>
      </c>
      <c r="CL25" s="12" t="s">
        <v>897</v>
      </c>
      <c r="CM25" s="12" t="s">
        <v>898</v>
      </c>
      <c r="CN25" s="12" t="s">
        <v>898</v>
      </c>
      <c r="CO25" s="12" t="s">
        <v>898</v>
      </c>
      <c r="CP25" s="12" t="s">
        <v>899</v>
      </c>
      <c r="CQ25" s="12" t="s">
        <v>900</v>
      </c>
      <c r="CR25" s="12" t="s">
        <v>901</v>
      </c>
      <c r="CS25" s="12" t="s">
        <v>902</v>
      </c>
      <c r="CT25" s="12" t="s">
        <v>903</v>
      </c>
      <c r="CU25" s="12" t="s">
        <v>4085</v>
      </c>
      <c r="CV25" s="12" t="s">
        <v>4086</v>
      </c>
      <c r="CW25" s="12" t="s">
        <v>4087</v>
      </c>
      <c r="CX25" s="12" t="s">
        <v>4088</v>
      </c>
    </row>
    <row r="26" spans="1:102" hidden="1" x14ac:dyDescent="0.3">
      <c r="A26" s="12" t="s">
        <v>12</v>
      </c>
      <c r="B26" s="12" t="s">
        <v>904</v>
      </c>
      <c r="C26" s="12" t="s">
        <v>905</v>
      </c>
      <c r="D26" s="12" t="s">
        <v>906</v>
      </c>
      <c r="E26" s="12" t="s">
        <v>277</v>
      </c>
      <c r="F26" s="12" t="s">
        <v>277</v>
      </c>
      <c r="G26" s="12" t="s">
        <v>277</v>
      </c>
      <c r="H26" s="12" t="s">
        <v>277</v>
      </c>
      <c r="I26" s="12" t="s">
        <v>277</v>
      </c>
      <c r="J26" s="12" t="s">
        <v>277</v>
      </c>
      <c r="K26" s="12" t="s">
        <v>277</v>
      </c>
      <c r="L26" s="12" t="s">
        <v>277</v>
      </c>
      <c r="M26" s="12" t="s">
        <v>277</v>
      </c>
      <c r="N26" s="12" t="s">
        <v>277</v>
      </c>
      <c r="O26" s="12" t="s">
        <v>277</v>
      </c>
      <c r="P26" s="12" t="s">
        <v>277</v>
      </c>
      <c r="Q26" s="12" t="s">
        <v>277</v>
      </c>
      <c r="R26" s="12" t="s">
        <v>278</v>
      </c>
      <c r="S26" s="12" t="s">
        <v>278</v>
      </c>
      <c r="T26" s="12" t="s">
        <v>278</v>
      </c>
      <c r="U26" s="12" t="s">
        <v>278</v>
      </c>
      <c r="V26" s="12" t="s">
        <v>278</v>
      </c>
      <c r="W26" s="12" t="s">
        <v>278</v>
      </c>
      <c r="X26" s="12" t="s">
        <v>278</v>
      </c>
      <c r="Y26" s="12" t="s">
        <v>278</v>
      </c>
      <c r="Z26" s="12" t="s">
        <v>278</v>
      </c>
      <c r="AA26" s="12" t="s">
        <v>278</v>
      </c>
      <c r="AB26" s="12" t="s">
        <v>278</v>
      </c>
      <c r="AC26" s="12" t="s">
        <v>278</v>
      </c>
      <c r="AD26" s="12" t="s">
        <v>278</v>
      </c>
      <c r="AE26" s="12" t="s">
        <v>278</v>
      </c>
      <c r="AF26" s="12" t="s">
        <v>278</v>
      </c>
      <c r="AG26" s="12" t="s">
        <v>278</v>
      </c>
      <c r="AH26" s="12" t="s">
        <v>278</v>
      </c>
      <c r="AI26" s="12" t="s">
        <v>278</v>
      </c>
      <c r="AJ26" s="12" t="s">
        <v>278</v>
      </c>
      <c r="AK26" s="12" t="s">
        <v>278</v>
      </c>
      <c r="AL26" s="12" t="s">
        <v>278</v>
      </c>
      <c r="AM26" s="12" t="s">
        <v>278</v>
      </c>
      <c r="AN26" s="12" t="s">
        <v>278</v>
      </c>
      <c r="AO26" s="12" t="s">
        <v>278</v>
      </c>
      <c r="AP26" s="12" t="s">
        <v>278</v>
      </c>
      <c r="AQ26" s="12" t="s">
        <v>278</v>
      </c>
      <c r="AR26" s="12" t="s">
        <v>322</v>
      </c>
      <c r="AS26" s="12" t="s">
        <v>454</v>
      </c>
      <c r="AT26" s="12" t="s">
        <v>567</v>
      </c>
      <c r="AU26" s="12" t="s">
        <v>325</v>
      </c>
      <c r="AV26" s="12" t="s">
        <v>653</v>
      </c>
      <c r="AW26" s="12" t="s">
        <v>907</v>
      </c>
      <c r="AX26" s="12" t="s">
        <v>681</v>
      </c>
      <c r="AY26" s="12" t="s">
        <v>684</v>
      </c>
      <c r="AZ26" s="12" t="s">
        <v>908</v>
      </c>
      <c r="BA26" s="12" t="s">
        <v>426</v>
      </c>
      <c r="BB26" s="12" t="s">
        <v>909</v>
      </c>
      <c r="BC26" s="12" t="s">
        <v>909</v>
      </c>
      <c r="BD26" s="12" t="s">
        <v>910</v>
      </c>
      <c r="BE26" s="12" t="s">
        <v>628</v>
      </c>
      <c r="BF26" s="12" t="s">
        <v>911</v>
      </c>
      <c r="BG26" s="12" t="s">
        <v>802</v>
      </c>
      <c r="BH26" s="12" t="s">
        <v>912</v>
      </c>
      <c r="BI26" s="12" t="s">
        <v>890</v>
      </c>
      <c r="BJ26" s="12" t="s">
        <v>489</v>
      </c>
      <c r="BK26" s="12" t="s">
        <v>913</v>
      </c>
      <c r="BL26" s="12" t="s">
        <v>914</v>
      </c>
      <c r="BM26" s="12" t="s">
        <v>915</v>
      </c>
      <c r="BN26" s="12" t="s">
        <v>916</v>
      </c>
      <c r="BO26" s="12" t="s">
        <v>917</v>
      </c>
      <c r="BP26" s="12" t="s">
        <v>918</v>
      </c>
      <c r="BQ26" s="12" t="s">
        <v>919</v>
      </c>
      <c r="BR26" s="12" t="s">
        <v>920</v>
      </c>
      <c r="BS26" s="12" t="s">
        <v>921</v>
      </c>
      <c r="BT26" s="12" t="s">
        <v>922</v>
      </c>
      <c r="BU26" s="12" t="s">
        <v>923</v>
      </c>
      <c r="BV26" s="12" t="s">
        <v>924</v>
      </c>
      <c r="BW26" s="12" t="s">
        <v>925</v>
      </c>
      <c r="BX26" s="12" t="s">
        <v>926</v>
      </c>
      <c r="BY26" s="12" t="s">
        <v>927</v>
      </c>
      <c r="BZ26" s="12" t="s">
        <v>928</v>
      </c>
      <c r="CA26" s="12" t="s">
        <v>929</v>
      </c>
      <c r="CB26" s="12" t="s">
        <v>930</v>
      </c>
      <c r="CC26" s="12" t="s">
        <v>931</v>
      </c>
      <c r="CD26" s="12" t="s">
        <v>932</v>
      </c>
      <c r="CE26" s="12" t="s">
        <v>933</v>
      </c>
      <c r="CF26" s="12" t="s">
        <v>934</v>
      </c>
      <c r="CG26" s="12" t="s">
        <v>935</v>
      </c>
      <c r="CH26" s="12" t="s">
        <v>936</v>
      </c>
      <c r="CI26" s="12" t="s">
        <v>937</v>
      </c>
      <c r="CJ26" s="12" t="s">
        <v>938</v>
      </c>
      <c r="CK26" s="12" t="s">
        <v>939</v>
      </c>
      <c r="CL26" s="12" t="s">
        <v>940</v>
      </c>
      <c r="CM26" s="12" t="s">
        <v>941</v>
      </c>
      <c r="CN26" s="12" t="s">
        <v>942</v>
      </c>
      <c r="CO26" s="12" t="s">
        <v>943</v>
      </c>
      <c r="CP26" s="12" t="s">
        <v>944</v>
      </c>
      <c r="CQ26" s="12" t="s">
        <v>945</v>
      </c>
      <c r="CR26" s="12" t="s">
        <v>946</v>
      </c>
      <c r="CS26" s="12" t="s">
        <v>947</v>
      </c>
      <c r="CT26" s="12" t="s">
        <v>948</v>
      </c>
      <c r="CU26" s="12" t="s">
        <v>4089</v>
      </c>
      <c r="CV26" s="12" t="s">
        <v>4090</v>
      </c>
      <c r="CW26" s="12" t="s">
        <v>4091</v>
      </c>
      <c r="CX26" s="12" t="s">
        <v>4092</v>
      </c>
    </row>
    <row r="27" spans="1:102" hidden="1" x14ac:dyDescent="0.3">
      <c r="A27" s="12" t="s">
        <v>12</v>
      </c>
      <c r="B27" s="12" t="s">
        <v>949</v>
      </c>
      <c r="C27" s="12" t="s">
        <v>950</v>
      </c>
      <c r="D27" s="12" t="s">
        <v>951</v>
      </c>
      <c r="E27" s="12" t="s">
        <v>277</v>
      </c>
      <c r="F27" s="12" t="s">
        <v>277</v>
      </c>
      <c r="G27" s="12" t="s">
        <v>277</v>
      </c>
      <c r="H27" s="12" t="s">
        <v>277</v>
      </c>
      <c r="I27" s="12" t="s">
        <v>277</v>
      </c>
      <c r="J27" s="12" t="s">
        <v>277</v>
      </c>
      <c r="K27" s="12" t="s">
        <v>277</v>
      </c>
      <c r="L27" s="12" t="s">
        <v>277</v>
      </c>
      <c r="M27" s="12" t="s">
        <v>277</v>
      </c>
      <c r="N27" s="12" t="s">
        <v>277</v>
      </c>
      <c r="O27" s="12" t="s">
        <v>277</v>
      </c>
      <c r="P27" s="12" t="s">
        <v>277</v>
      </c>
      <c r="Q27" s="12" t="s">
        <v>277</v>
      </c>
      <c r="R27" s="12" t="s">
        <v>277</v>
      </c>
      <c r="S27" s="12" t="s">
        <v>277</v>
      </c>
      <c r="T27" s="12" t="s">
        <v>277</v>
      </c>
      <c r="U27" s="12" t="s">
        <v>277</v>
      </c>
      <c r="V27" s="12" t="s">
        <v>277</v>
      </c>
      <c r="W27" s="12" t="s">
        <v>277</v>
      </c>
      <c r="X27" s="12" t="s">
        <v>277</v>
      </c>
      <c r="Y27" s="12" t="s">
        <v>277</v>
      </c>
      <c r="Z27" s="12" t="s">
        <v>277</v>
      </c>
      <c r="AA27" s="12" t="s">
        <v>277</v>
      </c>
      <c r="AB27" s="12" t="s">
        <v>277</v>
      </c>
      <c r="AC27" s="12" t="s">
        <v>277</v>
      </c>
      <c r="AD27" s="12" t="s">
        <v>277</v>
      </c>
      <c r="AE27" s="12" t="s">
        <v>277</v>
      </c>
      <c r="AF27" s="12" t="s">
        <v>277</v>
      </c>
      <c r="AG27" s="12" t="s">
        <v>277</v>
      </c>
      <c r="AH27" s="12" t="s">
        <v>277</v>
      </c>
      <c r="AI27" s="12" t="s">
        <v>277</v>
      </c>
      <c r="AJ27" s="12" t="s">
        <v>277</v>
      </c>
      <c r="AK27" s="12" t="s">
        <v>277</v>
      </c>
      <c r="AL27" s="12" t="s">
        <v>277</v>
      </c>
      <c r="AM27" s="12" t="s">
        <v>277</v>
      </c>
      <c r="AN27" s="12" t="s">
        <v>277</v>
      </c>
      <c r="AO27" s="12" t="s">
        <v>277</v>
      </c>
      <c r="AP27" s="12" t="s">
        <v>277</v>
      </c>
      <c r="AQ27" s="12" t="s">
        <v>277</v>
      </c>
      <c r="AR27" s="12" t="s">
        <v>277</v>
      </c>
      <c r="AS27" s="12" t="s">
        <v>277</v>
      </c>
      <c r="AT27" s="12" t="s">
        <v>277</v>
      </c>
      <c r="AU27" s="12" t="s">
        <v>277</v>
      </c>
      <c r="AV27" s="12" t="s">
        <v>277</v>
      </c>
      <c r="AW27" s="12" t="s">
        <v>277</v>
      </c>
      <c r="AX27" s="12" t="s">
        <v>277</v>
      </c>
      <c r="AY27" s="12" t="s">
        <v>277</v>
      </c>
      <c r="AZ27" s="12" t="s">
        <v>277</v>
      </c>
      <c r="BA27" s="12" t="s">
        <v>277</v>
      </c>
      <c r="BB27" s="12" t="s">
        <v>277</v>
      </c>
      <c r="BC27" s="12" t="s">
        <v>277</v>
      </c>
      <c r="BD27" s="12" t="s">
        <v>277</v>
      </c>
      <c r="BE27" s="12" t="s">
        <v>277</v>
      </c>
      <c r="BF27" s="12" t="s">
        <v>277</v>
      </c>
      <c r="BG27" s="12" t="s">
        <v>278</v>
      </c>
      <c r="BH27" s="12" t="s">
        <v>278</v>
      </c>
      <c r="BI27" s="12" t="s">
        <v>322</v>
      </c>
      <c r="BJ27" s="12" t="s">
        <v>322</v>
      </c>
      <c r="BK27" s="12" t="s">
        <v>322</v>
      </c>
      <c r="BL27" s="12" t="s">
        <v>322</v>
      </c>
      <c r="BM27" s="12" t="s">
        <v>322</v>
      </c>
      <c r="BN27" s="12" t="s">
        <v>280</v>
      </c>
      <c r="BO27" s="12" t="s">
        <v>550</v>
      </c>
      <c r="BP27" s="12" t="s">
        <v>550</v>
      </c>
      <c r="BQ27" s="12" t="s">
        <v>550</v>
      </c>
      <c r="BR27" s="12" t="s">
        <v>550</v>
      </c>
      <c r="BS27" s="12" t="s">
        <v>550</v>
      </c>
      <c r="BT27" s="12" t="s">
        <v>550</v>
      </c>
      <c r="BU27" s="12" t="s">
        <v>550</v>
      </c>
      <c r="BV27" s="12" t="s">
        <v>460</v>
      </c>
      <c r="BW27" s="12" t="s">
        <v>567</v>
      </c>
      <c r="BX27" s="12" t="s">
        <v>567</v>
      </c>
      <c r="BY27" s="12" t="s">
        <v>283</v>
      </c>
      <c r="BZ27" s="12" t="s">
        <v>283</v>
      </c>
      <c r="CA27" s="12" t="s">
        <v>285</v>
      </c>
      <c r="CB27" s="12" t="s">
        <v>375</v>
      </c>
      <c r="CC27" s="12" t="s">
        <v>375</v>
      </c>
      <c r="CD27" s="12" t="s">
        <v>375</v>
      </c>
      <c r="CE27" s="12" t="s">
        <v>375</v>
      </c>
      <c r="CF27" s="12" t="s">
        <v>616</v>
      </c>
      <c r="CG27" s="12" t="s">
        <v>616</v>
      </c>
      <c r="CH27" s="12" t="s">
        <v>616</v>
      </c>
      <c r="CI27" s="12" t="s">
        <v>616</v>
      </c>
      <c r="CJ27" s="12" t="s">
        <v>616</v>
      </c>
      <c r="CK27" s="12" t="s">
        <v>616</v>
      </c>
      <c r="CL27" s="12" t="s">
        <v>616</v>
      </c>
      <c r="CM27" s="12" t="s">
        <v>616</v>
      </c>
      <c r="CN27" s="12" t="s">
        <v>616</v>
      </c>
      <c r="CO27" s="12" t="s">
        <v>616</v>
      </c>
      <c r="CP27" s="12" t="s">
        <v>378</v>
      </c>
      <c r="CQ27" s="12" t="s">
        <v>378</v>
      </c>
      <c r="CR27" s="12" t="s">
        <v>378</v>
      </c>
      <c r="CS27" s="12" t="s">
        <v>378</v>
      </c>
      <c r="CT27" s="12" t="s">
        <v>378</v>
      </c>
      <c r="CU27" s="12" t="s">
        <v>378</v>
      </c>
      <c r="CV27" s="12" t="s">
        <v>332</v>
      </c>
      <c r="CW27" s="12" t="s">
        <v>332</v>
      </c>
      <c r="CX27" s="12" t="s">
        <v>332</v>
      </c>
    </row>
    <row r="28" spans="1:102" hidden="1" x14ac:dyDescent="0.3">
      <c r="A28" s="12" t="s">
        <v>12</v>
      </c>
      <c r="B28" s="12" t="s">
        <v>952</v>
      </c>
      <c r="C28" s="12" t="s">
        <v>953</v>
      </c>
      <c r="D28" s="12" t="s">
        <v>954</v>
      </c>
      <c r="E28" s="12" t="s">
        <v>277</v>
      </c>
      <c r="F28" s="12" t="s">
        <v>277</v>
      </c>
      <c r="G28" s="12" t="s">
        <v>277</v>
      </c>
      <c r="H28" s="12" t="s">
        <v>277</v>
      </c>
      <c r="I28" s="12" t="s">
        <v>277</v>
      </c>
      <c r="J28" s="12" t="s">
        <v>277</v>
      </c>
      <c r="K28" s="12" t="s">
        <v>277</v>
      </c>
      <c r="L28" s="12" t="s">
        <v>277</v>
      </c>
      <c r="M28" s="12" t="s">
        <v>277</v>
      </c>
      <c r="N28" s="12" t="s">
        <v>277</v>
      </c>
      <c r="O28" s="12" t="s">
        <v>277</v>
      </c>
      <c r="P28" s="12" t="s">
        <v>277</v>
      </c>
      <c r="Q28" s="12" t="s">
        <v>277</v>
      </c>
      <c r="R28" s="12" t="s">
        <v>277</v>
      </c>
      <c r="S28" s="12" t="s">
        <v>277</v>
      </c>
      <c r="T28" s="12" t="s">
        <v>277</v>
      </c>
      <c r="U28" s="12" t="s">
        <v>277</v>
      </c>
      <c r="V28" s="12" t="s">
        <v>277</v>
      </c>
      <c r="W28" s="12" t="s">
        <v>277</v>
      </c>
      <c r="X28" s="12" t="s">
        <v>277</v>
      </c>
      <c r="Y28" s="12" t="s">
        <v>277</v>
      </c>
      <c r="Z28" s="12" t="s">
        <v>277</v>
      </c>
      <c r="AA28" s="12" t="s">
        <v>277</v>
      </c>
      <c r="AB28" s="12" t="s">
        <v>277</v>
      </c>
      <c r="AC28" s="12" t="s">
        <v>277</v>
      </c>
      <c r="AD28" s="12" t="s">
        <v>277</v>
      </c>
      <c r="AE28" s="12" t="s">
        <v>277</v>
      </c>
      <c r="AF28" s="12" t="s">
        <v>277</v>
      </c>
      <c r="AG28" s="12" t="s">
        <v>277</v>
      </c>
      <c r="AH28" s="12" t="s">
        <v>277</v>
      </c>
      <c r="AI28" s="12" t="s">
        <v>277</v>
      </c>
      <c r="AJ28" s="12" t="s">
        <v>277</v>
      </c>
      <c r="AK28" s="12" t="s">
        <v>277</v>
      </c>
      <c r="AL28" s="12" t="s">
        <v>277</v>
      </c>
      <c r="AM28" s="12" t="s">
        <v>277</v>
      </c>
      <c r="AN28" s="12" t="s">
        <v>277</v>
      </c>
      <c r="AO28" s="12" t="s">
        <v>277</v>
      </c>
      <c r="AP28" s="12" t="s">
        <v>277</v>
      </c>
      <c r="AQ28" s="12" t="s">
        <v>277</v>
      </c>
      <c r="AR28" s="12" t="s">
        <v>277</v>
      </c>
      <c r="AS28" s="12" t="s">
        <v>277</v>
      </c>
      <c r="AT28" s="12" t="s">
        <v>277</v>
      </c>
      <c r="AU28" s="12" t="s">
        <v>277</v>
      </c>
      <c r="AV28" s="12" t="s">
        <v>277</v>
      </c>
      <c r="AW28" s="12" t="s">
        <v>278</v>
      </c>
      <c r="AX28" s="12" t="s">
        <v>278</v>
      </c>
      <c r="AY28" s="12" t="s">
        <v>278</v>
      </c>
      <c r="AZ28" s="12" t="s">
        <v>278</v>
      </c>
      <c r="BA28" s="12" t="s">
        <v>278</v>
      </c>
      <c r="BB28" s="12" t="s">
        <v>278</v>
      </c>
      <c r="BC28" s="12" t="s">
        <v>278</v>
      </c>
      <c r="BD28" s="12" t="s">
        <v>278</v>
      </c>
      <c r="BE28" s="12" t="s">
        <v>278</v>
      </c>
      <c r="BF28" s="12" t="s">
        <v>278</v>
      </c>
      <c r="BG28" s="12" t="s">
        <v>278</v>
      </c>
      <c r="BH28" s="12" t="s">
        <v>278</v>
      </c>
      <c r="BI28" s="12" t="s">
        <v>278</v>
      </c>
      <c r="BJ28" s="12" t="s">
        <v>278</v>
      </c>
      <c r="BK28" s="12" t="s">
        <v>322</v>
      </c>
      <c r="BL28" s="12" t="s">
        <v>322</v>
      </c>
      <c r="BM28" s="12" t="s">
        <v>322</v>
      </c>
      <c r="BN28" s="12" t="s">
        <v>322</v>
      </c>
      <c r="BO28" s="12" t="s">
        <v>322</v>
      </c>
      <c r="BP28" s="12" t="s">
        <v>322</v>
      </c>
      <c r="BQ28" s="12" t="s">
        <v>322</v>
      </c>
      <c r="BR28" s="12" t="s">
        <v>371</v>
      </c>
      <c r="BS28" s="12" t="s">
        <v>371</v>
      </c>
      <c r="BT28" s="12" t="s">
        <v>279</v>
      </c>
      <c r="BU28" s="12" t="s">
        <v>279</v>
      </c>
      <c r="BV28" s="12" t="s">
        <v>279</v>
      </c>
      <c r="BW28" s="12" t="s">
        <v>279</v>
      </c>
      <c r="BX28" s="12" t="s">
        <v>280</v>
      </c>
      <c r="BY28" s="12" t="s">
        <v>280</v>
      </c>
      <c r="BZ28" s="12" t="s">
        <v>280</v>
      </c>
      <c r="CA28" s="12" t="s">
        <v>280</v>
      </c>
      <c r="CB28" s="12" t="s">
        <v>280</v>
      </c>
      <c r="CC28" s="12" t="s">
        <v>280</v>
      </c>
      <c r="CD28" s="12" t="s">
        <v>280</v>
      </c>
      <c r="CE28" s="12" t="s">
        <v>280</v>
      </c>
      <c r="CF28" s="12" t="s">
        <v>280</v>
      </c>
      <c r="CG28" s="12" t="s">
        <v>280</v>
      </c>
      <c r="CH28" s="12" t="s">
        <v>280</v>
      </c>
      <c r="CI28" s="12" t="s">
        <v>280</v>
      </c>
      <c r="CJ28" s="12" t="s">
        <v>280</v>
      </c>
      <c r="CK28" s="12" t="s">
        <v>280</v>
      </c>
      <c r="CL28" s="12" t="s">
        <v>280</v>
      </c>
      <c r="CM28" s="12" t="s">
        <v>280</v>
      </c>
      <c r="CN28" s="12" t="s">
        <v>280</v>
      </c>
      <c r="CO28" s="12" t="s">
        <v>280</v>
      </c>
      <c r="CP28" s="12" t="s">
        <v>280</v>
      </c>
      <c r="CQ28" s="12" t="s">
        <v>550</v>
      </c>
      <c r="CR28" s="12" t="s">
        <v>550</v>
      </c>
      <c r="CS28" s="12" t="s">
        <v>281</v>
      </c>
      <c r="CT28" s="12" t="s">
        <v>281</v>
      </c>
      <c r="CU28" s="12" t="s">
        <v>281</v>
      </c>
      <c r="CV28" s="12" t="s">
        <v>281</v>
      </c>
      <c r="CW28" s="12" t="s">
        <v>281</v>
      </c>
      <c r="CX28" s="12" t="s">
        <v>281</v>
      </c>
    </row>
    <row r="29" spans="1:102" hidden="1" x14ac:dyDescent="0.3">
      <c r="A29" s="12" t="s">
        <v>12</v>
      </c>
      <c r="B29" s="12" t="s">
        <v>955</v>
      </c>
      <c r="C29" s="12" t="s">
        <v>956</v>
      </c>
      <c r="D29" s="12" t="s">
        <v>957</v>
      </c>
      <c r="E29" s="12" t="s">
        <v>277</v>
      </c>
      <c r="F29" s="12" t="s">
        <v>277</v>
      </c>
      <c r="G29" s="12" t="s">
        <v>277</v>
      </c>
      <c r="H29" s="12" t="s">
        <v>277</v>
      </c>
      <c r="I29" s="12" t="s">
        <v>277</v>
      </c>
      <c r="J29" s="12" t="s">
        <v>277</v>
      </c>
      <c r="K29" s="12" t="s">
        <v>277</v>
      </c>
      <c r="L29" s="12" t="s">
        <v>277</v>
      </c>
      <c r="M29" s="12" t="s">
        <v>277</v>
      </c>
      <c r="N29" s="12" t="s">
        <v>277</v>
      </c>
      <c r="O29" s="12" t="s">
        <v>277</v>
      </c>
      <c r="P29" s="12" t="s">
        <v>277</v>
      </c>
      <c r="Q29" s="12" t="s">
        <v>277</v>
      </c>
      <c r="R29" s="12" t="s">
        <v>277</v>
      </c>
      <c r="S29" s="12" t="s">
        <v>277</v>
      </c>
      <c r="T29" s="12" t="s">
        <v>277</v>
      </c>
      <c r="U29" s="12" t="s">
        <v>277</v>
      </c>
      <c r="V29" s="12" t="s">
        <v>277</v>
      </c>
      <c r="W29" s="12" t="s">
        <v>277</v>
      </c>
      <c r="X29" s="12" t="s">
        <v>277</v>
      </c>
      <c r="Y29" s="12" t="s">
        <v>277</v>
      </c>
      <c r="Z29" s="12" t="s">
        <v>277</v>
      </c>
      <c r="AA29" s="12" t="s">
        <v>277</v>
      </c>
      <c r="AB29" s="12" t="s">
        <v>277</v>
      </c>
      <c r="AC29" s="12" t="s">
        <v>277</v>
      </c>
      <c r="AD29" s="12" t="s">
        <v>277</v>
      </c>
      <c r="AE29" s="12" t="s">
        <v>277</v>
      </c>
      <c r="AF29" s="12" t="s">
        <v>277</v>
      </c>
      <c r="AG29" s="12" t="s">
        <v>277</v>
      </c>
      <c r="AH29" s="12" t="s">
        <v>277</v>
      </c>
      <c r="AI29" s="12" t="s">
        <v>277</v>
      </c>
      <c r="AJ29" s="12" t="s">
        <v>277</v>
      </c>
      <c r="AK29" s="12" t="s">
        <v>277</v>
      </c>
      <c r="AL29" s="12" t="s">
        <v>277</v>
      </c>
      <c r="AM29" s="12" t="s">
        <v>277</v>
      </c>
      <c r="AN29" s="12" t="s">
        <v>277</v>
      </c>
      <c r="AO29" s="12" t="s">
        <v>277</v>
      </c>
      <c r="AP29" s="12" t="s">
        <v>277</v>
      </c>
      <c r="AQ29" s="12" t="s">
        <v>277</v>
      </c>
      <c r="AR29" s="12" t="s">
        <v>277</v>
      </c>
      <c r="AS29" s="12" t="s">
        <v>277</v>
      </c>
      <c r="AT29" s="12" t="s">
        <v>277</v>
      </c>
      <c r="AU29" s="12" t="s">
        <v>277</v>
      </c>
      <c r="AV29" s="12" t="s">
        <v>277</v>
      </c>
      <c r="AW29" s="12" t="s">
        <v>277</v>
      </c>
      <c r="AX29" s="12" t="s">
        <v>277</v>
      </c>
      <c r="AY29" s="12" t="s">
        <v>277</v>
      </c>
      <c r="AZ29" s="12" t="s">
        <v>277</v>
      </c>
      <c r="BA29" s="12" t="s">
        <v>277</v>
      </c>
      <c r="BB29" s="12" t="s">
        <v>322</v>
      </c>
      <c r="BC29" s="12" t="s">
        <v>322</v>
      </c>
      <c r="BD29" s="12" t="s">
        <v>371</v>
      </c>
      <c r="BE29" s="12" t="s">
        <v>323</v>
      </c>
      <c r="BF29" s="12" t="s">
        <v>323</v>
      </c>
      <c r="BG29" s="12" t="s">
        <v>282</v>
      </c>
      <c r="BH29" s="12" t="s">
        <v>282</v>
      </c>
      <c r="BI29" s="12" t="s">
        <v>324</v>
      </c>
      <c r="BJ29" s="12" t="s">
        <v>324</v>
      </c>
      <c r="BK29" s="12" t="s">
        <v>461</v>
      </c>
      <c r="BL29" s="12" t="s">
        <v>373</v>
      </c>
      <c r="BM29" s="12" t="s">
        <v>286</v>
      </c>
      <c r="BN29" s="12" t="s">
        <v>612</v>
      </c>
      <c r="BO29" s="12" t="s">
        <v>652</v>
      </c>
      <c r="BP29" s="12" t="s">
        <v>551</v>
      </c>
      <c r="BQ29" s="12" t="s">
        <v>958</v>
      </c>
      <c r="BR29" s="12" t="s">
        <v>618</v>
      </c>
      <c r="BS29" s="12" t="s">
        <v>288</v>
      </c>
      <c r="BT29" s="12" t="s">
        <v>883</v>
      </c>
      <c r="BU29" s="12" t="s">
        <v>471</v>
      </c>
      <c r="BV29" s="12" t="s">
        <v>959</v>
      </c>
      <c r="BW29" s="12" t="s">
        <v>510</v>
      </c>
      <c r="BX29" s="12" t="s">
        <v>337</v>
      </c>
      <c r="BY29" s="12" t="s">
        <v>960</v>
      </c>
      <c r="BZ29" s="12" t="s">
        <v>382</v>
      </c>
      <c r="CA29" s="12" t="s">
        <v>961</v>
      </c>
      <c r="CB29" s="12" t="s">
        <v>962</v>
      </c>
      <c r="CC29" s="12" t="s">
        <v>513</v>
      </c>
      <c r="CD29" s="12" t="s">
        <v>574</v>
      </c>
      <c r="CE29" s="12" t="s">
        <v>385</v>
      </c>
      <c r="CF29" s="12" t="s">
        <v>963</v>
      </c>
      <c r="CG29" s="12" t="s">
        <v>964</v>
      </c>
      <c r="CH29" s="12" t="s">
        <v>965</v>
      </c>
      <c r="CI29" s="12" t="s">
        <v>863</v>
      </c>
      <c r="CJ29" s="12" t="s">
        <v>966</v>
      </c>
      <c r="CK29" s="12" t="s">
        <v>623</v>
      </c>
      <c r="CL29" s="12" t="s">
        <v>967</v>
      </c>
      <c r="CM29" s="12" t="s">
        <v>968</v>
      </c>
      <c r="CN29" s="12" t="s">
        <v>625</v>
      </c>
      <c r="CO29" s="12" t="s">
        <v>695</v>
      </c>
      <c r="CP29" s="12" t="s">
        <v>438</v>
      </c>
      <c r="CQ29" s="12" t="s">
        <v>969</v>
      </c>
      <c r="CR29" s="12" t="s">
        <v>364</v>
      </c>
      <c r="CS29" s="12" t="s">
        <v>970</v>
      </c>
      <c r="CT29" s="12" t="s">
        <v>971</v>
      </c>
      <c r="CU29" s="12" t="s">
        <v>4093</v>
      </c>
      <c r="CV29" s="12" t="s">
        <v>1374</v>
      </c>
      <c r="CW29" s="12" t="s">
        <v>4094</v>
      </c>
      <c r="CX29" s="12" t="s">
        <v>4094</v>
      </c>
    </row>
    <row r="30" spans="1:102" hidden="1" x14ac:dyDescent="0.3">
      <c r="A30" s="12" t="s">
        <v>12</v>
      </c>
      <c r="B30" s="12" t="s">
        <v>972</v>
      </c>
      <c r="C30" s="12" t="s">
        <v>973</v>
      </c>
      <c r="D30" s="12" t="s">
        <v>974</v>
      </c>
      <c r="E30" s="12" t="s">
        <v>277</v>
      </c>
      <c r="F30" s="12" t="s">
        <v>277</v>
      </c>
      <c r="G30" s="12" t="s">
        <v>277</v>
      </c>
      <c r="H30" s="12" t="s">
        <v>277</v>
      </c>
      <c r="I30" s="12" t="s">
        <v>277</v>
      </c>
      <c r="J30" s="12" t="s">
        <v>277</v>
      </c>
      <c r="K30" s="12" t="s">
        <v>277</v>
      </c>
      <c r="L30" s="12" t="s">
        <v>277</v>
      </c>
      <c r="M30" s="12" t="s">
        <v>277</v>
      </c>
      <c r="N30" s="12" t="s">
        <v>277</v>
      </c>
      <c r="O30" s="12" t="s">
        <v>277</v>
      </c>
      <c r="P30" s="12" t="s">
        <v>277</v>
      </c>
      <c r="Q30" s="12" t="s">
        <v>277</v>
      </c>
      <c r="R30" s="12" t="s">
        <v>277</v>
      </c>
      <c r="S30" s="12" t="s">
        <v>277</v>
      </c>
      <c r="T30" s="12" t="s">
        <v>277</v>
      </c>
      <c r="U30" s="12" t="s">
        <v>277</v>
      </c>
      <c r="V30" s="12" t="s">
        <v>277</v>
      </c>
      <c r="W30" s="12" t="s">
        <v>277</v>
      </c>
      <c r="X30" s="12" t="s">
        <v>277</v>
      </c>
      <c r="Y30" s="12" t="s">
        <v>277</v>
      </c>
      <c r="Z30" s="12" t="s">
        <v>277</v>
      </c>
      <c r="AA30" s="12" t="s">
        <v>277</v>
      </c>
      <c r="AB30" s="12" t="s">
        <v>277</v>
      </c>
      <c r="AC30" s="12" t="s">
        <v>277</v>
      </c>
      <c r="AD30" s="12" t="s">
        <v>277</v>
      </c>
      <c r="AE30" s="12" t="s">
        <v>277</v>
      </c>
      <c r="AF30" s="12" t="s">
        <v>277</v>
      </c>
      <c r="AG30" s="12" t="s">
        <v>277</v>
      </c>
      <c r="AH30" s="12" t="s">
        <v>277</v>
      </c>
      <c r="AI30" s="12" t="s">
        <v>277</v>
      </c>
      <c r="AJ30" s="12" t="s">
        <v>277</v>
      </c>
      <c r="AK30" s="12" t="s">
        <v>277</v>
      </c>
      <c r="AL30" s="12" t="s">
        <v>277</v>
      </c>
      <c r="AM30" s="12" t="s">
        <v>277</v>
      </c>
      <c r="AN30" s="12" t="s">
        <v>277</v>
      </c>
      <c r="AO30" s="12" t="s">
        <v>277</v>
      </c>
      <c r="AP30" s="12" t="s">
        <v>277</v>
      </c>
      <c r="AQ30" s="12" t="s">
        <v>277</v>
      </c>
      <c r="AR30" s="12" t="s">
        <v>277</v>
      </c>
      <c r="AS30" s="12" t="s">
        <v>277</v>
      </c>
      <c r="AT30" s="12" t="s">
        <v>277</v>
      </c>
      <c r="AU30" s="12" t="s">
        <v>277</v>
      </c>
      <c r="AV30" s="12" t="s">
        <v>322</v>
      </c>
      <c r="AW30" s="12" t="s">
        <v>322</v>
      </c>
      <c r="AX30" s="12" t="s">
        <v>371</v>
      </c>
      <c r="AY30" s="12" t="s">
        <v>371</v>
      </c>
      <c r="AZ30" s="12" t="s">
        <v>371</v>
      </c>
      <c r="BA30" s="12" t="s">
        <v>280</v>
      </c>
      <c r="BB30" s="12" t="s">
        <v>281</v>
      </c>
      <c r="BC30" s="12" t="s">
        <v>282</v>
      </c>
      <c r="BD30" s="12" t="s">
        <v>567</v>
      </c>
      <c r="BE30" s="12" t="s">
        <v>507</v>
      </c>
      <c r="BF30" s="12" t="s">
        <v>286</v>
      </c>
      <c r="BG30" s="12" t="s">
        <v>456</v>
      </c>
      <c r="BH30" s="12" t="s">
        <v>375</v>
      </c>
      <c r="BI30" s="12" t="s">
        <v>327</v>
      </c>
      <c r="BJ30" s="12" t="s">
        <v>879</v>
      </c>
      <c r="BK30" s="12" t="s">
        <v>335</v>
      </c>
      <c r="BL30" s="12" t="s">
        <v>557</v>
      </c>
      <c r="BM30" s="12" t="s">
        <v>975</v>
      </c>
      <c r="BN30" s="12" t="s">
        <v>511</v>
      </c>
      <c r="BO30" s="12" t="s">
        <v>976</v>
      </c>
      <c r="BP30" s="12" t="s">
        <v>977</v>
      </c>
      <c r="BQ30" s="12" t="s">
        <v>978</v>
      </c>
      <c r="BR30" s="12" t="s">
        <v>295</v>
      </c>
      <c r="BS30" s="12" t="s">
        <v>979</v>
      </c>
      <c r="BT30" s="12" t="s">
        <v>980</v>
      </c>
      <c r="BU30" s="12" t="s">
        <v>981</v>
      </c>
      <c r="BV30" s="12" t="s">
        <v>662</v>
      </c>
      <c r="BW30" s="12" t="s">
        <v>982</v>
      </c>
      <c r="BX30" s="12" t="s">
        <v>983</v>
      </c>
      <c r="BY30" s="12" t="s">
        <v>984</v>
      </c>
      <c r="BZ30" s="12" t="s">
        <v>985</v>
      </c>
      <c r="CA30" s="12" t="s">
        <v>986</v>
      </c>
      <c r="CB30" s="12" t="s">
        <v>987</v>
      </c>
      <c r="CC30" s="12" t="s">
        <v>988</v>
      </c>
      <c r="CD30" s="12" t="s">
        <v>989</v>
      </c>
      <c r="CE30" s="12" t="s">
        <v>990</v>
      </c>
      <c r="CF30" s="12" t="s">
        <v>991</v>
      </c>
      <c r="CG30" s="12" t="s">
        <v>992</v>
      </c>
      <c r="CH30" s="12" t="s">
        <v>993</v>
      </c>
      <c r="CI30" s="12" t="s">
        <v>994</v>
      </c>
      <c r="CJ30" s="12" t="s">
        <v>995</v>
      </c>
      <c r="CK30" s="12" t="s">
        <v>996</v>
      </c>
      <c r="CL30" s="12" t="s">
        <v>997</v>
      </c>
      <c r="CM30" s="12" t="s">
        <v>998</v>
      </c>
      <c r="CN30" s="12" t="s">
        <v>711</v>
      </c>
      <c r="CO30" s="12" t="s">
        <v>999</v>
      </c>
      <c r="CP30" s="12" t="s">
        <v>1000</v>
      </c>
      <c r="CQ30" s="12" t="s">
        <v>1001</v>
      </c>
      <c r="CR30" s="12" t="s">
        <v>1002</v>
      </c>
      <c r="CS30" s="12" t="s">
        <v>1003</v>
      </c>
      <c r="CT30" s="12" t="s">
        <v>1004</v>
      </c>
      <c r="CU30" s="12" t="s">
        <v>890</v>
      </c>
      <c r="CV30" s="12" t="s">
        <v>1491</v>
      </c>
      <c r="CW30" s="12" t="s">
        <v>3907</v>
      </c>
      <c r="CX30" s="12" t="s">
        <v>1508</v>
      </c>
    </row>
    <row r="31" spans="1:102" hidden="1" x14ac:dyDescent="0.3">
      <c r="A31" s="12" t="s">
        <v>12</v>
      </c>
      <c r="B31" s="12" t="s">
        <v>1005</v>
      </c>
      <c r="C31" s="12" t="s">
        <v>1006</v>
      </c>
      <c r="D31" s="12" t="s">
        <v>1007</v>
      </c>
      <c r="E31" s="12" t="s">
        <v>277</v>
      </c>
      <c r="F31" s="12" t="s">
        <v>277</v>
      </c>
      <c r="G31" s="12" t="s">
        <v>277</v>
      </c>
      <c r="H31" s="12" t="s">
        <v>277</v>
      </c>
      <c r="I31" s="12" t="s">
        <v>277</v>
      </c>
      <c r="J31" s="12" t="s">
        <v>277</v>
      </c>
      <c r="K31" s="12" t="s">
        <v>277</v>
      </c>
      <c r="L31" s="12" t="s">
        <v>277</v>
      </c>
      <c r="M31" s="12" t="s">
        <v>277</v>
      </c>
      <c r="N31" s="12" t="s">
        <v>277</v>
      </c>
      <c r="O31" s="12" t="s">
        <v>277</v>
      </c>
      <c r="P31" s="12" t="s">
        <v>277</v>
      </c>
      <c r="Q31" s="12" t="s">
        <v>277</v>
      </c>
      <c r="R31" s="12" t="s">
        <v>277</v>
      </c>
      <c r="S31" s="12" t="s">
        <v>277</v>
      </c>
      <c r="T31" s="12" t="s">
        <v>277</v>
      </c>
      <c r="U31" s="12" t="s">
        <v>277</v>
      </c>
      <c r="V31" s="12" t="s">
        <v>277</v>
      </c>
      <c r="W31" s="12" t="s">
        <v>277</v>
      </c>
      <c r="X31" s="12" t="s">
        <v>277</v>
      </c>
      <c r="Y31" s="12" t="s">
        <v>277</v>
      </c>
      <c r="Z31" s="12" t="s">
        <v>277</v>
      </c>
      <c r="AA31" s="12" t="s">
        <v>277</v>
      </c>
      <c r="AB31" s="12" t="s">
        <v>277</v>
      </c>
      <c r="AC31" s="12" t="s">
        <v>277</v>
      </c>
      <c r="AD31" s="12" t="s">
        <v>277</v>
      </c>
      <c r="AE31" s="12" t="s">
        <v>277</v>
      </c>
      <c r="AF31" s="12" t="s">
        <v>277</v>
      </c>
      <c r="AG31" s="12" t="s">
        <v>277</v>
      </c>
      <c r="AH31" s="12" t="s">
        <v>277</v>
      </c>
      <c r="AI31" s="12" t="s">
        <v>277</v>
      </c>
      <c r="AJ31" s="12" t="s">
        <v>277</v>
      </c>
      <c r="AK31" s="12" t="s">
        <v>277</v>
      </c>
      <c r="AL31" s="12" t="s">
        <v>277</v>
      </c>
      <c r="AM31" s="12" t="s">
        <v>277</v>
      </c>
      <c r="AN31" s="12" t="s">
        <v>278</v>
      </c>
      <c r="AO31" s="12" t="s">
        <v>278</v>
      </c>
      <c r="AP31" s="12" t="s">
        <v>278</v>
      </c>
      <c r="AQ31" s="12" t="s">
        <v>322</v>
      </c>
      <c r="AR31" s="12" t="s">
        <v>322</v>
      </c>
      <c r="AS31" s="12" t="s">
        <v>322</v>
      </c>
      <c r="AT31" s="12" t="s">
        <v>322</v>
      </c>
      <c r="AU31" s="12" t="s">
        <v>279</v>
      </c>
      <c r="AV31" s="12" t="s">
        <v>279</v>
      </c>
      <c r="AW31" s="12" t="s">
        <v>567</v>
      </c>
      <c r="AX31" s="12" t="s">
        <v>567</v>
      </c>
      <c r="AY31" s="12" t="s">
        <v>374</v>
      </c>
      <c r="AZ31" s="12" t="s">
        <v>456</v>
      </c>
      <c r="BA31" s="12" t="s">
        <v>465</v>
      </c>
      <c r="BB31" s="12" t="s">
        <v>327</v>
      </c>
      <c r="BC31" s="12" t="s">
        <v>508</v>
      </c>
      <c r="BD31" s="12" t="s">
        <v>1008</v>
      </c>
      <c r="BE31" s="12" t="s">
        <v>1008</v>
      </c>
      <c r="BF31" s="12" t="s">
        <v>1009</v>
      </c>
      <c r="BG31" s="12" t="s">
        <v>684</v>
      </c>
      <c r="BH31" s="12" t="s">
        <v>1010</v>
      </c>
      <c r="BI31" s="12" t="s">
        <v>1011</v>
      </c>
      <c r="BJ31" s="12" t="s">
        <v>864</v>
      </c>
      <c r="BK31" s="12" t="s">
        <v>1012</v>
      </c>
      <c r="BL31" s="12" t="s">
        <v>1013</v>
      </c>
      <c r="BM31" s="12" t="s">
        <v>1014</v>
      </c>
      <c r="BN31" s="12" t="s">
        <v>1015</v>
      </c>
      <c r="BO31" s="12" t="s">
        <v>1016</v>
      </c>
      <c r="BP31" s="12" t="s">
        <v>1017</v>
      </c>
      <c r="BQ31" s="12" t="s">
        <v>1018</v>
      </c>
      <c r="BR31" s="12" t="s">
        <v>1019</v>
      </c>
      <c r="BS31" s="12" t="s">
        <v>1020</v>
      </c>
      <c r="BT31" s="12" t="s">
        <v>1021</v>
      </c>
      <c r="BU31" s="12" t="s">
        <v>1022</v>
      </c>
      <c r="BV31" s="12" t="s">
        <v>1023</v>
      </c>
      <c r="BW31" s="12" t="s">
        <v>1024</v>
      </c>
      <c r="BX31" s="12" t="s">
        <v>1025</v>
      </c>
      <c r="BY31" s="12" t="s">
        <v>1026</v>
      </c>
      <c r="BZ31" s="12" t="s">
        <v>1027</v>
      </c>
      <c r="CA31" s="12" t="s">
        <v>1028</v>
      </c>
      <c r="CB31" s="12" t="s">
        <v>1029</v>
      </c>
      <c r="CC31" s="12" t="s">
        <v>1030</v>
      </c>
      <c r="CD31" s="12" t="s">
        <v>1031</v>
      </c>
      <c r="CE31" s="12" t="s">
        <v>1032</v>
      </c>
      <c r="CF31" s="12" t="s">
        <v>1033</v>
      </c>
      <c r="CG31" s="12" t="s">
        <v>1034</v>
      </c>
      <c r="CH31" s="12" t="s">
        <v>1035</v>
      </c>
      <c r="CI31" s="12" t="s">
        <v>1036</v>
      </c>
      <c r="CJ31" s="12" t="s">
        <v>1037</v>
      </c>
      <c r="CK31" s="12" t="s">
        <v>1038</v>
      </c>
      <c r="CL31" s="12" t="s">
        <v>1039</v>
      </c>
      <c r="CM31" s="12" t="s">
        <v>1040</v>
      </c>
      <c r="CN31" s="12" t="s">
        <v>1041</v>
      </c>
      <c r="CO31" s="12" t="s">
        <v>1042</v>
      </c>
      <c r="CP31" s="12" t="s">
        <v>1043</v>
      </c>
      <c r="CQ31" s="12" t="s">
        <v>1044</v>
      </c>
      <c r="CR31" s="12" t="s">
        <v>1045</v>
      </c>
      <c r="CS31" s="12" t="s">
        <v>1046</v>
      </c>
      <c r="CT31" s="12" t="s">
        <v>1047</v>
      </c>
      <c r="CU31" s="12" t="s">
        <v>4095</v>
      </c>
      <c r="CV31" s="12" t="s">
        <v>4096</v>
      </c>
      <c r="CW31" s="12" t="s">
        <v>4097</v>
      </c>
      <c r="CX31" s="12" t="s">
        <v>3552</v>
      </c>
    </row>
    <row r="32" spans="1:102" hidden="1" x14ac:dyDescent="0.3">
      <c r="A32" s="12" t="s">
        <v>12</v>
      </c>
      <c r="B32" s="12" t="s">
        <v>1048</v>
      </c>
      <c r="C32" s="12" t="s">
        <v>1049</v>
      </c>
      <c r="D32" s="12" t="s">
        <v>1050</v>
      </c>
      <c r="E32" s="12" t="s">
        <v>277</v>
      </c>
      <c r="F32" s="12" t="s">
        <v>277</v>
      </c>
      <c r="G32" s="12" t="s">
        <v>277</v>
      </c>
      <c r="H32" s="12" t="s">
        <v>277</v>
      </c>
      <c r="I32" s="12" t="s">
        <v>277</v>
      </c>
      <c r="J32" s="12" t="s">
        <v>277</v>
      </c>
      <c r="K32" s="12" t="s">
        <v>277</v>
      </c>
      <c r="L32" s="12" t="s">
        <v>277</v>
      </c>
      <c r="M32" s="12" t="s">
        <v>277</v>
      </c>
      <c r="N32" s="12" t="s">
        <v>277</v>
      </c>
      <c r="O32" s="12" t="s">
        <v>277</v>
      </c>
      <c r="P32" s="12" t="s">
        <v>277</v>
      </c>
      <c r="Q32" s="12" t="s">
        <v>277</v>
      </c>
      <c r="R32" s="12" t="s">
        <v>277</v>
      </c>
      <c r="S32" s="12" t="s">
        <v>277</v>
      </c>
      <c r="T32" s="12" t="s">
        <v>277</v>
      </c>
      <c r="U32" s="12" t="s">
        <v>277</v>
      </c>
      <c r="V32" s="12" t="s">
        <v>277</v>
      </c>
      <c r="W32" s="12" t="s">
        <v>277</v>
      </c>
      <c r="X32" s="12" t="s">
        <v>277</v>
      </c>
      <c r="Y32" s="12" t="s">
        <v>277</v>
      </c>
      <c r="Z32" s="12" t="s">
        <v>277</v>
      </c>
      <c r="AA32" s="12" t="s">
        <v>277</v>
      </c>
      <c r="AB32" s="12" t="s">
        <v>277</v>
      </c>
      <c r="AC32" s="12" t="s">
        <v>277</v>
      </c>
      <c r="AD32" s="12" t="s">
        <v>277</v>
      </c>
      <c r="AE32" s="12" t="s">
        <v>277</v>
      </c>
      <c r="AF32" s="12" t="s">
        <v>277</v>
      </c>
      <c r="AG32" s="12" t="s">
        <v>277</v>
      </c>
      <c r="AH32" s="12" t="s">
        <v>277</v>
      </c>
      <c r="AI32" s="12" t="s">
        <v>277</v>
      </c>
      <c r="AJ32" s="12" t="s">
        <v>277</v>
      </c>
      <c r="AK32" s="12" t="s">
        <v>277</v>
      </c>
      <c r="AL32" s="12" t="s">
        <v>277</v>
      </c>
      <c r="AM32" s="12" t="s">
        <v>277</v>
      </c>
      <c r="AN32" s="12" t="s">
        <v>277</v>
      </c>
      <c r="AO32" s="12" t="s">
        <v>277</v>
      </c>
      <c r="AP32" s="12" t="s">
        <v>277</v>
      </c>
      <c r="AQ32" s="12" t="s">
        <v>277</v>
      </c>
      <c r="AR32" s="12" t="s">
        <v>277</v>
      </c>
      <c r="AS32" s="12" t="s">
        <v>277</v>
      </c>
      <c r="AT32" s="12" t="s">
        <v>277</v>
      </c>
      <c r="AU32" s="12" t="s">
        <v>277</v>
      </c>
      <c r="AV32" s="12" t="s">
        <v>277</v>
      </c>
      <c r="AW32" s="12" t="s">
        <v>277</v>
      </c>
      <c r="AX32" s="12" t="s">
        <v>277</v>
      </c>
      <c r="AY32" s="12" t="s">
        <v>277</v>
      </c>
      <c r="AZ32" s="12" t="s">
        <v>278</v>
      </c>
      <c r="BA32" s="12" t="s">
        <v>278</v>
      </c>
      <c r="BB32" s="12" t="s">
        <v>282</v>
      </c>
      <c r="BC32" s="12" t="s">
        <v>282</v>
      </c>
      <c r="BD32" s="12" t="s">
        <v>376</v>
      </c>
      <c r="BE32" s="12" t="s">
        <v>287</v>
      </c>
      <c r="BF32" s="12" t="s">
        <v>653</v>
      </c>
      <c r="BG32" s="12" t="s">
        <v>378</v>
      </c>
      <c r="BH32" s="12" t="s">
        <v>468</v>
      </c>
      <c r="BI32" s="12" t="s">
        <v>469</v>
      </c>
      <c r="BJ32" s="12" t="s">
        <v>419</v>
      </c>
      <c r="BK32" s="12" t="s">
        <v>509</v>
      </c>
      <c r="BL32" s="12" t="s">
        <v>1051</v>
      </c>
      <c r="BM32" s="12" t="s">
        <v>420</v>
      </c>
      <c r="BN32" s="12" t="s">
        <v>556</v>
      </c>
      <c r="BO32" s="12" t="s">
        <v>336</v>
      </c>
      <c r="BP32" s="12" t="s">
        <v>907</v>
      </c>
      <c r="BQ32" s="12" t="s">
        <v>1052</v>
      </c>
      <c r="BR32" s="12" t="s">
        <v>510</v>
      </c>
      <c r="BS32" s="12" t="s">
        <v>292</v>
      </c>
      <c r="BT32" s="12" t="s">
        <v>975</v>
      </c>
      <c r="BU32" s="12" t="s">
        <v>1053</v>
      </c>
      <c r="BV32" s="12" t="s">
        <v>1054</v>
      </c>
      <c r="BW32" s="12" t="s">
        <v>746</v>
      </c>
      <c r="BX32" s="12" t="s">
        <v>422</v>
      </c>
      <c r="BY32" s="12" t="s">
        <v>572</v>
      </c>
      <c r="BZ32" s="12" t="s">
        <v>1055</v>
      </c>
      <c r="CA32" s="12" t="s">
        <v>1055</v>
      </c>
      <c r="CB32" s="12" t="s">
        <v>1055</v>
      </c>
      <c r="CC32" s="12" t="s">
        <v>1055</v>
      </c>
      <c r="CD32" s="12" t="s">
        <v>1055</v>
      </c>
      <c r="CE32" s="12" t="s">
        <v>1055</v>
      </c>
      <c r="CF32" s="12" t="s">
        <v>511</v>
      </c>
      <c r="CG32" s="12" t="s">
        <v>511</v>
      </c>
      <c r="CH32" s="12" t="s">
        <v>511</v>
      </c>
      <c r="CI32" s="12" t="s">
        <v>511</v>
      </c>
      <c r="CJ32" s="12" t="s">
        <v>511</v>
      </c>
      <c r="CK32" s="12" t="s">
        <v>511</v>
      </c>
      <c r="CL32" s="12" t="s">
        <v>511</v>
      </c>
      <c r="CM32" s="12" t="s">
        <v>511</v>
      </c>
      <c r="CN32" s="12" t="s">
        <v>1056</v>
      </c>
      <c r="CO32" s="12" t="s">
        <v>1057</v>
      </c>
      <c r="CP32" s="12" t="s">
        <v>1057</v>
      </c>
      <c r="CQ32" s="12" t="s">
        <v>1057</v>
      </c>
      <c r="CR32" s="12" t="s">
        <v>1057</v>
      </c>
      <c r="CS32" s="12" t="s">
        <v>1057</v>
      </c>
      <c r="CT32" s="12" t="s">
        <v>1057</v>
      </c>
      <c r="CU32" s="12" t="s">
        <v>1057</v>
      </c>
      <c r="CV32" s="12" t="s">
        <v>1057</v>
      </c>
      <c r="CW32" s="12" t="s">
        <v>1057</v>
      </c>
      <c r="CX32" s="12" t="s">
        <v>1057</v>
      </c>
    </row>
    <row r="33" spans="1:102" hidden="1" x14ac:dyDescent="0.3">
      <c r="A33" s="12" t="s">
        <v>12</v>
      </c>
      <c r="B33" s="12" t="s">
        <v>1058</v>
      </c>
      <c r="C33" s="12" t="s">
        <v>1059</v>
      </c>
      <c r="D33" s="12" t="s">
        <v>1060</v>
      </c>
      <c r="E33" s="12" t="s">
        <v>277</v>
      </c>
      <c r="F33" s="12" t="s">
        <v>277</v>
      </c>
      <c r="G33" s="12" t="s">
        <v>277</v>
      </c>
      <c r="H33" s="12" t="s">
        <v>277</v>
      </c>
      <c r="I33" s="12" t="s">
        <v>277</v>
      </c>
      <c r="J33" s="12" t="s">
        <v>277</v>
      </c>
      <c r="K33" s="12" t="s">
        <v>277</v>
      </c>
      <c r="L33" s="12" t="s">
        <v>277</v>
      </c>
      <c r="M33" s="12" t="s">
        <v>277</v>
      </c>
      <c r="N33" s="12" t="s">
        <v>277</v>
      </c>
      <c r="O33" s="12" t="s">
        <v>277</v>
      </c>
      <c r="P33" s="12" t="s">
        <v>277</v>
      </c>
      <c r="Q33" s="12" t="s">
        <v>277</v>
      </c>
      <c r="R33" s="12" t="s">
        <v>277</v>
      </c>
      <c r="S33" s="12" t="s">
        <v>277</v>
      </c>
      <c r="T33" s="12" t="s">
        <v>277</v>
      </c>
      <c r="U33" s="12" t="s">
        <v>277</v>
      </c>
      <c r="V33" s="12" t="s">
        <v>277</v>
      </c>
      <c r="W33" s="12" t="s">
        <v>277</v>
      </c>
      <c r="X33" s="12" t="s">
        <v>277</v>
      </c>
      <c r="Y33" s="12" t="s">
        <v>277</v>
      </c>
      <c r="Z33" s="12" t="s">
        <v>277</v>
      </c>
      <c r="AA33" s="12" t="s">
        <v>277</v>
      </c>
      <c r="AB33" s="12" t="s">
        <v>277</v>
      </c>
      <c r="AC33" s="12" t="s">
        <v>277</v>
      </c>
      <c r="AD33" s="12" t="s">
        <v>277</v>
      </c>
      <c r="AE33" s="12" t="s">
        <v>277</v>
      </c>
      <c r="AF33" s="12" t="s">
        <v>277</v>
      </c>
      <c r="AG33" s="12" t="s">
        <v>277</v>
      </c>
      <c r="AH33" s="12" t="s">
        <v>277</v>
      </c>
      <c r="AI33" s="12" t="s">
        <v>277</v>
      </c>
      <c r="AJ33" s="12" t="s">
        <v>277</v>
      </c>
      <c r="AK33" s="12" t="s">
        <v>277</v>
      </c>
      <c r="AL33" s="12" t="s">
        <v>277</v>
      </c>
      <c r="AM33" s="12" t="s">
        <v>277</v>
      </c>
      <c r="AN33" s="12" t="s">
        <v>277</v>
      </c>
      <c r="AO33" s="12" t="s">
        <v>277</v>
      </c>
      <c r="AP33" s="12" t="s">
        <v>277</v>
      </c>
      <c r="AQ33" s="12" t="s">
        <v>277</v>
      </c>
      <c r="AR33" s="12" t="s">
        <v>277</v>
      </c>
      <c r="AS33" s="12" t="s">
        <v>277</v>
      </c>
      <c r="AT33" s="12" t="s">
        <v>277</v>
      </c>
      <c r="AU33" s="12" t="s">
        <v>277</v>
      </c>
      <c r="AV33" s="12" t="s">
        <v>277</v>
      </c>
      <c r="AW33" s="12" t="s">
        <v>277</v>
      </c>
      <c r="AX33" s="12" t="s">
        <v>277</v>
      </c>
      <c r="AY33" s="12" t="s">
        <v>279</v>
      </c>
      <c r="AZ33" s="12" t="s">
        <v>279</v>
      </c>
      <c r="BA33" s="12" t="s">
        <v>279</v>
      </c>
      <c r="BB33" s="12" t="s">
        <v>281</v>
      </c>
      <c r="BC33" s="12" t="s">
        <v>281</v>
      </c>
      <c r="BD33" s="12" t="s">
        <v>325</v>
      </c>
      <c r="BE33" s="12" t="s">
        <v>745</v>
      </c>
      <c r="BF33" s="12" t="s">
        <v>329</v>
      </c>
      <c r="BG33" s="12" t="s">
        <v>508</v>
      </c>
      <c r="BH33" s="12" t="s">
        <v>654</v>
      </c>
      <c r="BI33" s="12" t="s">
        <v>570</v>
      </c>
      <c r="BJ33" s="12" t="s">
        <v>290</v>
      </c>
      <c r="BK33" s="12" t="s">
        <v>1053</v>
      </c>
      <c r="BL33" s="12" t="s">
        <v>885</v>
      </c>
      <c r="BM33" s="12" t="s">
        <v>1061</v>
      </c>
      <c r="BN33" s="12" t="s">
        <v>383</v>
      </c>
      <c r="BO33" s="12" t="s">
        <v>862</v>
      </c>
      <c r="BP33" s="12" t="s">
        <v>1062</v>
      </c>
      <c r="BQ33" s="12" t="s">
        <v>385</v>
      </c>
      <c r="BR33" s="12" t="s">
        <v>1063</v>
      </c>
      <c r="BS33" s="12" t="s">
        <v>1064</v>
      </c>
      <c r="BT33" s="12" t="s">
        <v>1065</v>
      </c>
      <c r="BU33" s="12" t="s">
        <v>798</v>
      </c>
      <c r="BV33" s="12" t="s">
        <v>1066</v>
      </c>
      <c r="BW33" s="12" t="s">
        <v>1067</v>
      </c>
      <c r="BX33" s="12" t="s">
        <v>1068</v>
      </c>
      <c r="BY33" s="12" t="s">
        <v>1069</v>
      </c>
      <c r="BZ33" s="12" t="s">
        <v>1070</v>
      </c>
      <c r="CA33" s="12" t="s">
        <v>1071</v>
      </c>
      <c r="CB33" s="12" t="s">
        <v>1072</v>
      </c>
      <c r="CC33" s="12" t="s">
        <v>1073</v>
      </c>
      <c r="CD33" s="12" t="s">
        <v>1074</v>
      </c>
      <c r="CE33" s="12" t="s">
        <v>1075</v>
      </c>
      <c r="CF33" s="12" t="s">
        <v>1076</v>
      </c>
      <c r="CG33" s="12" t="s">
        <v>1077</v>
      </c>
      <c r="CH33" s="12" t="s">
        <v>1078</v>
      </c>
      <c r="CI33" s="12" t="s">
        <v>697</v>
      </c>
      <c r="CJ33" s="12" t="s">
        <v>447</v>
      </c>
      <c r="CK33" s="12" t="s">
        <v>1079</v>
      </c>
      <c r="CL33" s="12" t="s">
        <v>1080</v>
      </c>
      <c r="CM33" s="12" t="s">
        <v>1081</v>
      </c>
      <c r="CN33" s="12" t="s">
        <v>1082</v>
      </c>
      <c r="CO33" s="12" t="s">
        <v>1083</v>
      </c>
      <c r="CP33" s="12" t="s">
        <v>1084</v>
      </c>
      <c r="CQ33" s="12" t="s">
        <v>1085</v>
      </c>
      <c r="CR33" s="12" t="s">
        <v>648</v>
      </c>
      <c r="CS33" s="12" t="s">
        <v>1086</v>
      </c>
      <c r="CT33" s="12" t="s">
        <v>1087</v>
      </c>
      <c r="CU33" s="12" t="s">
        <v>1825</v>
      </c>
      <c r="CV33" s="12" t="s">
        <v>2808</v>
      </c>
      <c r="CW33" s="12" t="s">
        <v>4098</v>
      </c>
      <c r="CX33" s="12" t="s">
        <v>4099</v>
      </c>
    </row>
    <row r="34" spans="1:102" hidden="1" x14ac:dyDescent="0.3">
      <c r="A34" s="12" t="s">
        <v>12</v>
      </c>
      <c r="B34" s="12" t="s">
        <v>1088</v>
      </c>
      <c r="C34" s="12" t="s">
        <v>1089</v>
      </c>
      <c r="D34" s="12" t="s">
        <v>1090</v>
      </c>
      <c r="E34" s="12" t="s">
        <v>277</v>
      </c>
      <c r="F34" s="12" t="s">
        <v>277</v>
      </c>
      <c r="G34" s="12" t="s">
        <v>277</v>
      </c>
      <c r="H34" s="12" t="s">
        <v>277</v>
      </c>
      <c r="I34" s="12" t="s">
        <v>277</v>
      </c>
      <c r="J34" s="12" t="s">
        <v>277</v>
      </c>
      <c r="K34" s="12" t="s">
        <v>277</v>
      </c>
      <c r="L34" s="12" t="s">
        <v>277</v>
      </c>
      <c r="M34" s="12" t="s">
        <v>277</v>
      </c>
      <c r="N34" s="12" t="s">
        <v>277</v>
      </c>
      <c r="O34" s="12" t="s">
        <v>277</v>
      </c>
      <c r="P34" s="12" t="s">
        <v>277</v>
      </c>
      <c r="Q34" s="12" t="s">
        <v>277</v>
      </c>
      <c r="R34" s="12" t="s">
        <v>277</v>
      </c>
      <c r="S34" s="12" t="s">
        <v>277</v>
      </c>
      <c r="T34" s="12" t="s">
        <v>277</v>
      </c>
      <c r="U34" s="12" t="s">
        <v>277</v>
      </c>
      <c r="V34" s="12" t="s">
        <v>277</v>
      </c>
      <c r="W34" s="12" t="s">
        <v>277</v>
      </c>
      <c r="X34" s="12" t="s">
        <v>277</v>
      </c>
      <c r="Y34" s="12" t="s">
        <v>277</v>
      </c>
      <c r="Z34" s="12" t="s">
        <v>277</v>
      </c>
      <c r="AA34" s="12" t="s">
        <v>277</v>
      </c>
      <c r="AB34" s="12" t="s">
        <v>277</v>
      </c>
      <c r="AC34" s="12" t="s">
        <v>277</v>
      </c>
      <c r="AD34" s="12" t="s">
        <v>277</v>
      </c>
      <c r="AE34" s="12" t="s">
        <v>277</v>
      </c>
      <c r="AF34" s="12" t="s">
        <v>277</v>
      </c>
      <c r="AG34" s="12" t="s">
        <v>277</v>
      </c>
      <c r="AH34" s="12" t="s">
        <v>277</v>
      </c>
      <c r="AI34" s="12" t="s">
        <v>277</v>
      </c>
      <c r="AJ34" s="12" t="s">
        <v>277</v>
      </c>
      <c r="AK34" s="12" t="s">
        <v>277</v>
      </c>
      <c r="AL34" s="12" t="s">
        <v>277</v>
      </c>
      <c r="AM34" s="12" t="s">
        <v>277</v>
      </c>
      <c r="AN34" s="12" t="s">
        <v>277</v>
      </c>
      <c r="AO34" s="12" t="s">
        <v>277</v>
      </c>
      <c r="AP34" s="12" t="s">
        <v>277</v>
      </c>
      <c r="AQ34" s="12" t="s">
        <v>277</v>
      </c>
      <c r="AR34" s="12" t="s">
        <v>277</v>
      </c>
      <c r="AS34" s="12" t="s">
        <v>277</v>
      </c>
      <c r="AT34" s="12" t="s">
        <v>277</v>
      </c>
      <c r="AU34" s="12" t="s">
        <v>277</v>
      </c>
      <c r="AV34" s="12" t="s">
        <v>277</v>
      </c>
      <c r="AW34" s="12" t="s">
        <v>277</v>
      </c>
      <c r="AX34" s="12" t="s">
        <v>277</v>
      </c>
      <c r="AY34" s="12" t="s">
        <v>277</v>
      </c>
      <c r="AZ34" s="12" t="s">
        <v>277</v>
      </c>
      <c r="BA34" s="12" t="s">
        <v>278</v>
      </c>
      <c r="BB34" s="12" t="s">
        <v>322</v>
      </c>
      <c r="BC34" s="12" t="s">
        <v>322</v>
      </c>
      <c r="BD34" s="12" t="s">
        <v>322</v>
      </c>
      <c r="BE34" s="12" t="s">
        <v>322</v>
      </c>
      <c r="BF34" s="12" t="s">
        <v>371</v>
      </c>
      <c r="BG34" s="12" t="s">
        <v>461</v>
      </c>
      <c r="BH34" s="12" t="s">
        <v>461</v>
      </c>
      <c r="BI34" s="12" t="s">
        <v>374</v>
      </c>
      <c r="BJ34" s="12" t="s">
        <v>326</v>
      </c>
      <c r="BK34" s="12" t="s">
        <v>287</v>
      </c>
      <c r="BL34" s="12" t="s">
        <v>332</v>
      </c>
      <c r="BM34" s="12" t="s">
        <v>419</v>
      </c>
      <c r="BN34" s="12" t="s">
        <v>559</v>
      </c>
      <c r="BO34" s="12" t="s">
        <v>1052</v>
      </c>
      <c r="BP34" s="12" t="s">
        <v>338</v>
      </c>
      <c r="BQ34" s="12" t="s">
        <v>884</v>
      </c>
      <c r="BR34" s="12" t="s">
        <v>682</v>
      </c>
      <c r="BS34" s="12" t="s">
        <v>686</v>
      </c>
      <c r="BT34" s="12" t="s">
        <v>1091</v>
      </c>
      <c r="BU34" s="12" t="s">
        <v>748</v>
      </c>
      <c r="BV34" s="12" t="s">
        <v>1092</v>
      </c>
      <c r="BW34" s="12" t="s">
        <v>1093</v>
      </c>
      <c r="BX34" s="12" t="s">
        <v>1094</v>
      </c>
      <c r="BY34" s="12" t="s">
        <v>386</v>
      </c>
      <c r="BZ34" s="12" t="s">
        <v>1095</v>
      </c>
      <c r="CA34" s="12" t="s">
        <v>1096</v>
      </c>
      <c r="CB34" s="12" t="s">
        <v>729</v>
      </c>
      <c r="CC34" s="12" t="s">
        <v>1097</v>
      </c>
      <c r="CD34" s="12" t="s">
        <v>1098</v>
      </c>
      <c r="CE34" s="12" t="s">
        <v>624</v>
      </c>
      <c r="CF34" s="12" t="s">
        <v>624</v>
      </c>
      <c r="CG34" s="12" t="s">
        <v>303</v>
      </c>
      <c r="CH34" s="12" t="s">
        <v>1099</v>
      </c>
      <c r="CI34" s="12" t="s">
        <v>1099</v>
      </c>
      <c r="CJ34" s="12" t="s">
        <v>1100</v>
      </c>
      <c r="CK34" s="12" t="s">
        <v>1101</v>
      </c>
      <c r="CL34" s="12" t="s">
        <v>741</v>
      </c>
      <c r="CM34" s="12" t="s">
        <v>1102</v>
      </c>
      <c r="CN34" s="12" t="s">
        <v>1103</v>
      </c>
      <c r="CO34" s="12" t="s">
        <v>1104</v>
      </c>
      <c r="CP34" s="12" t="s">
        <v>1105</v>
      </c>
      <c r="CQ34" s="12" t="s">
        <v>1106</v>
      </c>
      <c r="CR34" s="12" t="s">
        <v>364</v>
      </c>
      <c r="CS34" s="12" t="s">
        <v>1107</v>
      </c>
      <c r="CT34" s="12" t="s">
        <v>1108</v>
      </c>
      <c r="CU34" s="12" t="s">
        <v>1108</v>
      </c>
      <c r="CV34" s="12" t="s">
        <v>1325</v>
      </c>
      <c r="CW34" s="12" t="s">
        <v>1076</v>
      </c>
      <c r="CX34" s="12" t="s">
        <v>441</v>
      </c>
    </row>
    <row r="35" spans="1:102" hidden="1" x14ac:dyDescent="0.3">
      <c r="A35" s="12" t="s">
        <v>12</v>
      </c>
      <c r="B35" s="12" t="s">
        <v>1109</v>
      </c>
      <c r="C35" s="12" t="s">
        <v>1110</v>
      </c>
      <c r="D35" s="12" t="s">
        <v>1111</v>
      </c>
      <c r="E35" s="12" t="s">
        <v>277</v>
      </c>
      <c r="F35" s="12" t="s">
        <v>277</v>
      </c>
      <c r="G35" s="12" t="s">
        <v>277</v>
      </c>
      <c r="H35" s="12" t="s">
        <v>277</v>
      </c>
      <c r="I35" s="12" t="s">
        <v>277</v>
      </c>
      <c r="J35" s="12" t="s">
        <v>277</v>
      </c>
      <c r="K35" s="12" t="s">
        <v>277</v>
      </c>
      <c r="L35" s="12" t="s">
        <v>277</v>
      </c>
      <c r="M35" s="12" t="s">
        <v>277</v>
      </c>
      <c r="N35" s="12" t="s">
        <v>277</v>
      </c>
      <c r="O35" s="12" t="s">
        <v>277</v>
      </c>
      <c r="P35" s="12" t="s">
        <v>277</v>
      </c>
      <c r="Q35" s="12" t="s">
        <v>277</v>
      </c>
      <c r="R35" s="12" t="s">
        <v>277</v>
      </c>
      <c r="S35" s="12" t="s">
        <v>277</v>
      </c>
      <c r="T35" s="12" t="s">
        <v>277</v>
      </c>
      <c r="U35" s="12" t="s">
        <v>277</v>
      </c>
      <c r="V35" s="12" t="s">
        <v>277</v>
      </c>
      <c r="W35" s="12" t="s">
        <v>277</v>
      </c>
      <c r="X35" s="12" t="s">
        <v>277</v>
      </c>
      <c r="Y35" s="12" t="s">
        <v>277</v>
      </c>
      <c r="Z35" s="12" t="s">
        <v>277</v>
      </c>
      <c r="AA35" s="12" t="s">
        <v>277</v>
      </c>
      <c r="AB35" s="12" t="s">
        <v>277</v>
      </c>
      <c r="AC35" s="12" t="s">
        <v>277</v>
      </c>
      <c r="AD35" s="12" t="s">
        <v>277</v>
      </c>
      <c r="AE35" s="12" t="s">
        <v>277</v>
      </c>
      <c r="AF35" s="12" t="s">
        <v>277</v>
      </c>
      <c r="AG35" s="12" t="s">
        <v>277</v>
      </c>
      <c r="AH35" s="12" t="s">
        <v>277</v>
      </c>
      <c r="AI35" s="12" t="s">
        <v>277</v>
      </c>
      <c r="AJ35" s="12" t="s">
        <v>277</v>
      </c>
      <c r="AK35" s="12" t="s">
        <v>277</v>
      </c>
      <c r="AL35" s="12" t="s">
        <v>277</v>
      </c>
      <c r="AM35" s="12" t="s">
        <v>277</v>
      </c>
      <c r="AN35" s="12" t="s">
        <v>277</v>
      </c>
      <c r="AO35" s="12" t="s">
        <v>277</v>
      </c>
      <c r="AP35" s="12" t="s">
        <v>277</v>
      </c>
      <c r="AQ35" s="12" t="s">
        <v>277</v>
      </c>
      <c r="AR35" s="12" t="s">
        <v>277</v>
      </c>
      <c r="AS35" s="12" t="s">
        <v>277</v>
      </c>
      <c r="AT35" s="12" t="s">
        <v>277</v>
      </c>
      <c r="AU35" s="12" t="s">
        <v>277</v>
      </c>
      <c r="AV35" s="12" t="s">
        <v>277</v>
      </c>
      <c r="AW35" s="12" t="s">
        <v>277</v>
      </c>
      <c r="AX35" s="12" t="s">
        <v>277</v>
      </c>
      <c r="AY35" s="12" t="s">
        <v>277</v>
      </c>
      <c r="AZ35" s="12" t="s">
        <v>277</v>
      </c>
      <c r="BA35" s="12" t="s">
        <v>277</v>
      </c>
      <c r="BB35" s="12" t="s">
        <v>277</v>
      </c>
      <c r="BC35" s="12" t="s">
        <v>277</v>
      </c>
      <c r="BD35" s="12" t="s">
        <v>277</v>
      </c>
      <c r="BE35" s="12" t="s">
        <v>277</v>
      </c>
      <c r="BF35" s="12" t="s">
        <v>277</v>
      </c>
      <c r="BG35" s="12" t="s">
        <v>277</v>
      </c>
      <c r="BH35" s="12" t="s">
        <v>277</v>
      </c>
      <c r="BI35" s="12" t="s">
        <v>277</v>
      </c>
      <c r="BJ35" s="12" t="s">
        <v>277</v>
      </c>
      <c r="BK35" s="12" t="s">
        <v>278</v>
      </c>
      <c r="BL35" s="12" t="s">
        <v>371</v>
      </c>
      <c r="BM35" s="12" t="s">
        <v>371</v>
      </c>
      <c r="BN35" s="12" t="s">
        <v>371</v>
      </c>
      <c r="BO35" s="12" t="s">
        <v>371</v>
      </c>
      <c r="BP35" s="12" t="s">
        <v>279</v>
      </c>
      <c r="BQ35" s="12" t="s">
        <v>279</v>
      </c>
      <c r="BR35" s="12" t="s">
        <v>280</v>
      </c>
      <c r="BS35" s="12" t="s">
        <v>280</v>
      </c>
      <c r="BT35" s="12" t="s">
        <v>550</v>
      </c>
      <c r="BU35" s="12" t="s">
        <v>550</v>
      </c>
      <c r="BV35" s="12" t="s">
        <v>550</v>
      </c>
      <c r="BW35" s="12" t="s">
        <v>550</v>
      </c>
      <c r="BX35" s="12" t="s">
        <v>550</v>
      </c>
      <c r="BY35" s="12" t="s">
        <v>550</v>
      </c>
      <c r="BZ35" s="12" t="s">
        <v>281</v>
      </c>
      <c r="CA35" s="12" t="s">
        <v>281</v>
      </c>
      <c r="CB35" s="12" t="s">
        <v>281</v>
      </c>
      <c r="CC35" s="12" t="s">
        <v>281</v>
      </c>
      <c r="CD35" s="12" t="s">
        <v>281</v>
      </c>
      <c r="CE35" s="12" t="s">
        <v>281</v>
      </c>
      <c r="CF35" s="12" t="s">
        <v>281</v>
      </c>
      <c r="CG35" s="12" t="s">
        <v>454</v>
      </c>
      <c r="CH35" s="12" t="s">
        <v>454</v>
      </c>
      <c r="CI35" s="12" t="s">
        <v>323</v>
      </c>
      <c r="CJ35" s="12" t="s">
        <v>282</v>
      </c>
      <c r="CK35" s="12" t="s">
        <v>468</v>
      </c>
      <c r="CL35" s="12" t="s">
        <v>468</v>
      </c>
      <c r="CM35" s="12" t="s">
        <v>468</v>
      </c>
      <c r="CN35" s="12" t="s">
        <v>1112</v>
      </c>
      <c r="CO35" s="12" t="s">
        <v>618</v>
      </c>
      <c r="CP35" s="12" t="s">
        <v>654</v>
      </c>
      <c r="CQ35" s="12" t="s">
        <v>469</v>
      </c>
      <c r="CR35" s="12" t="s">
        <v>819</v>
      </c>
      <c r="CS35" s="12" t="s">
        <v>675</v>
      </c>
      <c r="CT35" s="12" t="s">
        <v>420</v>
      </c>
      <c r="CU35" s="12" t="s">
        <v>381</v>
      </c>
      <c r="CV35" s="12" t="s">
        <v>1362</v>
      </c>
      <c r="CW35" s="12" t="s">
        <v>907</v>
      </c>
      <c r="CX35" s="12" t="s">
        <v>1052</v>
      </c>
    </row>
    <row r="36" spans="1:102" hidden="1" x14ac:dyDescent="0.3">
      <c r="A36" s="12" t="s">
        <v>12</v>
      </c>
      <c r="B36" s="12" t="s">
        <v>1113</v>
      </c>
      <c r="C36" s="12" t="s">
        <v>1114</v>
      </c>
      <c r="D36" s="12" t="s">
        <v>1115</v>
      </c>
      <c r="E36" s="12" t="s">
        <v>277</v>
      </c>
      <c r="F36" s="12" t="s">
        <v>277</v>
      </c>
      <c r="G36" s="12" t="s">
        <v>277</v>
      </c>
      <c r="H36" s="12" t="s">
        <v>277</v>
      </c>
      <c r="I36" s="12" t="s">
        <v>277</v>
      </c>
      <c r="J36" s="12" t="s">
        <v>278</v>
      </c>
      <c r="K36" s="12" t="s">
        <v>278</v>
      </c>
      <c r="L36" s="12" t="s">
        <v>278</v>
      </c>
      <c r="M36" s="12" t="s">
        <v>278</v>
      </c>
      <c r="N36" s="12" t="s">
        <v>278</v>
      </c>
      <c r="O36" s="12" t="s">
        <v>278</v>
      </c>
      <c r="P36" s="12" t="s">
        <v>278</v>
      </c>
      <c r="Q36" s="12" t="s">
        <v>278</v>
      </c>
      <c r="R36" s="12" t="s">
        <v>278</v>
      </c>
      <c r="S36" s="12" t="s">
        <v>278</v>
      </c>
      <c r="T36" s="12" t="s">
        <v>278</v>
      </c>
      <c r="U36" s="12" t="s">
        <v>278</v>
      </c>
      <c r="V36" s="12" t="s">
        <v>278</v>
      </c>
      <c r="W36" s="12" t="s">
        <v>278</v>
      </c>
      <c r="X36" s="12" t="s">
        <v>278</v>
      </c>
      <c r="Y36" s="12" t="s">
        <v>278</v>
      </c>
      <c r="Z36" s="12" t="s">
        <v>278</v>
      </c>
      <c r="AA36" s="12" t="s">
        <v>278</v>
      </c>
      <c r="AB36" s="12" t="s">
        <v>278</v>
      </c>
      <c r="AC36" s="12" t="s">
        <v>278</v>
      </c>
      <c r="AD36" s="12" t="s">
        <v>278</v>
      </c>
      <c r="AE36" s="12" t="s">
        <v>278</v>
      </c>
      <c r="AF36" s="12" t="s">
        <v>278</v>
      </c>
      <c r="AG36" s="12" t="s">
        <v>278</v>
      </c>
      <c r="AH36" s="12" t="s">
        <v>278</v>
      </c>
      <c r="AI36" s="12" t="s">
        <v>278</v>
      </c>
      <c r="AJ36" s="12" t="s">
        <v>278</v>
      </c>
      <c r="AK36" s="12" t="s">
        <v>278</v>
      </c>
      <c r="AL36" s="12" t="s">
        <v>278</v>
      </c>
      <c r="AM36" s="12" t="s">
        <v>278</v>
      </c>
      <c r="AN36" s="12" t="s">
        <v>278</v>
      </c>
      <c r="AO36" s="12" t="s">
        <v>278</v>
      </c>
      <c r="AP36" s="12" t="s">
        <v>278</v>
      </c>
      <c r="AQ36" s="12" t="s">
        <v>278</v>
      </c>
      <c r="AR36" s="12" t="s">
        <v>278</v>
      </c>
      <c r="AS36" s="12" t="s">
        <v>278</v>
      </c>
      <c r="AT36" s="12" t="s">
        <v>278</v>
      </c>
      <c r="AU36" s="12" t="s">
        <v>278</v>
      </c>
      <c r="AV36" s="12" t="s">
        <v>278</v>
      </c>
      <c r="AW36" s="12" t="s">
        <v>278</v>
      </c>
      <c r="AX36" s="12" t="s">
        <v>278</v>
      </c>
      <c r="AY36" s="12" t="s">
        <v>322</v>
      </c>
      <c r="AZ36" s="12" t="s">
        <v>322</v>
      </c>
      <c r="BA36" s="12" t="s">
        <v>322</v>
      </c>
      <c r="BB36" s="12" t="s">
        <v>371</v>
      </c>
      <c r="BC36" s="12" t="s">
        <v>371</v>
      </c>
      <c r="BD36" s="12" t="s">
        <v>280</v>
      </c>
      <c r="BE36" s="12" t="s">
        <v>281</v>
      </c>
      <c r="BF36" s="12" t="s">
        <v>281</v>
      </c>
      <c r="BG36" s="12" t="s">
        <v>281</v>
      </c>
      <c r="BH36" s="12" t="s">
        <v>326</v>
      </c>
      <c r="BI36" s="12" t="s">
        <v>616</v>
      </c>
      <c r="BJ36" s="12" t="s">
        <v>376</v>
      </c>
      <c r="BK36" s="12" t="s">
        <v>329</v>
      </c>
      <c r="BL36" s="12" t="s">
        <v>418</v>
      </c>
      <c r="BM36" s="12" t="s">
        <v>289</v>
      </c>
      <c r="BN36" s="12" t="s">
        <v>380</v>
      </c>
      <c r="BO36" s="12" t="s">
        <v>556</v>
      </c>
      <c r="BP36" s="12" t="s">
        <v>558</v>
      </c>
      <c r="BQ36" s="12" t="s">
        <v>558</v>
      </c>
      <c r="BR36" s="12" t="s">
        <v>559</v>
      </c>
      <c r="BS36" s="12" t="s">
        <v>559</v>
      </c>
      <c r="BT36" s="12" t="s">
        <v>561</v>
      </c>
      <c r="BU36" s="12" t="s">
        <v>959</v>
      </c>
      <c r="BV36" s="12" t="s">
        <v>907</v>
      </c>
      <c r="BW36" s="12" t="s">
        <v>907</v>
      </c>
      <c r="BX36" s="12" t="s">
        <v>291</v>
      </c>
      <c r="BY36" s="12" t="s">
        <v>1052</v>
      </c>
      <c r="BZ36" s="12" t="s">
        <v>1052</v>
      </c>
      <c r="CA36" s="12" t="s">
        <v>1052</v>
      </c>
      <c r="CB36" s="12" t="s">
        <v>1052</v>
      </c>
      <c r="CC36" s="12" t="s">
        <v>510</v>
      </c>
      <c r="CD36" s="12" t="s">
        <v>1116</v>
      </c>
      <c r="CE36" s="12" t="s">
        <v>1117</v>
      </c>
      <c r="CF36" s="12" t="s">
        <v>1117</v>
      </c>
      <c r="CG36" s="12" t="s">
        <v>292</v>
      </c>
      <c r="CH36" s="12" t="s">
        <v>679</v>
      </c>
      <c r="CI36" s="12" t="s">
        <v>679</v>
      </c>
      <c r="CJ36" s="12" t="s">
        <v>679</v>
      </c>
      <c r="CK36" s="12" t="s">
        <v>679</v>
      </c>
      <c r="CL36" s="12" t="s">
        <v>679</v>
      </c>
      <c r="CM36" s="12" t="s">
        <v>679</v>
      </c>
      <c r="CN36" s="12" t="s">
        <v>679</v>
      </c>
      <c r="CO36" s="12" t="s">
        <v>679</v>
      </c>
      <c r="CP36" s="12" t="s">
        <v>679</v>
      </c>
      <c r="CQ36" s="12" t="s">
        <v>679</v>
      </c>
      <c r="CR36" s="12" t="s">
        <v>679</v>
      </c>
      <c r="CS36" s="12" t="s">
        <v>679</v>
      </c>
      <c r="CT36" s="12" t="s">
        <v>679</v>
      </c>
      <c r="CU36" s="12" t="s">
        <v>679</v>
      </c>
      <c r="CV36" s="12" t="s">
        <v>679</v>
      </c>
      <c r="CW36" s="12" t="s">
        <v>679</v>
      </c>
      <c r="CX36" s="12" t="s">
        <v>679</v>
      </c>
    </row>
    <row r="37" spans="1:102" hidden="1" x14ac:dyDescent="0.3">
      <c r="A37" s="12" t="s">
        <v>12</v>
      </c>
      <c r="B37" s="12" t="s">
        <v>1118</v>
      </c>
      <c r="C37" s="12" t="s">
        <v>1119</v>
      </c>
      <c r="D37" s="12" t="s">
        <v>1120</v>
      </c>
      <c r="E37" s="12" t="s">
        <v>277</v>
      </c>
      <c r="F37" s="12" t="s">
        <v>277</v>
      </c>
      <c r="G37" s="12" t="s">
        <v>277</v>
      </c>
      <c r="H37" s="12" t="s">
        <v>277</v>
      </c>
      <c r="I37" s="12" t="s">
        <v>277</v>
      </c>
      <c r="J37" s="12" t="s">
        <v>277</v>
      </c>
      <c r="K37" s="12" t="s">
        <v>277</v>
      </c>
      <c r="L37" s="12" t="s">
        <v>277</v>
      </c>
      <c r="M37" s="12" t="s">
        <v>277</v>
      </c>
      <c r="N37" s="12" t="s">
        <v>277</v>
      </c>
      <c r="O37" s="12" t="s">
        <v>277</v>
      </c>
      <c r="P37" s="12" t="s">
        <v>277</v>
      </c>
      <c r="Q37" s="12" t="s">
        <v>277</v>
      </c>
      <c r="R37" s="12" t="s">
        <v>277</v>
      </c>
      <c r="S37" s="12" t="s">
        <v>277</v>
      </c>
      <c r="T37" s="12" t="s">
        <v>277</v>
      </c>
      <c r="U37" s="12" t="s">
        <v>277</v>
      </c>
      <c r="V37" s="12" t="s">
        <v>277</v>
      </c>
      <c r="W37" s="12" t="s">
        <v>277</v>
      </c>
      <c r="X37" s="12" t="s">
        <v>277</v>
      </c>
      <c r="Y37" s="12" t="s">
        <v>277</v>
      </c>
      <c r="Z37" s="12" t="s">
        <v>277</v>
      </c>
      <c r="AA37" s="12" t="s">
        <v>277</v>
      </c>
      <c r="AB37" s="12" t="s">
        <v>277</v>
      </c>
      <c r="AC37" s="12" t="s">
        <v>277</v>
      </c>
      <c r="AD37" s="12" t="s">
        <v>277</v>
      </c>
      <c r="AE37" s="12" t="s">
        <v>277</v>
      </c>
      <c r="AF37" s="12" t="s">
        <v>277</v>
      </c>
      <c r="AG37" s="12" t="s">
        <v>277</v>
      </c>
      <c r="AH37" s="12" t="s">
        <v>277</v>
      </c>
      <c r="AI37" s="12" t="s">
        <v>277</v>
      </c>
      <c r="AJ37" s="12" t="s">
        <v>277</v>
      </c>
      <c r="AK37" s="12" t="s">
        <v>277</v>
      </c>
      <c r="AL37" s="12" t="s">
        <v>277</v>
      </c>
      <c r="AM37" s="12" t="s">
        <v>277</v>
      </c>
      <c r="AN37" s="12" t="s">
        <v>277</v>
      </c>
      <c r="AO37" s="12" t="s">
        <v>277</v>
      </c>
      <c r="AP37" s="12" t="s">
        <v>277</v>
      </c>
      <c r="AQ37" s="12" t="s">
        <v>277</v>
      </c>
      <c r="AR37" s="12" t="s">
        <v>277</v>
      </c>
      <c r="AS37" s="12" t="s">
        <v>277</v>
      </c>
      <c r="AT37" s="12" t="s">
        <v>277</v>
      </c>
      <c r="AU37" s="12" t="s">
        <v>277</v>
      </c>
      <c r="AV37" s="12" t="s">
        <v>277</v>
      </c>
      <c r="AW37" s="12" t="s">
        <v>278</v>
      </c>
      <c r="AX37" s="12" t="s">
        <v>278</v>
      </c>
      <c r="AY37" s="12" t="s">
        <v>322</v>
      </c>
      <c r="AZ37" s="12" t="s">
        <v>322</v>
      </c>
      <c r="BA37" s="12" t="s">
        <v>322</v>
      </c>
      <c r="BB37" s="12" t="s">
        <v>322</v>
      </c>
      <c r="BC37" s="12" t="s">
        <v>322</v>
      </c>
      <c r="BD37" s="12" t="s">
        <v>322</v>
      </c>
      <c r="BE37" s="12" t="s">
        <v>322</v>
      </c>
      <c r="BF37" s="12" t="s">
        <v>322</v>
      </c>
      <c r="BG37" s="12" t="s">
        <v>279</v>
      </c>
      <c r="BH37" s="12" t="s">
        <v>323</v>
      </c>
      <c r="BI37" s="12" t="s">
        <v>323</v>
      </c>
      <c r="BJ37" s="12" t="s">
        <v>567</v>
      </c>
      <c r="BK37" s="12" t="s">
        <v>374</v>
      </c>
      <c r="BL37" s="12" t="s">
        <v>612</v>
      </c>
      <c r="BM37" s="12" t="s">
        <v>287</v>
      </c>
      <c r="BN37" s="12" t="s">
        <v>468</v>
      </c>
      <c r="BO37" s="12" t="s">
        <v>672</v>
      </c>
      <c r="BP37" s="12" t="s">
        <v>419</v>
      </c>
      <c r="BQ37" s="12" t="s">
        <v>419</v>
      </c>
      <c r="BR37" s="12" t="s">
        <v>556</v>
      </c>
      <c r="BS37" s="12" t="s">
        <v>556</v>
      </c>
      <c r="BT37" s="12" t="s">
        <v>382</v>
      </c>
      <c r="BU37" s="12" t="s">
        <v>382</v>
      </c>
      <c r="BV37" s="12" t="s">
        <v>1121</v>
      </c>
      <c r="BW37" s="12" t="s">
        <v>1122</v>
      </c>
      <c r="BX37" s="12" t="s">
        <v>1123</v>
      </c>
      <c r="BY37" s="12" t="s">
        <v>1124</v>
      </c>
      <c r="BZ37" s="12" t="s">
        <v>305</v>
      </c>
      <c r="CA37" s="12" t="s">
        <v>1125</v>
      </c>
      <c r="CB37" s="12" t="s">
        <v>1126</v>
      </c>
      <c r="CC37" s="12" t="s">
        <v>1126</v>
      </c>
      <c r="CD37" s="12" t="s">
        <v>1127</v>
      </c>
      <c r="CE37" s="12" t="s">
        <v>1127</v>
      </c>
      <c r="CF37" s="12" t="s">
        <v>481</v>
      </c>
      <c r="CG37" s="12" t="s">
        <v>481</v>
      </c>
      <c r="CH37" s="12" t="s">
        <v>481</v>
      </c>
      <c r="CI37" s="12" t="s">
        <v>481</v>
      </c>
      <c r="CJ37" s="12" t="s">
        <v>1128</v>
      </c>
      <c r="CK37" s="12" t="s">
        <v>1128</v>
      </c>
      <c r="CL37" s="12" t="s">
        <v>313</v>
      </c>
      <c r="CM37" s="12" t="s">
        <v>313</v>
      </c>
      <c r="CN37" s="12" t="s">
        <v>1129</v>
      </c>
      <c r="CO37" s="12" t="s">
        <v>1129</v>
      </c>
      <c r="CP37" s="12" t="s">
        <v>1130</v>
      </c>
      <c r="CQ37" s="12" t="s">
        <v>1130</v>
      </c>
      <c r="CR37" s="12" t="s">
        <v>1130</v>
      </c>
      <c r="CS37" s="12" t="s">
        <v>1131</v>
      </c>
      <c r="CT37" s="12" t="s">
        <v>1132</v>
      </c>
      <c r="CU37" s="12" t="s">
        <v>813</v>
      </c>
      <c r="CV37" s="12" t="s">
        <v>4100</v>
      </c>
      <c r="CW37" s="12" t="s">
        <v>3020</v>
      </c>
      <c r="CX37" s="12" t="s">
        <v>3020</v>
      </c>
    </row>
    <row r="38" spans="1:102" hidden="1" x14ac:dyDescent="0.3">
      <c r="A38" s="12" t="s">
        <v>1133</v>
      </c>
      <c r="B38" s="12" t="s">
        <v>1134</v>
      </c>
      <c r="C38" s="12" t="s">
        <v>1135</v>
      </c>
      <c r="D38" s="12" t="s">
        <v>1136</v>
      </c>
      <c r="E38" s="12" t="s">
        <v>277</v>
      </c>
      <c r="F38" s="12" t="s">
        <v>277</v>
      </c>
      <c r="G38" s="12" t="s">
        <v>277</v>
      </c>
      <c r="H38" s="12" t="s">
        <v>277</v>
      </c>
      <c r="I38" s="12" t="s">
        <v>277</v>
      </c>
      <c r="J38" s="12" t="s">
        <v>277</v>
      </c>
      <c r="K38" s="12" t="s">
        <v>277</v>
      </c>
      <c r="L38" s="12" t="s">
        <v>277</v>
      </c>
      <c r="M38" s="12" t="s">
        <v>277</v>
      </c>
      <c r="N38" s="12" t="s">
        <v>277</v>
      </c>
      <c r="O38" s="12" t="s">
        <v>277</v>
      </c>
      <c r="P38" s="12" t="s">
        <v>277</v>
      </c>
      <c r="Q38" s="12" t="s">
        <v>277</v>
      </c>
      <c r="R38" s="12" t="s">
        <v>277</v>
      </c>
      <c r="S38" s="12" t="s">
        <v>277</v>
      </c>
      <c r="T38" s="12" t="s">
        <v>277</v>
      </c>
      <c r="U38" s="12" t="s">
        <v>277</v>
      </c>
      <c r="V38" s="12" t="s">
        <v>277</v>
      </c>
      <c r="W38" s="12" t="s">
        <v>277</v>
      </c>
      <c r="X38" s="12" t="s">
        <v>277</v>
      </c>
      <c r="Y38" s="12" t="s">
        <v>277</v>
      </c>
      <c r="Z38" s="12" t="s">
        <v>277</v>
      </c>
      <c r="AA38" s="12" t="s">
        <v>277</v>
      </c>
      <c r="AB38" s="12" t="s">
        <v>277</v>
      </c>
      <c r="AC38" s="12" t="s">
        <v>277</v>
      </c>
      <c r="AD38" s="12" t="s">
        <v>277</v>
      </c>
      <c r="AE38" s="12" t="s">
        <v>277</v>
      </c>
      <c r="AF38" s="12" t="s">
        <v>277</v>
      </c>
      <c r="AG38" s="12" t="s">
        <v>277</v>
      </c>
      <c r="AH38" s="12" t="s">
        <v>277</v>
      </c>
      <c r="AI38" s="12" t="s">
        <v>277</v>
      </c>
      <c r="AJ38" s="12" t="s">
        <v>277</v>
      </c>
      <c r="AK38" s="12" t="s">
        <v>277</v>
      </c>
      <c r="AL38" s="12" t="s">
        <v>277</v>
      </c>
      <c r="AM38" s="12" t="s">
        <v>277</v>
      </c>
      <c r="AN38" s="12" t="s">
        <v>277</v>
      </c>
      <c r="AO38" s="12" t="s">
        <v>277</v>
      </c>
      <c r="AP38" s="12" t="s">
        <v>277</v>
      </c>
      <c r="AQ38" s="12" t="s">
        <v>277</v>
      </c>
      <c r="AR38" s="12" t="s">
        <v>277</v>
      </c>
      <c r="AS38" s="12" t="s">
        <v>277</v>
      </c>
      <c r="AT38" s="12" t="s">
        <v>277</v>
      </c>
      <c r="AU38" s="12" t="s">
        <v>277</v>
      </c>
      <c r="AV38" s="12" t="s">
        <v>277</v>
      </c>
      <c r="AW38" s="12" t="s">
        <v>278</v>
      </c>
      <c r="AX38" s="12" t="s">
        <v>322</v>
      </c>
      <c r="AY38" s="12" t="s">
        <v>279</v>
      </c>
      <c r="AZ38" s="12" t="s">
        <v>281</v>
      </c>
      <c r="BA38" s="12" t="s">
        <v>281</v>
      </c>
      <c r="BB38" s="12" t="s">
        <v>373</v>
      </c>
      <c r="BC38" s="12" t="s">
        <v>373</v>
      </c>
      <c r="BD38" s="12" t="s">
        <v>652</v>
      </c>
      <c r="BE38" s="12" t="s">
        <v>652</v>
      </c>
      <c r="BF38" s="12" t="s">
        <v>417</v>
      </c>
      <c r="BG38" s="12" t="s">
        <v>468</v>
      </c>
      <c r="BH38" s="12" t="s">
        <v>288</v>
      </c>
      <c r="BI38" s="12" t="s">
        <v>471</v>
      </c>
      <c r="BJ38" s="12" t="s">
        <v>1117</v>
      </c>
      <c r="BK38" s="12" t="s">
        <v>338</v>
      </c>
      <c r="BL38" s="12" t="s">
        <v>683</v>
      </c>
      <c r="BM38" s="12" t="s">
        <v>344</v>
      </c>
      <c r="BN38" s="12" t="s">
        <v>475</v>
      </c>
      <c r="BO38" s="12" t="s">
        <v>798</v>
      </c>
      <c r="BP38" s="12" t="s">
        <v>1137</v>
      </c>
      <c r="BQ38" s="12" t="s">
        <v>1138</v>
      </c>
      <c r="BR38" s="12" t="s">
        <v>1101</v>
      </c>
      <c r="BS38" s="12" t="s">
        <v>1101</v>
      </c>
      <c r="BT38" s="12" t="s">
        <v>864</v>
      </c>
      <c r="BU38" s="12" t="s">
        <v>1077</v>
      </c>
      <c r="BV38" s="12" t="s">
        <v>479</v>
      </c>
      <c r="BW38" s="12" t="s">
        <v>1139</v>
      </c>
      <c r="BX38" s="12" t="s">
        <v>1140</v>
      </c>
      <c r="BY38" s="12" t="s">
        <v>1140</v>
      </c>
      <c r="BZ38" s="12" t="s">
        <v>1141</v>
      </c>
      <c r="CA38" s="12" t="s">
        <v>1142</v>
      </c>
      <c r="CB38" s="12" t="s">
        <v>1143</v>
      </c>
      <c r="CC38" s="12" t="s">
        <v>809</v>
      </c>
      <c r="CD38" s="12" t="s">
        <v>809</v>
      </c>
      <c r="CE38" s="12" t="s">
        <v>395</v>
      </c>
      <c r="CF38" s="12" t="s">
        <v>485</v>
      </c>
      <c r="CG38" s="12" t="s">
        <v>1144</v>
      </c>
      <c r="CH38" s="12" t="s">
        <v>1144</v>
      </c>
      <c r="CI38" s="12" t="s">
        <v>1145</v>
      </c>
      <c r="CJ38" s="12" t="s">
        <v>1146</v>
      </c>
      <c r="CK38" s="12" t="s">
        <v>1146</v>
      </c>
      <c r="CL38" s="12" t="s">
        <v>1147</v>
      </c>
      <c r="CM38" s="12" t="s">
        <v>1148</v>
      </c>
      <c r="CN38" s="12" t="s">
        <v>1149</v>
      </c>
      <c r="CO38" s="12" t="s">
        <v>1150</v>
      </c>
      <c r="CP38" s="12" t="s">
        <v>1151</v>
      </c>
      <c r="CQ38" s="12" t="s">
        <v>1152</v>
      </c>
      <c r="CR38" s="12" t="s">
        <v>915</v>
      </c>
      <c r="CS38" s="12" t="s">
        <v>1153</v>
      </c>
      <c r="CT38" s="12" t="s">
        <v>1154</v>
      </c>
      <c r="CU38" s="12" t="s">
        <v>4101</v>
      </c>
      <c r="CV38" s="12" t="s">
        <v>4102</v>
      </c>
      <c r="CW38" s="12" t="s">
        <v>4103</v>
      </c>
      <c r="CX38" s="12" t="s">
        <v>4104</v>
      </c>
    </row>
    <row r="39" spans="1:102" hidden="1" x14ac:dyDescent="0.3">
      <c r="A39" s="12" t="s">
        <v>1155</v>
      </c>
      <c r="B39" s="12" t="s">
        <v>1134</v>
      </c>
      <c r="C39" s="12" t="s">
        <v>1156</v>
      </c>
      <c r="D39" s="12" t="s">
        <v>1157</v>
      </c>
      <c r="E39" s="12" t="s">
        <v>277</v>
      </c>
      <c r="F39" s="12" t="s">
        <v>277</v>
      </c>
      <c r="G39" s="12" t="s">
        <v>277</v>
      </c>
      <c r="H39" s="12" t="s">
        <v>277</v>
      </c>
      <c r="I39" s="12" t="s">
        <v>277</v>
      </c>
      <c r="J39" s="12" t="s">
        <v>277</v>
      </c>
      <c r="K39" s="12" t="s">
        <v>278</v>
      </c>
      <c r="L39" s="12" t="s">
        <v>278</v>
      </c>
      <c r="M39" s="12" t="s">
        <v>278</v>
      </c>
      <c r="N39" s="12" t="s">
        <v>278</v>
      </c>
      <c r="O39" s="12" t="s">
        <v>278</v>
      </c>
      <c r="P39" s="12" t="s">
        <v>278</v>
      </c>
      <c r="Q39" s="12" t="s">
        <v>278</v>
      </c>
      <c r="R39" s="12" t="s">
        <v>278</v>
      </c>
      <c r="S39" s="12" t="s">
        <v>322</v>
      </c>
      <c r="T39" s="12" t="s">
        <v>322</v>
      </c>
      <c r="U39" s="12" t="s">
        <v>279</v>
      </c>
      <c r="V39" s="12" t="s">
        <v>279</v>
      </c>
      <c r="W39" s="12" t="s">
        <v>279</v>
      </c>
      <c r="X39" s="12" t="s">
        <v>279</v>
      </c>
      <c r="Y39" s="12" t="s">
        <v>279</v>
      </c>
      <c r="Z39" s="12" t="s">
        <v>279</v>
      </c>
      <c r="AA39" s="12" t="s">
        <v>279</v>
      </c>
      <c r="AB39" s="12" t="s">
        <v>279</v>
      </c>
      <c r="AC39" s="12" t="s">
        <v>279</v>
      </c>
      <c r="AD39" s="12" t="s">
        <v>279</v>
      </c>
      <c r="AE39" s="12" t="s">
        <v>280</v>
      </c>
      <c r="AF39" s="12" t="s">
        <v>280</v>
      </c>
      <c r="AG39" s="12" t="s">
        <v>280</v>
      </c>
      <c r="AH39" s="12" t="s">
        <v>280</v>
      </c>
      <c r="AI39" s="12" t="s">
        <v>550</v>
      </c>
      <c r="AJ39" s="12" t="s">
        <v>550</v>
      </c>
      <c r="AK39" s="12" t="s">
        <v>550</v>
      </c>
      <c r="AL39" s="12" t="s">
        <v>550</v>
      </c>
      <c r="AM39" s="12" t="s">
        <v>281</v>
      </c>
      <c r="AN39" s="12" t="s">
        <v>281</v>
      </c>
      <c r="AO39" s="12" t="s">
        <v>281</v>
      </c>
      <c r="AP39" s="12" t="s">
        <v>281</v>
      </c>
      <c r="AQ39" s="12" t="s">
        <v>454</v>
      </c>
      <c r="AR39" s="12" t="s">
        <v>454</v>
      </c>
      <c r="AS39" s="12" t="s">
        <v>454</v>
      </c>
      <c r="AT39" s="12" t="s">
        <v>460</v>
      </c>
      <c r="AU39" s="12" t="s">
        <v>324</v>
      </c>
      <c r="AV39" s="12" t="s">
        <v>567</v>
      </c>
      <c r="AW39" s="12" t="s">
        <v>284</v>
      </c>
      <c r="AX39" s="12" t="s">
        <v>284</v>
      </c>
      <c r="AY39" s="12" t="s">
        <v>612</v>
      </c>
      <c r="AZ39" s="12" t="s">
        <v>551</v>
      </c>
      <c r="BA39" s="12" t="s">
        <v>551</v>
      </c>
      <c r="BB39" s="12" t="s">
        <v>417</v>
      </c>
      <c r="BC39" s="12" t="s">
        <v>617</v>
      </c>
      <c r="BD39" s="12" t="s">
        <v>332</v>
      </c>
      <c r="BE39" s="12" t="s">
        <v>332</v>
      </c>
      <c r="BF39" s="12" t="s">
        <v>819</v>
      </c>
      <c r="BG39" s="12" t="s">
        <v>561</v>
      </c>
      <c r="BH39" s="12" t="s">
        <v>561</v>
      </c>
      <c r="BI39" s="12" t="s">
        <v>339</v>
      </c>
      <c r="BJ39" s="12" t="s">
        <v>726</v>
      </c>
      <c r="BK39" s="12" t="s">
        <v>1158</v>
      </c>
      <c r="BL39" s="12" t="s">
        <v>520</v>
      </c>
      <c r="BM39" s="12" t="s">
        <v>520</v>
      </c>
      <c r="BN39" s="12" t="s">
        <v>1159</v>
      </c>
      <c r="BO39" s="12" t="s">
        <v>1160</v>
      </c>
      <c r="BP39" s="12" t="s">
        <v>1160</v>
      </c>
      <c r="BQ39" s="12" t="s">
        <v>1161</v>
      </c>
      <c r="BR39" s="12" t="s">
        <v>1161</v>
      </c>
      <c r="BS39" s="12" t="s">
        <v>1162</v>
      </c>
      <c r="BT39" s="12" t="s">
        <v>1162</v>
      </c>
      <c r="BU39" s="12" t="s">
        <v>1163</v>
      </c>
      <c r="BV39" s="12" t="s">
        <v>533</v>
      </c>
      <c r="BW39" s="12" t="s">
        <v>533</v>
      </c>
      <c r="BX39" s="12" t="s">
        <v>1164</v>
      </c>
      <c r="BY39" s="12" t="s">
        <v>1165</v>
      </c>
      <c r="BZ39" s="12" t="s">
        <v>1166</v>
      </c>
      <c r="CA39" s="12" t="s">
        <v>1166</v>
      </c>
      <c r="CB39" s="12" t="s">
        <v>1167</v>
      </c>
      <c r="CC39" s="12" t="s">
        <v>1167</v>
      </c>
      <c r="CD39" s="12" t="s">
        <v>540</v>
      </c>
      <c r="CE39" s="12" t="s">
        <v>718</v>
      </c>
      <c r="CF39" s="12" t="s">
        <v>1168</v>
      </c>
      <c r="CG39" s="12" t="s">
        <v>1169</v>
      </c>
      <c r="CH39" s="12" t="s">
        <v>1169</v>
      </c>
      <c r="CI39" s="12" t="s">
        <v>1170</v>
      </c>
      <c r="CJ39" s="12" t="s">
        <v>1170</v>
      </c>
      <c r="CK39" s="12" t="s">
        <v>1171</v>
      </c>
      <c r="CL39" s="12" t="s">
        <v>1172</v>
      </c>
      <c r="CM39" s="12" t="s">
        <v>1173</v>
      </c>
      <c r="CN39" s="12" t="s">
        <v>1174</v>
      </c>
      <c r="CO39" s="12" t="s">
        <v>1175</v>
      </c>
      <c r="CP39" s="12" t="s">
        <v>1175</v>
      </c>
      <c r="CQ39" s="12" t="s">
        <v>1176</v>
      </c>
      <c r="CR39" s="12" t="s">
        <v>489</v>
      </c>
      <c r="CS39" s="12" t="s">
        <v>1177</v>
      </c>
      <c r="CT39" s="12" t="s">
        <v>1178</v>
      </c>
      <c r="CU39" s="12" t="s">
        <v>4105</v>
      </c>
      <c r="CV39" s="12" t="s">
        <v>4105</v>
      </c>
      <c r="CW39" s="12" t="s">
        <v>2426</v>
      </c>
      <c r="CX39" s="12" t="s">
        <v>4106</v>
      </c>
    </row>
    <row r="40" spans="1:102" hidden="1" x14ac:dyDescent="0.3">
      <c r="A40" s="12" t="s">
        <v>1179</v>
      </c>
      <c r="B40" s="12" t="s">
        <v>1134</v>
      </c>
      <c r="C40" s="12" t="s">
        <v>1180</v>
      </c>
      <c r="D40" s="12" t="s">
        <v>1181</v>
      </c>
      <c r="E40" s="12" t="s">
        <v>277</v>
      </c>
      <c r="F40" s="12" t="s">
        <v>277</v>
      </c>
      <c r="G40" s="12" t="s">
        <v>277</v>
      </c>
      <c r="H40" s="12" t="s">
        <v>277</v>
      </c>
      <c r="I40" s="12" t="s">
        <v>277</v>
      </c>
      <c r="J40" s="12" t="s">
        <v>277</v>
      </c>
      <c r="K40" s="12" t="s">
        <v>277</v>
      </c>
      <c r="L40" s="12" t="s">
        <v>277</v>
      </c>
      <c r="M40" s="12" t="s">
        <v>277</v>
      </c>
      <c r="N40" s="12" t="s">
        <v>277</v>
      </c>
      <c r="O40" s="12" t="s">
        <v>277</v>
      </c>
      <c r="P40" s="12" t="s">
        <v>277</v>
      </c>
      <c r="Q40" s="12" t="s">
        <v>277</v>
      </c>
      <c r="R40" s="12" t="s">
        <v>277</v>
      </c>
      <c r="S40" s="12" t="s">
        <v>277</v>
      </c>
      <c r="T40" s="12" t="s">
        <v>277</v>
      </c>
      <c r="U40" s="12" t="s">
        <v>277</v>
      </c>
      <c r="V40" s="12" t="s">
        <v>277</v>
      </c>
      <c r="W40" s="12" t="s">
        <v>277</v>
      </c>
      <c r="X40" s="12" t="s">
        <v>277</v>
      </c>
      <c r="Y40" s="12" t="s">
        <v>277</v>
      </c>
      <c r="Z40" s="12" t="s">
        <v>277</v>
      </c>
      <c r="AA40" s="12" t="s">
        <v>277</v>
      </c>
      <c r="AB40" s="12" t="s">
        <v>277</v>
      </c>
      <c r="AC40" s="12" t="s">
        <v>277</v>
      </c>
      <c r="AD40" s="12" t="s">
        <v>277</v>
      </c>
      <c r="AE40" s="12" t="s">
        <v>277</v>
      </c>
      <c r="AF40" s="12" t="s">
        <v>277</v>
      </c>
      <c r="AG40" s="12" t="s">
        <v>277</v>
      </c>
      <c r="AH40" s="12" t="s">
        <v>277</v>
      </c>
      <c r="AI40" s="12" t="s">
        <v>277</v>
      </c>
      <c r="AJ40" s="12" t="s">
        <v>277</v>
      </c>
      <c r="AK40" s="12" t="s">
        <v>277</v>
      </c>
      <c r="AL40" s="12" t="s">
        <v>277</v>
      </c>
      <c r="AM40" s="12" t="s">
        <v>277</v>
      </c>
      <c r="AN40" s="12" t="s">
        <v>277</v>
      </c>
      <c r="AO40" s="12" t="s">
        <v>277</v>
      </c>
      <c r="AP40" s="12" t="s">
        <v>277</v>
      </c>
      <c r="AQ40" s="12" t="s">
        <v>277</v>
      </c>
      <c r="AR40" s="12" t="s">
        <v>277</v>
      </c>
      <c r="AS40" s="12" t="s">
        <v>277</v>
      </c>
      <c r="AT40" s="12" t="s">
        <v>277</v>
      </c>
      <c r="AU40" s="12" t="s">
        <v>277</v>
      </c>
      <c r="AV40" s="12" t="s">
        <v>277</v>
      </c>
      <c r="AW40" s="12" t="s">
        <v>277</v>
      </c>
      <c r="AX40" s="12" t="s">
        <v>277</v>
      </c>
      <c r="AY40" s="12" t="s">
        <v>277</v>
      </c>
      <c r="AZ40" s="12" t="s">
        <v>277</v>
      </c>
      <c r="BA40" s="12" t="s">
        <v>277</v>
      </c>
      <c r="BB40" s="12" t="s">
        <v>277</v>
      </c>
      <c r="BC40" s="12" t="s">
        <v>277</v>
      </c>
      <c r="BD40" s="12" t="s">
        <v>322</v>
      </c>
      <c r="BE40" s="12" t="s">
        <v>322</v>
      </c>
      <c r="BF40" s="12" t="s">
        <v>322</v>
      </c>
      <c r="BG40" s="12" t="s">
        <v>322</v>
      </c>
      <c r="BH40" s="12" t="s">
        <v>454</v>
      </c>
      <c r="BI40" s="12" t="s">
        <v>460</v>
      </c>
      <c r="BJ40" s="12" t="s">
        <v>460</v>
      </c>
      <c r="BK40" s="12" t="s">
        <v>323</v>
      </c>
      <c r="BL40" s="12" t="s">
        <v>323</v>
      </c>
      <c r="BM40" s="12" t="s">
        <v>567</v>
      </c>
      <c r="BN40" s="12" t="s">
        <v>567</v>
      </c>
      <c r="BO40" s="12" t="s">
        <v>567</v>
      </c>
      <c r="BP40" s="12" t="s">
        <v>567</v>
      </c>
      <c r="BQ40" s="12" t="s">
        <v>567</v>
      </c>
      <c r="BR40" s="12" t="s">
        <v>567</v>
      </c>
      <c r="BS40" s="12" t="s">
        <v>567</v>
      </c>
      <c r="BT40" s="12" t="s">
        <v>567</v>
      </c>
      <c r="BU40" s="12" t="s">
        <v>567</v>
      </c>
      <c r="BV40" s="12" t="s">
        <v>567</v>
      </c>
      <c r="BW40" s="12" t="s">
        <v>567</v>
      </c>
      <c r="BX40" s="12" t="s">
        <v>567</v>
      </c>
      <c r="BY40" s="12" t="s">
        <v>567</v>
      </c>
      <c r="BZ40" s="12" t="s">
        <v>567</v>
      </c>
      <c r="CA40" s="12" t="s">
        <v>567</v>
      </c>
      <c r="CB40" s="12" t="s">
        <v>567</v>
      </c>
      <c r="CC40" s="12" t="s">
        <v>567</v>
      </c>
      <c r="CD40" s="12" t="s">
        <v>567</v>
      </c>
      <c r="CE40" s="12" t="s">
        <v>567</v>
      </c>
      <c r="CF40" s="12" t="s">
        <v>567</v>
      </c>
      <c r="CG40" s="12" t="s">
        <v>567</v>
      </c>
      <c r="CH40" s="12" t="s">
        <v>567</v>
      </c>
      <c r="CI40" s="12" t="s">
        <v>567</v>
      </c>
      <c r="CJ40" s="12" t="s">
        <v>567</v>
      </c>
      <c r="CK40" s="12" t="s">
        <v>567</v>
      </c>
      <c r="CL40" s="12" t="s">
        <v>567</v>
      </c>
      <c r="CM40" s="12" t="s">
        <v>567</v>
      </c>
      <c r="CN40" s="12" t="s">
        <v>567</v>
      </c>
      <c r="CO40" s="12" t="s">
        <v>567</v>
      </c>
      <c r="CP40" s="12" t="s">
        <v>567</v>
      </c>
      <c r="CQ40" s="12" t="s">
        <v>567</v>
      </c>
      <c r="CR40" s="12" t="s">
        <v>567</v>
      </c>
      <c r="CS40" s="12" t="s">
        <v>567</v>
      </c>
      <c r="CT40" s="12" t="s">
        <v>567</v>
      </c>
      <c r="CU40" s="12" t="s">
        <v>567</v>
      </c>
      <c r="CV40" s="12" t="s">
        <v>567</v>
      </c>
      <c r="CW40" s="12" t="s">
        <v>567</v>
      </c>
      <c r="CX40" s="12" t="s">
        <v>567</v>
      </c>
    </row>
    <row r="41" spans="1:102" hidden="1" x14ac:dyDescent="0.3">
      <c r="A41" s="12" t="s">
        <v>1182</v>
      </c>
      <c r="B41" s="12" t="s">
        <v>1134</v>
      </c>
      <c r="C41" s="12" t="s">
        <v>1183</v>
      </c>
      <c r="D41" s="12" t="s">
        <v>1184</v>
      </c>
      <c r="E41" s="12" t="s">
        <v>277</v>
      </c>
      <c r="F41" s="12" t="s">
        <v>277</v>
      </c>
      <c r="G41" s="12" t="s">
        <v>277</v>
      </c>
      <c r="H41" s="12" t="s">
        <v>277</v>
      </c>
      <c r="I41" s="12" t="s">
        <v>277</v>
      </c>
      <c r="J41" s="12" t="s">
        <v>277</v>
      </c>
      <c r="K41" s="12" t="s">
        <v>277</v>
      </c>
      <c r="L41" s="12" t="s">
        <v>277</v>
      </c>
      <c r="M41" s="12" t="s">
        <v>277</v>
      </c>
      <c r="N41" s="12" t="s">
        <v>277</v>
      </c>
      <c r="O41" s="12" t="s">
        <v>277</v>
      </c>
      <c r="P41" s="12" t="s">
        <v>277</v>
      </c>
      <c r="Q41" s="12" t="s">
        <v>277</v>
      </c>
      <c r="R41" s="12" t="s">
        <v>277</v>
      </c>
      <c r="S41" s="12" t="s">
        <v>277</v>
      </c>
      <c r="T41" s="12" t="s">
        <v>277</v>
      </c>
      <c r="U41" s="12" t="s">
        <v>277</v>
      </c>
      <c r="V41" s="12" t="s">
        <v>277</v>
      </c>
      <c r="W41" s="12" t="s">
        <v>277</v>
      </c>
      <c r="X41" s="12" t="s">
        <v>277</v>
      </c>
      <c r="Y41" s="12" t="s">
        <v>277</v>
      </c>
      <c r="Z41" s="12" t="s">
        <v>277</v>
      </c>
      <c r="AA41" s="12" t="s">
        <v>277</v>
      </c>
      <c r="AB41" s="12" t="s">
        <v>277</v>
      </c>
      <c r="AC41" s="12" t="s">
        <v>277</v>
      </c>
      <c r="AD41" s="12" t="s">
        <v>277</v>
      </c>
      <c r="AE41" s="12" t="s">
        <v>277</v>
      </c>
      <c r="AF41" s="12" t="s">
        <v>277</v>
      </c>
      <c r="AG41" s="12" t="s">
        <v>277</v>
      </c>
      <c r="AH41" s="12" t="s">
        <v>277</v>
      </c>
      <c r="AI41" s="12" t="s">
        <v>277</v>
      </c>
      <c r="AJ41" s="12" t="s">
        <v>277</v>
      </c>
      <c r="AK41" s="12" t="s">
        <v>277</v>
      </c>
      <c r="AL41" s="12" t="s">
        <v>277</v>
      </c>
      <c r="AM41" s="12" t="s">
        <v>277</v>
      </c>
      <c r="AN41" s="12" t="s">
        <v>277</v>
      </c>
      <c r="AO41" s="12" t="s">
        <v>277</v>
      </c>
      <c r="AP41" s="12" t="s">
        <v>277</v>
      </c>
      <c r="AQ41" s="12" t="s">
        <v>277</v>
      </c>
      <c r="AR41" s="12" t="s">
        <v>277</v>
      </c>
      <c r="AS41" s="12" t="s">
        <v>277</v>
      </c>
      <c r="AT41" s="12" t="s">
        <v>277</v>
      </c>
      <c r="AU41" s="12" t="s">
        <v>277</v>
      </c>
      <c r="AV41" s="12" t="s">
        <v>277</v>
      </c>
      <c r="AW41" s="12" t="s">
        <v>277</v>
      </c>
      <c r="AX41" s="12" t="s">
        <v>277</v>
      </c>
      <c r="AY41" s="12" t="s">
        <v>277</v>
      </c>
      <c r="AZ41" s="12" t="s">
        <v>277</v>
      </c>
      <c r="BA41" s="12" t="s">
        <v>277</v>
      </c>
      <c r="BB41" s="12" t="s">
        <v>277</v>
      </c>
      <c r="BC41" s="12" t="s">
        <v>277</v>
      </c>
      <c r="BD41" s="12" t="s">
        <v>279</v>
      </c>
      <c r="BE41" s="12" t="s">
        <v>279</v>
      </c>
      <c r="BF41" s="12" t="s">
        <v>279</v>
      </c>
      <c r="BG41" s="12" t="s">
        <v>281</v>
      </c>
      <c r="BH41" s="12" t="s">
        <v>454</v>
      </c>
      <c r="BI41" s="12" t="s">
        <v>461</v>
      </c>
      <c r="BJ41" s="12" t="s">
        <v>372</v>
      </c>
      <c r="BK41" s="12" t="s">
        <v>372</v>
      </c>
      <c r="BL41" s="12" t="s">
        <v>507</v>
      </c>
      <c r="BM41" s="12" t="s">
        <v>374</v>
      </c>
      <c r="BN41" s="12" t="s">
        <v>374</v>
      </c>
      <c r="BO41" s="12" t="s">
        <v>284</v>
      </c>
      <c r="BP41" s="12" t="s">
        <v>616</v>
      </c>
      <c r="BQ41" s="12" t="s">
        <v>670</v>
      </c>
      <c r="BR41" s="12" t="s">
        <v>417</v>
      </c>
      <c r="BS41" s="12" t="s">
        <v>332</v>
      </c>
      <c r="BT41" s="12" t="s">
        <v>674</v>
      </c>
      <c r="BU41" s="12" t="s">
        <v>558</v>
      </c>
      <c r="BV41" s="12" t="s">
        <v>561</v>
      </c>
      <c r="BW41" s="12" t="s">
        <v>1053</v>
      </c>
      <c r="BX41" s="12" t="s">
        <v>1185</v>
      </c>
      <c r="BY41" s="12" t="s">
        <v>747</v>
      </c>
      <c r="BZ41" s="12" t="s">
        <v>747</v>
      </c>
      <c r="CA41" s="12" t="s">
        <v>1186</v>
      </c>
      <c r="CB41" s="12" t="s">
        <v>1186</v>
      </c>
      <c r="CC41" s="12" t="s">
        <v>1187</v>
      </c>
      <c r="CD41" s="12" t="s">
        <v>1187</v>
      </c>
      <c r="CE41" s="12" t="s">
        <v>621</v>
      </c>
      <c r="CF41" s="12" t="s">
        <v>384</v>
      </c>
      <c r="CG41" s="12" t="s">
        <v>343</v>
      </c>
      <c r="CH41" s="12" t="s">
        <v>1062</v>
      </c>
      <c r="CI41" s="12" t="s">
        <v>748</v>
      </c>
      <c r="CJ41" s="12" t="s">
        <v>748</v>
      </c>
      <c r="CK41" s="12" t="s">
        <v>748</v>
      </c>
      <c r="CL41" s="12" t="s">
        <v>1188</v>
      </c>
      <c r="CM41" s="12" t="s">
        <v>1188</v>
      </c>
      <c r="CN41" s="12" t="s">
        <v>1189</v>
      </c>
      <c r="CO41" s="12" t="s">
        <v>1190</v>
      </c>
      <c r="CP41" s="12" t="s">
        <v>1190</v>
      </c>
      <c r="CQ41" s="12" t="s">
        <v>1191</v>
      </c>
      <c r="CR41" s="12" t="s">
        <v>655</v>
      </c>
      <c r="CS41" s="12" t="s">
        <v>1192</v>
      </c>
      <c r="CT41" s="12" t="s">
        <v>1193</v>
      </c>
      <c r="CU41" s="12" t="s">
        <v>426</v>
      </c>
      <c r="CV41" s="12" t="s">
        <v>1158</v>
      </c>
      <c r="CW41" s="12" t="s">
        <v>296</v>
      </c>
      <c r="CX41" s="12" t="s">
        <v>296</v>
      </c>
    </row>
    <row r="42" spans="1:102" hidden="1" x14ac:dyDescent="0.3">
      <c r="A42" s="12" t="s">
        <v>1194</v>
      </c>
      <c r="B42" s="12" t="s">
        <v>1134</v>
      </c>
      <c r="C42" s="12" t="s">
        <v>1195</v>
      </c>
      <c r="D42" s="12" t="s">
        <v>1196</v>
      </c>
      <c r="E42" s="12" t="s">
        <v>277</v>
      </c>
      <c r="F42" s="12" t="s">
        <v>277</v>
      </c>
      <c r="G42" s="12" t="s">
        <v>277</v>
      </c>
      <c r="H42" s="12" t="s">
        <v>277</v>
      </c>
      <c r="I42" s="12" t="s">
        <v>277</v>
      </c>
      <c r="J42" s="12" t="s">
        <v>277</v>
      </c>
      <c r="K42" s="12" t="s">
        <v>277</v>
      </c>
      <c r="L42" s="12" t="s">
        <v>277</v>
      </c>
      <c r="M42" s="12" t="s">
        <v>277</v>
      </c>
      <c r="N42" s="12" t="s">
        <v>277</v>
      </c>
      <c r="O42" s="12" t="s">
        <v>277</v>
      </c>
      <c r="P42" s="12" t="s">
        <v>277</v>
      </c>
      <c r="Q42" s="12" t="s">
        <v>277</v>
      </c>
      <c r="R42" s="12" t="s">
        <v>277</v>
      </c>
      <c r="S42" s="12" t="s">
        <v>277</v>
      </c>
      <c r="T42" s="12" t="s">
        <v>277</v>
      </c>
      <c r="U42" s="12" t="s">
        <v>277</v>
      </c>
      <c r="V42" s="12" t="s">
        <v>277</v>
      </c>
      <c r="W42" s="12" t="s">
        <v>277</v>
      </c>
      <c r="X42" s="12" t="s">
        <v>277</v>
      </c>
      <c r="Y42" s="12" t="s">
        <v>277</v>
      </c>
      <c r="Z42" s="12" t="s">
        <v>277</v>
      </c>
      <c r="AA42" s="12" t="s">
        <v>277</v>
      </c>
      <c r="AB42" s="12" t="s">
        <v>277</v>
      </c>
      <c r="AC42" s="12" t="s">
        <v>277</v>
      </c>
      <c r="AD42" s="12" t="s">
        <v>277</v>
      </c>
      <c r="AE42" s="12" t="s">
        <v>277</v>
      </c>
      <c r="AF42" s="12" t="s">
        <v>277</v>
      </c>
      <c r="AG42" s="12" t="s">
        <v>277</v>
      </c>
      <c r="AH42" s="12" t="s">
        <v>277</v>
      </c>
      <c r="AI42" s="12" t="s">
        <v>277</v>
      </c>
      <c r="AJ42" s="12" t="s">
        <v>277</v>
      </c>
      <c r="AK42" s="12" t="s">
        <v>277</v>
      </c>
      <c r="AL42" s="12" t="s">
        <v>277</v>
      </c>
      <c r="AM42" s="12" t="s">
        <v>277</v>
      </c>
      <c r="AN42" s="12" t="s">
        <v>277</v>
      </c>
      <c r="AO42" s="12" t="s">
        <v>277</v>
      </c>
      <c r="AP42" s="12" t="s">
        <v>277</v>
      </c>
      <c r="AQ42" s="12" t="s">
        <v>277</v>
      </c>
      <c r="AR42" s="12" t="s">
        <v>277</v>
      </c>
      <c r="AS42" s="12" t="s">
        <v>277</v>
      </c>
      <c r="AT42" s="12" t="s">
        <v>277</v>
      </c>
      <c r="AU42" s="12" t="s">
        <v>277</v>
      </c>
      <c r="AV42" s="12" t="s">
        <v>277</v>
      </c>
      <c r="AW42" s="12" t="s">
        <v>277</v>
      </c>
      <c r="AX42" s="12" t="s">
        <v>277</v>
      </c>
      <c r="AY42" s="12" t="s">
        <v>277</v>
      </c>
      <c r="AZ42" s="12" t="s">
        <v>277</v>
      </c>
      <c r="BA42" s="12" t="s">
        <v>277</v>
      </c>
      <c r="BB42" s="12" t="s">
        <v>278</v>
      </c>
      <c r="BC42" s="12" t="s">
        <v>278</v>
      </c>
      <c r="BD42" s="12" t="s">
        <v>278</v>
      </c>
      <c r="BE42" s="12" t="s">
        <v>278</v>
      </c>
      <c r="BF42" s="12" t="s">
        <v>322</v>
      </c>
      <c r="BG42" s="12" t="s">
        <v>550</v>
      </c>
      <c r="BH42" s="12" t="s">
        <v>454</v>
      </c>
      <c r="BI42" s="12" t="s">
        <v>282</v>
      </c>
      <c r="BJ42" s="12" t="s">
        <v>282</v>
      </c>
      <c r="BK42" s="12" t="s">
        <v>282</v>
      </c>
      <c r="BL42" s="12" t="s">
        <v>372</v>
      </c>
      <c r="BM42" s="12" t="s">
        <v>372</v>
      </c>
      <c r="BN42" s="12" t="s">
        <v>372</v>
      </c>
      <c r="BO42" s="12" t="s">
        <v>507</v>
      </c>
      <c r="BP42" s="12" t="s">
        <v>507</v>
      </c>
      <c r="BQ42" s="12" t="s">
        <v>326</v>
      </c>
      <c r="BR42" s="12" t="s">
        <v>467</v>
      </c>
      <c r="BS42" s="12" t="s">
        <v>329</v>
      </c>
      <c r="BT42" s="12" t="s">
        <v>672</v>
      </c>
      <c r="BU42" s="12" t="s">
        <v>469</v>
      </c>
      <c r="BV42" s="12" t="s">
        <v>333</v>
      </c>
      <c r="BW42" s="12" t="s">
        <v>883</v>
      </c>
      <c r="BX42" s="12" t="s">
        <v>556</v>
      </c>
      <c r="BY42" s="12" t="s">
        <v>556</v>
      </c>
      <c r="BZ42" s="12" t="s">
        <v>556</v>
      </c>
      <c r="CA42" s="12" t="s">
        <v>677</v>
      </c>
      <c r="CB42" s="12" t="s">
        <v>561</v>
      </c>
      <c r="CC42" s="12" t="s">
        <v>563</v>
      </c>
      <c r="CD42" s="12" t="s">
        <v>563</v>
      </c>
      <c r="CE42" s="12" t="s">
        <v>1197</v>
      </c>
      <c r="CF42" s="12" t="s">
        <v>571</v>
      </c>
      <c r="CG42" s="12" t="s">
        <v>571</v>
      </c>
      <c r="CH42" s="12" t="s">
        <v>1052</v>
      </c>
      <c r="CI42" s="12" t="s">
        <v>1198</v>
      </c>
      <c r="CJ42" s="12" t="s">
        <v>1198</v>
      </c>
      <c r="CK42" s="12" t="s">
        <v>1116</v>
      </c>
      <c r="CL42" s="12" t="s">
        <v>1116</v>
      </c>
      <c r="CM42" s="12" t="s">
        <v>1116</v>
      </c>
      <c r="CN42" s="12" t="s">
        <v>1116</v>
      </c>
      <c r="CO42" s="12" t="s">
        <v>1199</v>
      </c>
      <c r="CP42" s="12" t="s">
        <v>1199</v>
      </c>
      <c r="CQ42" s="12" t="s">
        <v>1199</v>
      </c>
      <c r="CR42" s="12" t="s">
        <v>1199</v>
      </c>
      <c r="CS42" s="12" t="s">
        <v>1199</v>
      </c>
      <c r="CT42" s="12" t="s">
        <v>1199</v>
      </c>
      <c r="CU42" s="12" t="s">
        <v>1199</v>
      </c>
      <c r="CV42" s="12" t="s">
        <v>1199</v>
      </c>
      <c r="CW42" s="12" t="s">
        <v>1199</v>
      </c>
      <c r="CX42" s="12" t="s">
        <v>1199</v>
      </c>
    </row>
    <row r="43" spans="1:102" hidden="1" x14ac:dyDescent="0.3">
      <c r="A43" s="12" t="s">
        <v>1200</v>
      </c>
      <c r="B43" s="12" t="s">
        <v>1134</v>
      </c>
      <c r="C43" s="12" t="s">
        <v>1201</v>
      </c>
      <c r="D43" s="12" t="s">
        <v>1202</v>
      </c>
      <c r="E43" s="12" t="s">
        <v>277</v>
      </c>
      <c r="F43" s="12" t="s">
        <v>277</v>
      </c>
      <c r="G43" s="12" t="s">
        <v>277</v>
      </c>
      <c r="H43" s="12" t="s">
        <v>277</v>
      </c>
      <c r="I43" s="12" t="s">
        <v>277</v>
      </c>
      <c r="J43" s="12" t="s">
        <v>277</v>
      </c>
      <c r="K43" s="12" t="s">
        <v>277</v>
      </c>
      <c r="L43" s="12" t="s">
        <v>277</v>
      </c>
      <c r="M43" s="12" t="s">
        <v>277</v>
      </c>
      <c r="N43" s="12" t="s">
        <v>277</v>
      </c>
      <c r="O43" s="12" t="s">
        <v>277</v>
      </c>
      <c r="P43" s="12" t="s">
        <v>277</v>
      </c>
      <c r="Q43" s="12" t="s">
        <v>277</v>
      </c>
      <c r="R43" s="12" t="s">
        <v>277</v>
      </c>
      <c r="S43" s="12" t="s">
        <v>277</v>
      </c>
      <c r="T43" s="12" t="s">
        <v>277</v>
      </c>
      <c r="U43" s="12" t="s">
        <v>277</v>
      </c>
      <c r="V43" s="12" t="s">
        <v>277</v>
      </c>
      <c r="W43" s="12" t="s">
        <v>277</v>
      </c>
      <c r="X43" s="12" t="s">
        <v>277</v>
      </c>
      <c r="Y43" s="12" t="s">
        <v>277</v>
      </c>
      <c r="Z43" s="12" t="s">
        <v>277</v>
      </c>
      <c r="AA43" s="12" t="s">
        <v>277</v>
      </c>
      <c r="AB43" s="12" t="s">
        <v>277</v>
      </c>
      <c r="AC43" s="12" t="s">
        <v>277</v>
      </c>
      <c r="AD43" s="12" t="s">
        <v>277</v>
      </c>
      <c r="AE43" s="12" t="s">
        <v>277</v>
      </c>
      <c r="AF43" s="12" t="s">
        <v>277</v>
      </c>
      <c r="AG43" s="12" t="s">
        <v>277</v>
      </c>
      <c r="AH43" s="12" t="s">
        <v>277</v>
      </c>
      <c r="AI43" s="12" t="s">
        <v>277</v>
      </c>
      <c r="AJ43" s="12" t="s">
        <v>277</v>
      </c>
      <c r="AK43" s="12" t="s">
        <v>277</v>
      </c>
      <c r="AL43" s="12" t="s">
        <v>277</v>
      </c>
      <c r="AM43" s="12" t="s">
        <v>277</v>
      </c>
      <c r="AN43" s="12" t="s">
        <v>277</v>
      </c>
      <c r="AO43" s="12" t="s">
        <v>277</v>
      </c>
      <c r="AP43" s="12" t="s">
        <v>277</v>
      </c>
      <c r="AQ43" s="12" t="s">
        <v>277</v>
      </c>
      <c r="AR43" s="12" t="s">
        <v>277</v>
      </c>
      <c r="AS43" s="12" t="s">
        <v>277</v>
      </c>
      <c r="AT43" s="12" t="s">
        <v>277</v>
      </c>
      <c r="AU43" s="12" t="s">
        <v>277</v>
      </c>
      <c r="AV43" s="12" t="s">
        <v>277</v>
      </c>
      <c r="AW43" s="12" t="s">
        <v>277</v>
      </c>
      <c r="AX43" s="12" t="s">
        <v>277</v>
      </c>
      <c r="AY43" s="12" t="s">
        <v>277</v>
      </c>
      <c r="AZ43" s="12" t="s">
        <v>277</v>
      </c>
      <c r="BA43" s="12" t="s">
        <v>277</v>
      </c>
      <c r="BB43" s="12" t="s">
        <v>277</v>
      </c>
      <c r="BC43" s="12" t="s">
        <v>277</v>
      </c>
      <c r="BD43" s="12" t="s">
        <v>277</v>
      </c>
      <c r="BE43" s="12" t="s">
        <v>277</v>
      </c>
      <c r="BF43" s="12" t="s">
        <v>278</v>
      </c>
      <c r="BG43" s="12" t="s">
        <v>278</v>
      </c>
      <c r="BH43" s="12" t="s">
        <v>371</v>
      </c>
      <c r="BI43" s="12" t="s">
        <v>371</v>
      </c>
      <c r="BJ43" s="12" t="s">
        <v>371</v>
      </c>
      <c r="BK43" s="12" t="s">
        <v>279</v>
      </c>
      <c r="BL43" s="12" t="s">
        <v>550</v>
      </c>
      <c r="BM43" s="12" t="s">
        <v>460</v>
      </c>
      <c r="BN43" s="12" t="s">
        <v>286</v>
      </c>
      <c r="BO43" s="12" t="s">
        <v>616</v>
      </c>
      <c r="BP43" s="12" t="s">
        <v>616</v>
      </c>
      <c r="BQ43" s="12" t="s">
        <v>675</v>
      </c>
      <c r="BR43" s="12" t="s">
        <v>562</v>
      </c>
      <c r="BS43" s="12" t="s">
        <v>292</v>
      </c>
      <c r="BT43" s="12" t="s">
        <v>1055</v>
      </c>
      <c r="BU43" s="12" t="s">
        <v>1203</v>
      </c>
      <c r="BV43" s="12" t="s">
        <v>884</v>
      </c>
      <c r="BW43" s="12" t="s">
        <v>725</v>
      </c>
      <c r="BX43" s="12" t="s">
        <v>962</v>
      </c>
      <c r="BY43" s="12" t="s">
        <v>683</v>
      </c>
      <c r="BZ43" s="12" t="s">
        <v>683</v>
      </c>
      <c r="CA43" s="12" t="s">
        <v>1187</v>
      </c>
      <c r="CB43" s="12" t="s">
        <v>1204</v>
      </c>
      <c r="CC43" s="12" t="s">
        <v>826</v>
      </c>
      <c r="CD43" s="12" t="s">
        <v>826</v>
      </c>
      <c r="CE43" s="12" t="s">
        <v>1205</v>
      </c>
      <c r="CF43" s="12" t="s">
        <v>908</v>
      </c>
      <c r="CG43" s="12" t="s">
        <v>1206</v>
      </c>
      <c r="CH43" s="12" t="s">
        <v>1062</v>
      </c>
      <c r="CI43" s="12" t="s">
        <v>1207</v>
      </c>
      <c r="CJ43" s="12" t="s">
        <v>1207</v>
      </c>
      <c r="CK43" s="12" t="s">
        <v>1208</v>
      </c>
      <c r="CL43" s="12" t="s">
        <v>1209</v>
      </c>
      <c r="CM43" s="12" t="s">
        <v>827</v>
      </c>
      <c r="CN43" s="12" t="s">
        <v>655</v>
      </c>
      <c r="CO43" s="12" t="s">
        <v>655</v>
      </c>
      <c r="CP43" s="12" t="s">
        <v>655</v>
      </c>
      <c r="CQ43" s="12" t="s">
        <v>655</v>
      </c>
      <c r="CR43" s="12" t="s">
        <v>827</v>
      </c>
      <c r="CS43" s="12" t="s">
        <v>827</v>
      </c>
      <c r="CT43" s="12" t="s">
        <v>827</v>
      </c>
      <c r="CU43" s="12" t="s">
        <v>655</v>
      </c>
      <c r="CV43" s="12" t="s">
        <v>979</v>
      </c>
      <c r="CW43" s="12" t="s">
        <v>979</v>
      </c>
      <c r="CX43" s="12" t="s">
        <v>979</v>
      </c>
    </row>
    <row r="44" spans="1:102" hidden="1" x14ac:dyDescent="0.3">
      <c r="A44" s="12" t="s">
        <v>1210</v>
      </c>
      <c r="B44" s="12" t="s">
        <v>1134</v>
      </c>
      <c r="C44" s="12" t="s">
        <v>1211</v>
      </c>
      <c r="D44" s="12" t="s">
        <v>1212</v>
      </c>
      <c r="E44" s="12" t="s">
        <v>277</v>
      </c>
      <c r="F44" s="12" t="s">
        <v>277</v>
      </c>
      <c r="G44" s="12" t="s">
        <v>277</v>
      </c>
      <c r="H44" s="12" t="s">
        <v>277</v>
      </c>
      <c r="I44" s="12" t="s">
        <v>277</v>
      </c>
      <c r="J44" s="12" t="s">
        <v>277</v>
      </c>
      <c r="K44" s="12" t="s">
        <v>277</v>
      </c>
      <c r="L44" s="12" t="s">
        <v>277</v>
      </c>
      <c r="M44" s="12" t="s">
        <v>277</v>
      </c>
      <c r="N44" s="12" t="s">
        <v>277</v>
      </c>
      <c r="O44" s="12" t="s">
        <v>277</v>
      </c>
      <c r="P44" s="12" t="s">
        <v>277</v>
      </c>
      <c r="Q44" s="12" t="s">
        <v>277</v>
      </c>
      <c r="R44" s="12" t="s">
        <v>277</v>
      </c>
      <c r="S44" s="12" t="s">
        <v>277</v>
      </c>
      <c r="T44" s="12" t="s">
        <v>277</v>
      </c>
      <c r="U44" s="12" t="s">
        <v>277</v>
      </c>
      <c r="V44" s="12" t="s">
        <v>277</v>
      </c>
      <c r="W44" s="12" t="s">
        <v>277</v>
      </c>
      <c r="X44" s="12" t="s">
        <v>277</v>
      </c>
      <c r="Y44" s="12" t="s">
        <v>277</v>
      </c>
      <c r="Z44" s="12" t="s">
        <v>277</v>
      </c>
      <c r="AA44" s="12" t="s">
        <v>277</v>
      </c>
      <c r="AB44" s="12" t="s">
        <v>277</v>
      </c>
      <c r="AC44" s="12" t="s">
        <v>277</v>
      </c>
      <c r="AD44" s="12" t="s">
        <v>277</v>
      </c>
      <c r="AE44" s="12" t="s">
        <v>277</v>
      </c>
      <c r="AF44" s="12" t="s">
        <v>277</v>
      </c>
      <c r="AG44" s="12" t="s">
        <v>277</v>
      </c>
      <c r="AH44" s="12" t="s">
        <v>277</v>
      </c>
      <c r="AI44" s="12" t="s">
        <v>277</v>
      </c>
      <c r="AJ44" s="12" t="s">
        <v>277</v>
      </c>
      <c r="AK44" s="12" t="s">
        <v>277</v>
      </c>
      <c r="AL44" s="12" t="s">
        <v>277</v>
      </c>
      <c r="AM44" s="12" t="s">
        <v>277</v>
      </c>
      <c r="AN44" s="12" t="s">
        <v>277</v>
      </c>
      <c r="AO44" s="12" t="s">
        <v>277</v>
      </c>
      <c r="AP44" s="12" t="s">
        <v>277</v>
      </c>
      <c r="AQ44" s="12" t="s">
        <v>277</v>
      </c>
      <c r="AR44" s="12" t="s">
        <v>277</v>
      </c>
      <c r="AS44" s="12" t="s">
        <v>277</v>
      </c>
      <c r="AT44" s="12" t="s">
        <v>277</v>
      </c>
      <c r="AU44" s="12" t="s">
        <v>277</v>
      </c>
      <c r="AV44" s="12" t="s">
        <v>277</v>
      </c>
      <c r="AW44" s="12" t="s">
        <v>277</v>
      </c>
      <c r="AX44" s="12" t="s">
        <v>277</v>
      </c>
      <c r="AY44" s="12" t="s">
        <v>277</v>
      </c>
      <c r="AZ44" s="12" t="s">
        <v>277</v>
      </c>
      <c r="BA44" s="12" t="s">
        <v>277</v>
      </c>
      <c r="BB44" s="12" t="s">
        <v>277</v>
      </c>
      <c r="BC44" s="12" t="s">
        <v>277</v>
      </c>
      <c r="BD44" s="12" t="s">
        <v>277</v>
      </c>
      <c r="BE44" s="12" t="s">
        <v>277</v>
      </c>
      <c r="BF44" s="12" t="s">
        <v>277</v>
      </c>
      <c r="BG44" s="12" t="s">
        <v>280</v>
      </c>
      <c r="BH44" s="12" t="s">
        <v>281</v>
      </c>
      <c r="BI44" s="12" t="s">
        <v>324</v>
      </c>
      <c r="BJ44" s="12" t="s">
        <v>455</v>
      </c>
      <c r="BK44" s="12" t="s">
        <v>461</v>
      </c>
      <c r="BL44" s="12" t="s">
        <v>284</v>
      </c>
      <c r="BM44" s="12" t="s">
        <v>568</v>
      </c>
      <c r="BN44" s="12" t="s">
        <v>745</v>
      </c>
      <c r="BO44" s="12" t="s">
        <v>329</v>
      </c>
      <c r="BP44" s="12" t="s">
        <v>469</v>
      </c>
      <c r="BQ44" s="12" t="s">
        <v>819</v>
      </c>
      <c r="BR44" s="12" t="s">
        <v>381</v>
      </c>
      <c r="BS44" s="12" t="s">
        <v>291</v>
      </c>
      <c r="BT44" s="12" t="s">
        <v>679</v>
      </c>
      <c r="BU44" s="12" t="s">
        <v>1053</v>
      </c>
      <c r="BV44" s="12" t="s">
        <v>1213</v>
      </c>
      <c r="BW44" s="12" t="s">
        <v>1214</v>
      </c>
      <c r="BX44" s="12" t="s">
        <v>1121</v>
      </c>
      <c r="BY44" s="12" t="s">
        <v>686</v>
      </c>
      <c r="BZ44" s="12" t="s">
        <v>1215</v>
      </c>
      <c r="CA44" s="12" t="s">
        <v>1192</v>
      </c>
      <c r="CB44" s="12" t="s">
        <v>1063</v>
      </c>
      <c r="CC44" s="12" t="s">
        <v>1216</v>
      </c>
      <c r="CD44" s="12" t="s">
        <v>1216</v>
      </c>
      <c r="CE44" s="12" t="s">
        <v>1217</v>
      </c>
      <c r="CF44" s="12" t="s">
        <v>519</v>
      </c>
      <c r="CG44" s="12" t="s">
        <v>432</v>
      </c>
      <c r="CH44" s="12" t="s">
        <v>1218</v>
      </c>
      <c r="CI44" s="12" t="s">
        <v>1219</v>
      </c>
      <c r="CJ44" s="12" t="s">
        <v>737</v>
      </c>
      <c r="CK44" s="12" t="s">
        <v>1072</v>
      </c>
      <c r="CL44" s="12" t="s">
        <v>984</v>
      </c>
      <c r="CM44" s="12" t="s">
        <v>1220</v>
      </c>
      <c r="CN44" s="12" t="s">
        <v>1221</v>
      </c>
      <c r="CO44" s="12" t="s">
        <v>1078</v>
      </c>
      <c r="CP44" s="12" t="s">
        <v>1222</v>
      </c>
      <c r="CQ44" s="12" t="s">
        <v>1223</v>
      </c>
      <c r="CR44" s="12" t="s">
        <v>1224</v>
      </c>
      <c r="CS44" s="12" t="s">
        <v>1225</v>
      </c>
      <c r="CT44" s="12" t="s">
        <v>4107</v>
      </c>
      <c r="CU44" s="12" t="s">
        <v>2095</v>
      </c>
      <c r="CV44" s="12" t="s">
        <v>632</v>
      </c>
      <c r="CW44" s="12" t="s">
        <v>633</v>
      </c>
      <c r="CX44" s="12" t="s">
        <v>4108</v>
      </c>
    </row>
    <row r="45" spans="1:102" hidden="1" x14ac:dyDescent="0.3">
      <c r="A45" s="12" t="s">
        <v>1226</v>
      </c>
      <c r="B45" s="12" t="s">
        <v>1134</v>
      </c>
      <c r="C45" s="12" t="s">
        <v>1227</v>
      </c>
      <c r="D45" s="12" t="s">
        <v>1228</v>
      </c>
      <c r="E45" s="12" t="s">
        <v>277</v>
      </c>
      <c r="F45" s="12" t="s">
        <v>277</v>
      </c>
      <c r="G45" s="12" t="s">
        <v>277</v>
      </c>
      <c r="H45" s="12" t="s">
        <v>277</v>
      </c>
      <c r="I45" s="12" t="s">
        <v>278</v>
      </c>
      <c r="J45" s="12" t="s">
        <v>278</v>
      </c>
      <c r="K45" s="12" t="s">
        <v>278</v>
      </c>
      <c r="L45" s="12" t="s">
        <v>278</v>
      </c>
      <c r="M45" s="12" t="s">
        <v>278</v>
      </c>
      <c r="N45" s="12" t="s">
        <v>371</v>
      </c>
      <c r="O45" s="12" t="s">
        <v>371</v>
      </c>
      <c r="P45" s="12" t="s">
        <v>371</v>
      </c>
      <c r="Q45" s="12" t="s">
        <v>371</v>
      </c>
      <c r="R45" s="12" t="s">
        <v>371</v>
      </c>
      <c r="S45" s="12" t="s">
        <v>371</v>
      </c>
      <c r="T45" s="12" t="s">
        <v>371</v>
      </c>
      <c r="U45" s="12" t="s">
        <v>371</v>
      </c>
      <c r="V45" s="12" t="s">
        <v>371</v>
      </c>
      <c r="W45" s="12" t="s">
        <v>371</v>
      </c>
      <c r="X45" s="12" t="s">
        <v>371</v>
      </c>
      <c r="Y45" s="12" t="s">
        <v>371</v>
      </c>
      <c r="Z45" s="12" t="s">
        <v>371</v>
      </c>
      <c r="AA45" s="12" t="s">
        <v>371</v>
      </c>
      <c r="AB45" s="12" t="s">
        <v>371</v>
      </c>
      <c r="AC45" s="12" t="s">
        <v>371</v>
      </c>
      <c r="AD45" s="12" t="s">
        <v>371</v>
      </c>
      <c r="AE45" s="12" t="s">
        <v>371</v>
      </c>
      <c r="AF45" s="12" t="s">
        <v>371</v>
      </c>
      <c r="AG45" s="12" t="s">
        <v>371</v>
      </c>
      <c r="AH45" s="12" t="s">
        <v>371</v>
      </c>
      <c r="AI45" s="12" t="s">
        <v>371</v>
      </c>
      <c r="AJ45" s="12" t="s">
        <v>371</v>
      </c>
      <c r="AK45" s="12" t="s">
        <v>371</v>
      </c>
      <c r="AL45" s="12" t="s">
        <v>279</v>
      </c>
      <c r="AM45" s="12" t="s">
        <v>279</v>
      </c>
      <c r="AN45" s="12" t="s">
        <v>279</v>
      </c>
      <c r="AO45" s="12" t="s">
        <v>550</v>
      </c>
      <c r="AP45" s="12" t="s">
        <v>550</v>
      </c>
      <c r="AQ45" s="12" t="s">
        <v>282</v>
      </c>
      <c r="AR45" s="12" t="s">
        <v>461</v>
      </c>
      <c r="AS45" s="12" t="s">
        <v>507</v>
      </c>
      <c r="AT45" s="12" t="s">
        <v>374</v>
      </c>
      <c r="AU45" s="12" t="s">
        <v>374</v>
      </c>
      <c r="AV45" s="12" t="s">
        <v>285</v>
      </c>
      <c r="AW45" s="12" t="s">
        <v>456</v>
      </c>
      <c r="AX45" s="12" t="s">
        <v>568</v>
      </c>
      <c r="AY45" s="12" t="s">
        <v>652</v>
      </c>
      <c r="AZ45" s="12" t="s">
        <v>466</v>
      </c>
      <c r="BA45" s="12" t="s">
        <v>670</v>
      </c>
      <c r="BB45" s="12" t="s">
        <v>745</v>
      </c>
      <c r="BC45" s="12" t="s">
        <v>328</v>
      </c>
      <c r="BD45" s="12" t="s">
        <v>288</v>
      </c>
      <c r="BE45" s="12" t="s">
        <v>470</v>
      </c>
      <c r="BF45" s="12" t="s">
        <v>336</v>
      </c>
      <c r="BG45" s="12" t="s">
        <v>1229</v>
      </c>
      <c r="BH45" s="12" t="s">
        <v>1230</v>
      </c>
      <c r="BI45" s="12" t="s">
        <v>621</v>
      </c>
      <c r="BJ45" s="12" t="s">
        <v>655</v>
      </c>
      <c r="BK45" s="12" t="s">
        <v>427</v>
      </c>
      <c r="BL45" s="12" t="s">
        <v>349</v>
      </c>
      <c r="BM45" s="12" t="s">
        <v>1231</v>
      </c>
      <c r="BN45" s="12" t="s">
        <v>1070</v>
      </c>
      <c r="BO45" s="12" t="s">
        <v>1232</v>
      </c>
      <c r="BP45" s="12" t="s">
        <v>838</v>
      </c>
      <c r="BQ45" s="12" t="s">
        <v>990</v>
      </c>
      <c r="BR45" s="12" t="s">
        <v>1233</v>
      </c>
      <c r="BS45" s="12" t="s">
        <v>1234</v>
      </c>
      <c r="BT45" s="12" t="s">
        <v>1235</v>
      </c>
      <c r="BU45" s="12" t="s">
        <v>1236</v>
      </c>
      <c r="BV45" s="12" t="s">
        <v>1237</v>
      </c>
      <c r="BW45" s="12" t="s">
        <v>1238</v>
      </c>
      <c r="BX45" s="12" t="s">
        <v>1239</v>
      </c>
      <c r="BY45" s="12" t="s">
        <v>1240</v>
      </c>
      <c r="BZ45" s="12" t="s">
        <v>1241</v>
      </c>
      <c r="CA45" s="12" t="s">
        <v>1242</v>
      </c>
      <c r="CB45" s="12" t="s">
        <v>1243</v>
      </c>
      <c r="CC45" s="12" t="s">
        <v>1244</v>
      </c>
      <c r="CD45" s="12" t="s">
        <v>1245</v>
      </c>
      <c r="CE45" s="12" t="s">
        <v>1246</v>
      </c>
      <c r="CF45" s="12" t="s">
        <v>1247</v>
      </c>
      <c r="CG45" s="12" t="s">
        <v>1248</v>
      </c>
      <c r="CH45" s="12" t="s">
        <v>1249</v>
      </c>
      <c r="CI45" s="12" t="s">
        <v>48</v>
      </c>
      <c r="CJ45" s="12" t="s">
        <v>1250</v>
      </c>
      <c r="CK45" s="12" t="s">
        <v>1251</v>
      </c>
      <c r="CL45" s="12" t="s">
        <v>1252</v>
      </c>
      <c r="CM45" s="12" t="s">
        <v>1253</v>
      </c>
      <c r="CN45" s="12" t="s">
        <v>1254</v>
      </c>
      <c r="CO45" s="12" t="s">
        <v>1255</v>
      </c>
      <c r="CP45" s="12" t="s">
        <v>1256</v>
      </c>
      <c r="CQ45" s="12" t="s">
        <v>1257</v>
      </c>
      <c r="CR45" s="12" t="s">
        <v>1258</v>
      </c>
      <c r="CS45" s="12" t="s">
        <v>1259</v>
      </c>
      <c r="CT45" s="12" t="s">
        <v>1260</v>
      </c>
      <c r="CU45" s="12" t="s">
        <v>4109</v>
      </c>
      <c r="CV45" s="12" t="s">
        <v>4110</v>
      </c>
      <c r="CW45" s="12" t="s">
        <v>4111</v>
      </c>
      <c r="CX45" s="12" t="s">
        <v>4112</v>
      </c>
    </row>
    <row r="46" spans="1:102" hidden="1" x14ac:dyDescent="0.3">
      <c r="A46" s="12" t="s">
        <v>1261</v>
      </c>
      <c r="B46" s="12" t="s">
        <v>1134</v>
      </c>
      <c r="C46" s="12" t="s">
        <v>1262</v>
      </c>
      <c r="D46" s="12" t="s">
        <v>1263</v>
      </c>
      <c r="E46" s="12" t="s">
        <v>277</v>
      </c>
      <c r="F46" s="12" t="s">
        <v>277</v>
      </c>
      <c r="G46" s="12" t="s">
        <v>277</v>
      </c>
      <c r="H46" s="12" t="s">
        <v>277</v>
      </c>
      <c r="I46" s="12" t="s">
        <v>277</v>
      </c>
      <c r="J46" s="12" t="s">
        <v>277</v>
      </c>
      <c r="K46" s="12" t="s">
        <v>277</v>
      </c>
      <c r="L46" s="12" t="s">
        <v>277</v>
      </c>
      <c r="M46" s="12" t="s">
        <v>277</v>
      </c>
      <c r="N46" s="12" t="s">
        <v>277</v>
      </c>
      <c r="O46" s="12" t="s">
        <v>277</v>
      </c>
      <c r="P46" s="12" t="s">
        <v>277</v>
      </c>
      <c r="Q46" s="12" t="s">
        <v>277</v>
      </c>
      <c r="R46" s="12" t="s">
        <v>277</v>
      </c>
      <c r="S46" s="12" t="s">
        <v>277</v>
      </c>
      <c r="T46" s="12" t="s">
        <v>277</v>
      </c>
      <c r="U46" s="12" t="s">
        <v>277</v>
      </c>
      <c r="V46" s="12" t="s">
        <v>277</v>
      </c>
      <c r="W46" s="12" t="s">
        <v>277</v>
      </c>
      <c r="X46" s="12" t="s">
        <v>277</v>
      </c>
      <c r="Y46" s="12" t="s">
        <v>277</v>
      </c>
      <c r="Z46" s="12" t="s">
        <v>277</v>
      </c>
      <c r="AA46" s="12" t="s">
        <v>277</v>
      </c>
      <c r="AB46" s="12" t="s">
        <v>277</v>
      </c>
      <c r="AC46" s="12" t="s">
        <v>277</v>
      </c>
      <c r="AD46" s="12" t="s">
        <v>277</v>
      </c>
      <c r="AE46" s="12" t="s">
        <v>277</v>
      </c>
      <c r="AF46" s="12" t="s">
        <v>277</v>
      </c>
      <c r="AG46" s="12" t="s">
        <v>277</v>
      </c>
      <c r="AH46" s="12" t="s">
        <v>277</v>
      </c>
      <c r="AI46" s="12" t="s">
        <v>277</v>
      </c>
      <c r="AJ46" s="12" t="s">
        <v>277</v>
      </c>
      <c r="AK46" s="12" t="s">
        <v>277</v>
      </c>
      <c r="AL46" s="12" t="s">
        <v>277</v>
      </c>
      <c r="AM46" s="12" t="s">
        <v>277</v>
      </c>
      <c r="AN46" s="12" t="s">
        <v>277</v>
      </c>
      <c r="AO46" s="12" t="s">
        <v>277</v>
      </c>
      <c r="AP46" s="12" t="s">
        <v>277</v>
      </c>
      <c r="AQ46" s="12" t="s">
        <v>277</v>
      </c>
      <c r="AR46" s="12" t="s">
        <v>277</v>
      </c>
      <c r="AS46" s="12" t="s">
        <v>277</v>
      </c>
      <c r="AT46" s="12" t="s">
        <v>277</v>
      </c>
      <c r="AU46" s="12" t="s">
        <v>277</v>
      </c>
      <c r="AV46" s="12" t="s">
        <v>277</v>
      </c>
      <c r="AW46" s="12" t="s">
        <v>277</v>
      </c>
      <c r="AX46" s="12" t="s">
        <v>277</v>
      </c>
      <c r="AY46" s="12" t="s">
        <v>277</v>
      </c>
      <c r="AZ46" s="12" t="s">
        <v>277</v>
      </c>
      <c r="BA46" s="12" t="s">
        <v>277</v>
      </c>
      <c r="BB46" s="12" t="s">
        <v>277</v>
      </c>
      <c r="BC46" s="12" t="s">
        <v>277</v>
      </c>
      <c r="BD46" s="12" t="s">
        <v>277</v>
      </c>
      <c r="BE46" s="12" t="s">
        <v>277</v>
      </c>
      <c r="BF46" s="12" t="s">
        <v>278</v>
      </c>
      <c r="BG46" s="12" t="s">
        <v>278</v>
      </c>
      <c r="BH46" s="12" t="s">
        <v>278</v>
      </c>
      <c r="BI46" s="12" t="s">
        <v>278</v>
      </c>
      <c r="BJ46" s="12" t="s">
        <v>322</v>
      </c>
      <c r="BK46" s="12" t="s">
        <v>322</v>
      </c>
      <c r="BL46" s="12" t="s">
        <v>322</v>
      </c>
      <c r="BM46" s="12" t="s">
        <v>371</v>
      </c>
      <c r="BN46" s="12" t="s">
        <v>371</v>
      </c>
      <c r="BO46" s="12" t="s">
        <v>371</v>
      </c>
      <c r="BP46" s="12" t="s">
        <v>280</v>
      </c>
      <c r="BQ46" s="12" t="s">
        <v>280</v>
      </c>
      <c r="BR46" s="12" t="s">
        <v>460</v>
      </c>
      <c r="BS46" s="12" t="s">
        <v>282</v>
      </c>
      <c r="BT46" s="12" t="s">
        <v>282</v>
      </c>
      <c r="BU46" s="12" t="s">
        <v>507</v>
      </c>
      <c r="BV46" s="12" t="s">
        <v>284</v>
      </c>
      <c r="BW46" s="12" t="s">
        <v>284</v>
      </c>
      <c r="BX46" s="12" t="s">
        <v>285</v>
      </c>
      <c r="BY46" s="12" t="s">
        <v>285</v>
      </c>
      <c r="BZ46" s="12" t="s">
        <v>285</v>
      </c>
      <c r="CA46" s="12" t="s">
        <v>285</v>
      </c>
      <c r="CB46" s="12" t="s">
        <v>285</v>
      </c>
      <c r="CC46" s="12" t="s">
        <v>285</v>
      </c>
      <c r="CD46" s="12" t="s">
        <v>456</v>
      </c>
      <c r="CE46" s="12" t="s">
        <v>456</v>
      </c>
      <c r="CF46" s="12" t="s">
        <v>456</v>
      </c>
      <c r="CG46" s="12" t="s">
        <v>456</v>
      </c>
      <c r="CH46" s="12" t="s">
        <v>456</v>
      </c>
      <c r="CI46" s="12" t="s">
        <v>456</v>
      </c>
      <c r="CJ46" s="12" t="s">
        <v>456</v>
      </c>
      <c r="CK46" s="12" t="s">
        <v>375</v>
      </c>
      <c r="CL46" s="12" t="s">
        <v>375</v>
      </c>
      <c r="CM46" s="12" t="s">
        <v>375</v>
      </c>
      <c r="CN46" s="12" t="s">
        <v>375</v>
      </c>
      <c r="CO46" s="12" t="s">
        <v>375</v>
      </c>
      <c r="CP46" s="12" t="s">
        <v>375</v>
      </c>
      <c r="CQ46" s="12" t="s">
        <v>375</v>
      </c>
      <c r="CR46" s="12" t="s">
        <v>375</v>
      </c>
      <c r="CS46" s="12" t="s">
        <v>375</v>
      </c>
      <c r="CT46" s="12" t="s">
        <v>375</v>
      </c>
      <c r="CU46" s="12" t="s">
        <v>375</v>
      </c>
      <c r="CV46" s="12" t="s">
        <v>375</v>
      </c>
      <c r="CW46" s="12" t="s">
        <v>375</v>
      </c>
      <c r="CX46" s="12" t="s">
        <v>612</v>
      </c>
    </row>
    <row r="47" spans="1:102" hidden="1" x14ac:dyDescent="0.3">
      <c r="A47" s="12" t="s">
        <v>1264</v>
      </c>
      <c r="B47" s="12" t="s">
        <v>1134</v>
      </c>
      <c r="C47" s="12" t="s">
        <v>1265</v>
      </c>
      <c r="D47" s="12" t="s">
        <v>1266</v>
      </c>
      <c r="E47" s="12" t="s">
        <v>277</v>
      </c>
      <c r="F47" s="12" t="s">
        <v>277</v>
      </c>
      <c r="G47" s="12" t="s">
        <v>277</v>
      </c>
      <c r="H47" s="12" t="s">
        <v>277</v>
      </c>
      <c r="I47" s="12" t="s">
        <v>277</v>
      </c>
      <c r="J47" s="12" t="s">
        <v>277</v>
      </c>
      <c r="K47" s="12" t="s">
        <v>277</v>
      </c>
      <c r="L47" s="12" t="s">
        <v>277</v>
      </c>
      <c r="M47" s="12" t="s">
        <v>277</v>
      </c>
      <c r="N47" s="12" t="s">
        <v>277</v>
      </c>
      <c r="O47" s="12" t="s">
        <v>277</v>
      </c>
      <c r="P47" s="12" t="s">
        <v>277</v>
      </c>
      <c r="Q47" s="12" t="s">
        <v>277</v>
      </c>
      <c r="R47" s="12" t="s">
        <v>277</v>
      </c>
      <c r="S47" s="12" t="s">
        <v>277</v>
      </c>
      <c r="T47" s="12" t="s">
        <v>277</v>
      </c>
      <c r="U47" s="12" t="s">
        <v>277</v>
      </c>
      <c r="V47" s="12" t="s">
        <v>277</v>
      </c>
      <c r="W47" s="12" t="s">
        <v>277</v>
      </c>
      <c r="X47" s="12" t="s">
        <v>277</v>
      </c>
      <c r="Y47" s="12" t="s">
        <v>277</v>
      </c>
      <c r="Z47" s="12" t="s">
        <v>277</v>
      </c>
      <c r="AA47" s="12" t="s">
        <v>277</v>
      </c>
      <c r="AB47" s="12" t="s">
        <v>277</v>
      </c>
      <c r="AC47" s="12" t="s">
        <v>277</v>
      </c>
      <c r="AD47" s="12" t="s">
        <v>277</v>
      </c>
      <c r="AE47" s="12" t="s">
        <v>277</v>
      </c>
      <c r="AF47" s="12" t="s">
        <v>277</v>
      </c>
      <c r="AG47" s="12" t="s">
        <v>277</v>
      </c>
      <c r="AH47" s="12" t="s">
        <v>277</v>
      </c>
      <c r="AI47" s="12" t="s">
        <v>277</v>
      </c>
      <c r="AJ47" s="12" t="s">
        <v>277</v>
      </c>
      <c r="AK47" s="12" t="s">
        <v>277</v>
      </c>
      <c r="AL47" s="12" t="s">
        <v>277</v>
      </c>
      <c r="AM47" s="12" t="s">
        <v>277</v>
      </c>
      <c r="AN47" s="12" t="s">
        <v>277</v>
      </c>
      <c r="AO47" s="12" t="s">
        <v>277</v>
      </c>
      <c r="AP47" s="12" t="s">
        <v>278</v>
      </c>
      <c r="AQ47" s="12" t="s">
        <v>278</v>
      </c>
      <c r="AR47" s="12" t="s">
        <v>278</v>
      </c>
      <c r="AS47" s="12" t="s">
        <v>278</v>
      </c>
      <c r="AT47" s="12" t="s">
        <v>278</v>
      </c>
      <c r="AU47" s="12" t="s">
        <v>278</v>
      </c>
      <c r="AV47" s="12" t="s">
        <v>322</v>
      </c>
      <c r="AW47" s="12" t="s">
        <v>322</v>
      </c>
      <c r="AX47" s="12" t="s">
        <v>371</v>
      </c>
      <c r="AY47" s="12" t="s">
        <v>279</v>
      </c>
      <c r="AZ47" s="12" t="s">
        <v>279</v>
      </c>
      <c r="BA47" s="12" t="s">
        <v>279</v>
      </c>
      <c r="BB47" s="12" t="s">
        <v>454</v>
      </c>
      <c r="BC47" s="12" t="s">
        <v>460</v>
      </c>
      <c r="BD47" s="12" t="s">
        <v>372</v>
      </c>
      <c r="BE47" s="12" t="s">
        <v>372</v>
      </c>
      <c r="BF47" s="12" t="s">
        <v>286</v>
      </c>
      <c r="BG47" s="12" t="s">
        <v>653</v>
      </c>
      <c r="BH47" s="12" t="s">
        <v>288</v>
      </c>
      <c r="BI47" s="12" t="s">
        <v>290</v>
      </c>
      <c r="BJ47" s="12" t="s">
        <v>692</v>
      </c>
      <c r="BK47" s="12" t="s">
        <v>382</v>
      </c>
      <c r="BL47" s="12" t="s">
        <v>1267</v>
      </c>
      <c r="BM47" s="12" t="s">
        <v>1268</v>
      </c>
      <c r="BN47" s="12" t="s">
        <v>1269</v>
      </c>
      <c r="BO47" s="12" t="s">
        <v>533</v>
      </c>
      <c r="BP47" s="12" t="s">
        <v>1001</v>
      </c>
      <c r="BQ47" s="12" t="s">
        <v>1270</v>
      </c>
      <c r="BR47" s="12" t="s">
        <v>1271</v>
      </c>
      <c r="BS47" s="12" t="s">
        <v>1272</v>
      </c>
      <c r="BT47" s="12" t="s">
        <v>1273</v>
      </c>
      <c r="BU47" s="12" t="s">
        <v>1274</v>
      </c>
      <c r="BV47" s="12" t="s">
        <v>1275</v>
      </c>
      <c r="BW47" s="12" t="s">
        <v>1276</v>
      </c>
      <c r="BX47" s="12" t="s">
        <v>1277</v>
      </c>
      <c r="BY47" s="12" t="s">
        <v>1278</v>
      </c>
      <c r="BZ47" s="12" t="s">
        <v>1278</v>
      </c>
      <c r="CA47" s="12" t="s">
        <v>1279</v>
      </c>
      <c r="CB47" s="12" t="s">
        <v>1280</v>
      </c>
      <c r="CC47" s="12" t="s">
        <v>1281</v>
      </c>
      <c r="CD47" s="12" t="s">
        <v>1282</v>
      </c>
      <c r="CE47" s="12" t="s">
        <v>1283</v>
      </c>
      <c r="CF47" s="12" t="s">
        <v>1284</v>
      </c>
      <c r="CG47" s="12" t="s">
        <v>1285</v>
      </c>
      <c r="CH47" s="12" t="s">
        <v>1286</v>
      </c>
      <c r="CI47" s="12" t="s">
        <v>1287</v>
      </c>
      <c r="CJ47" s="12" t="s">
        <v>1288</v>
      </c>
      <c r="CK47" s="12" t="s">
        <v>1289</v>
      </c>
      <c r="CL47" s="12" t="s">
        <v>1290</v>
      </c>
      <c r="CM47" s="12" t="s">
        <v>1291</v>
      </c>
      <c r="CN47" s="12" t="s">
        <v>1292</v>
      </c>
      <c r="CO47" s="12" t="s">
        <v>1293</v>
      </c>
      <c r="CP47" s="12" t="s">
        <v>1294</v>
      </c>
      <c r="CQ47" s="12" t="s">
        <v>1295</v>
      </c>
      <c r="CR47" s="12" t="s">
        <v>1296</v>
      </c>
      <c r="CS47" s="12" t="s">
        <v>1297</v>
      </c>
      <c r="CT47" s="12" t="s">
        <v>1298</v>
      </c>
      <c r="CU47" s="12" t="s">
        <v>4113</v>
      </c>
      <c r="CV47" s="12" t="s">
        <v>4114</v>
      </c>
      <c r="CW47" s="12" t="s">
        <v>933</v>
      </c>
      <c r="CX47" s="12" t="s">
        <v>4115</v>
      </c>
    </row>
    <row r="48" spans="1:102" hidden="1" x14ac:dyDescent="0.3">
      <c r="A48" s="12" t="s">
        <v>1299</v>
      </c>
      <c r="B48" s="12" t="s">
        <v>1134</v>
      </c>
      <c r="C48" s="12" t="s">
        <v>1265</v>
      </c>
      <c r="D48" s="12" t="s">
        <v>1300</v>
      </c>
      <c r="E48" s="12" t="s">
        <v>277</v>
      </c>
      <c r="F48" s="12" t="s">
        <v>277</v>
      </c>
      <c r="G48" s="12" t="s">
        <v>277</v>
      </c>
      <c r="H48" s="12" t="s">
        <v>277</v>
      </c>
      <c r="I48" s="12" t="s">
        <v>277</v>
      </c>
      <c r="J48" s="12" t="s">
        <v>277</v>
      </c>
      <c r="K48" s="12" t="s">
        <v>277</v>
      </c>
      <c r="L48" s="12" t="s">
        <v>277</v>
      </c>
      <c r="M48" s="12" t="s">
        <v>277</v>
      </c>
      <c r="N48" s="12" t="s">
        <v>277</v>
      </c>
      <c r="O48" s="12" t="s">
        <v>277</v>
      </c>
      <c r="P48" s="12" t="s">
        <v>277</v>
      </c>
      <c r="Q48" s="12" t="s">
        <v>277</v>
      </c>
      <c r="R48" s="12" t="s">
        <v>277</v>
      </c>
      <c r="S48" s="12" t="s">
        <v>277</v>
      </c>
      <c r="T48" s="12" t="s">
        <v>277</v>
      </c>
      <c r="U48" s="12" t="s">
        <v>277</v>
      </c>
      <c r="V48" s="12" t="s">
        <v>277</v>
      </c>
      <c r="W48" s="12" t="s">
        <v>277</v>
      </c>
      <c r="X48" s="12" t="s">
        <v>277</v>
      </c>
      <c r="Y48" s="12" t="s">
        <v>277</v>
      </c>
      <c r="Z48" s="12" t="s">
        <v>277</v>
      </c>
      <c r="AA48" s="12" t="s">
        <v>277</v>
      </c>
      <c r="AB48" s="12" t="s">
        <v>277</v>
      </c>
      <c r="AC48" s="12" t="s">
        <v>277</v>
      </c>
      <c r="AD48" s="12" t="s">
        <v>277</v>
      </c>
      <c r="AE48" s="12" t="s">
        <v>277</v>
      </c>
      <c r="AF48" s="12" t="s">
        <v>277</v>
      </c>
      <c r="AG48" s="12" t="s">
        <v>277</v>
      </c>
      <c r="AH48" s="12" t="s">
        <v>277</v>
      </c>
      <c r="AI48" s="12" t="s">
        <v>277</v>
      </c>
      <c r="AJ48" s="12" t="s">
        <v>277</v>
      </c>
      <c r="AK48" s="12" t="s">
        <v>277</v>
      </c>
      <c r="AL48" s="12" t="s">
        <v>277</v>
      </c>
      <c r="AM48" s="12" t="s">
        <v>277</v>
      </c>
      <c r="AN48" s="12" t="s">
        <v>277</v>
      </c>
      <c r="AO48" s="12" t="s">
        <v>277</v>
      </c>
      <c r="AP48" s="12" t="s">
        <v>277</v>
      </c>
      <c r="AQ48" s="12" t="s">
        <v>277</v>
      </c>
      <c r="AR48" s="12" t="s">
        <v>277</v>
      </c>
      <c r="AS48" s="12" t="s">
        <v>277</v>
      </c>
      <c r="AT48" s="12" t="s">
        <v>277</v>
      </c>
      <c r="AU48" s="12" t="s">
        <v>277</v>
      </c>
      <c r="AV48" s="12" t="s">
        <v>277</v>
      </c>
      <c r="AW48" s="12" t="s">
        <v>277</v>
      </c>
      <c r="AX48" s="12" t="s">
        <v>277</v>
      </c>
      <c r="AY48" s="12" t="s">
        <v>277</v>
      </c>
      <c r="AZ48" s="12" t="s">
        <v>277</v>
      </c>
      <c r="BA48" s="12" t="s">
        <v>277</v>
      </c>
      <c r="BB48" s="12" t="s">
        <v>277</v>
      </c>
      <c r="BC48" s="12" t="s">
        <v>277</v>
      </c>
      <c r="BD48" s="12" t="s">
        <v>322</v>
      </c>
      <c r="BE48" s="12" t="s">
        <v>322</v>
      </c>
      <c r="BF48" s="12" t="s">
        <v>322</v>
      </c>
      <c r="BG48" s="12" t="s">
        <v>281</v>
      </c>
      <c r="BH48" s="12" t="s">
        <v>281</v>
      </c>
      <c r="BI48" s="12" t="s">
        <v>454</v>
      </c>
      <c r="BJ48" s="12" t="s">
        <v>283</v>
      </c>
      <c r="BK48" s="12" t="s">
        <v>374</v>
      </c>
      <c r="BL48" s="12" t="s">
        <v>375</v>
      </c>
      <c r="BM48" s="12" t="s">
        <v>508</v>
      </c>
      <c r="BN48" s="12" t="s">
        <v>672</v>
      </c>
      <c r="BO48" s="12" t="s">
        <v>674</v>
      </c>
      <c r="BP48" s="12" t="s">
        <v>674</v>
      </c>
      <c r="BQ48" s="12" t="s">
        <v>824</v>
      </c>
      <c r="BR48" s="12" t="s">
        <v>824</v>
      </c>
      <c r="BS48" s="12" t="s">
        <v>572</v>
      </c>
      <c r="BT48" s="12" t="s">
        <v>1301</v>
      </c>
      <c r="BU48" s="12" t="s">
        <v>1301</v>
      </c>
      <c r="BV48" s="12" t="s">
        <v>620</v>
      </c>
      <c r="BW48" s="12" t="s">
        <v>1121</v>
      </c>
      <c r="BX48" s="12" t="s">
        <v>1302</v>
      </c>
      <c r="BY48" s="12" t="s">
        <v>1303</v>
      </c>
      <c r="BZ48" s="12" t="s">
        <v>1303</v>
      </c>
      <c r="CA48" s="12" t="s">
        <v>515</v>
      </c>
      <c r="CB48" s="12" t="s">
        <v>515</v>
      </c>
      <c r="CC48" s="12" t="s">
        <v>1304</v>
      </c>
      <c r="CD48" s="12" t="s">
        <v>1304</v>
      </c>
      <c r="CE48" s="12" t="s">
        <v>1158</v>
      </c>
      <c r="CF48" s="12" t="s">
        <v>828</v>
      </c>
      <c r="CG48" s="12" t="s">
        <v>1305</v>
      </c>
      <c r="CH48" s="12" t="s">
        <v>797</v>
      </c>
      <c r="CI48" s="12" t="s">
        <v>965</v>
      </c>
      <c r="CJ48" s="12" t="s">
        <v>965</v>
      </c>
      <c r="CK48" s="12" t="s">
        <v>346</v>
      </c>
      <c r="CL48" s="12" t="s">
        <v>657</v>
      </c>
      <c r="CM48" s="12" t="s">
        <v>575</v>
      </c>
      <c r="CN48" s="12" t="s">
        <v>1306</v>
      </c>
      <c r="CO48" s="12" t="s">
        <v>1307</v>
      </c>
      <c r="CP48" s="12" t="s">
        <v>1308</v>
      </c>
      <c r="CQ48" s="12" t="s">
        <v>1309</v>
      </c>
      <c r="CR48" s="12" t="s">
        <v>1310</v>
      </c>
      <c r="CS48" s="12" t="s">
        <v>1064</v>
      </c>
      <c r="CT48" s="12" t="s">
        <v>1311</v>
      </c>
      <c r="CU48" s="12" t="s">
        <v>299</v>
      </c>
      <c r="CV48" s="12" t="s">
        <v>576</v>
      </c>
      <c r="CW48" s="12" t="s">
        <v>4116</v>
      </c>
      <c r="CX48" s="12" t="s">
        <v>1387</v>
      </c>
    </row>
    <row r="49" spans="1:102" hidden="1" x14ac:dyDescent="0.3">
      <c r="A49" s="12" t="s">
        <v>12</v>
      </c>
      <c r="B49" s="12" t="s">
        <v>1312</v>
      </c>
      <c r="C49" s="12" t="s">
        <v>1313</v>
      </c>
      <c r="D49" s="12" t="s">
        <v>1314</v>
      </c>
      <c r="E49" s="12" t="s">
        <v>277</v>
      </c>
      <c r="F49" s="12" t="s">
        <v>277</v>
      </c>
      <c r="G49" s="12" t="s">
        <v>277</v>
      </c>
      <c r="H49" s="12" t="s">
        <v>277</v>
      </c>
      <c r="I49" s="12" t="s">
        <v>277</v>
      </c>
      <c r="J49" s="12" t="s">
        <v>277</v>
      </c>
      <c r="K49" s="12" t="s">
        <v>277</v>
      </c>
      <c r="L49" s="12" t="s">
        <v>277</v>
      </c>
      <c r="M49" s="12" t="s">
        <v>277</v>
      </c>
      <c r="N49" s="12" t="s">
        <v>277</v>
      </c>
      <c r="O49" s="12" t="s">
        <v>277</v>
      </c>
      <c r="P49" s="12" t="s">
        <v>277</v>
      </c>
      <c r="Q49" s="12" t="s">
        <v>277</v>
      </c>
      <c r="R49" s="12" t="s">
        <v>277</v>
      </c>
      <c r="S49" s="12" t="s">
        <v>277</v>
      </c>
      <c r="T49" s="12" t="s">
        <v>277</v>
      </c>
      <c r="U49" s="12" t="s">
        <v>277</v>
      </c>
      <c r="V49" s="12" t="s">
        <v>277</v>
      </c>
      <c r="W49" s="12" t="s">
        <v>277</v>
      </c>
      <c r="X49" s="12" t="s">
        <v>277</v>
      </c>
      <c r="Y49" s="12" t="s">
        <v>277</v>
      </c>
      <c r="Z49" s="12" t="s">
        <v>277</v>
      </c>
      <c r="AA49" s="12" t="s">
        <v>277</v>
      </c>
      <c r="AB49" s="12" t="s">
        <v>277</v>
      </c>
      <c r="AC49" s="12" t="s">
        <v>277</v>
      </c>
      <c r="AD49" s="12" t="s">
        <v>277</v>
      </c>
      <c r="AE49" s="12" t="s">
        <v>277</v>
      </c>
      <c r="AF49" s="12" t="s">
        <v>277</v>
      </c>
      <c r="AG49" s="12" t="s">
        <v>277</v>
      </c>
      <c r="AH49" s="12" t="s">
        <v>277</v>
      </c>
      <c r="AI49" s="12" t="s">
        <v>277</v>
      </c>
      <c r="AJ49" s="12" t="s">
        <v>277</v>
      </c>
      <c r="AK49" s="12" t="s">
        <v>277</v>
      </c>
      <c r="AL49" s="12" t="s">
        <v>277</v>
      </c>
      <c r="AM49" s="12" t="s">
        <v>277</v>
      </c>
      <c r="AN49" s="12" t="s">
        <v>277</v>
      </c>
      <c r="AO49" s="12" t="s">
        <v>277</v>
      </c>
      <c r="AP49" s="12" t="s">
        <v>277</v>
      </c>
      <c r="AQ49" s="12" t="s">
        <v>277</v>
      </c>
      <c r="AR49" s="12" t="s">
        <v>277</v>
      </c>
      <c r="AS49" s="12" t="s">
        <v>277</v>
      </c>
      <c r="AT49" s="12" t="s">
        <v>277</v>
      </c>
      <c r="AU49" s="12" t="s">
        <v>277</v>
      </c>
      <c r="AV49" s="12" t="s">
        <v>277</v>
      </c>
      <c r="AW49" s="12" t="s">
        <v>277</v>
      </c>
      <c r="AX49" s="12" t="s">
        <v>277</v>
      </c>
      <c r="AY49" s="12" t="s">
        <v>277</v>
      </c>
      <c r="AZ49" s="12" t="s">
        <v>277</v>
      </c>
      <c r="BA49" s="12" t="s">
        <v>277</v>
      </c>
      <c r="BB49" s="12" t="s">
        <v>277</v>
      </c>
      <c r="BC49" s="12" t="s">
        <v>277</v>
      </c>
      <c r="BD49" s="12" t="s">
        <v>277</v>
      </c>
      <c r="BE49" s="12" t="s">
        <v>277</v>
      </c>
      <c r="BF49" s="12" t="s">
        <v>278</v>
      </c>
      <c r="BG49" s="12" t="s">
        <v>278</v>
      </c>
      <c r="BH49" s="12" t="s">
        <v>278</v>
      </c>
      <c r="BI49" s="12" t="s">
        <v>278</v>
      </c>
      <c r="BJ49" s="12" t="s">
        <v>278</v>
      </c>
      <c r="BK49" s="12" t="s">
        <v>371</v>
      </c>
      <c r="BL49" s="12" t="s">
        <v>371</v>
      </c>
      <c r="BM49" s="12" t="s">
        <v>371</v>
      </c>
      <c r="BN49" s="12" t="s">
        <v>371</v>
      </c>
      <c r="BO49" s="12" t="s">
        <v>371</v>
      </c>
      <c r="BP49" s="12" t="s">
        <v>371</v>
      </c>
      <c r="BQ49" s="12" t="s">
        <v>371</v>
      </c>
      <c r="BR49" s="12" t="s">
        <v>371</v>
      </c>
      <c r="BS49" s="12" t="s">
        <v>371</v>
      </c>
      <c r="BT49" s="12" t="s">
        <v>371</v>
      </c>
      <c r="BU49" s="12" t="s">
        <v>371</v>
      </c>
      <c r="BV49" s="12" t="s">
        <v>371</v>
      </c>
      <c r="BW49" s="12" t="s">
        <v>371</v>
      </c>
      <c r="BX49" s="12" t="s">
        <v>371</v>
      </c>
      <c r="BY49" s="12" t="s">
        <v>454</v>
      </c>
      <c r="BZ49" s="12" t="s">
        <v>454</v>
      </c>
      <c r="CA49" s="12" t="s">
        <v>454</v>
      </c>
      <c r="CB49" s="12" t="s">
        <v>454</v>
      </c>
      <c r="CC49" s="12" t="s">
        <v>454</v>
      </c>
      <c r="CD49" s="12" t="s">
        <v>454</v>
      </c>
      <c r="CE49" s="12" t="s">
        <v>454</v>
      </c>
      <c r="CF49" s="12" t="s">
        <v>454</v>
      </c>
      <c r="CG49" s="12" t="s">
        <v>454</v>
      </c>
      <c r="CH49" s="12" t="s">
        <v>454</v>
      </c>
      <c r="CI49" s="12" t="s">
        <v>282</v>
      </c>
      <c r="CJ49" s="12" t="s">
        <v>282</v>
      </c>
      <c r="CK49" s="12" t="s">
        <v>324</v>
      </c>
      <c r="CL49" s="12" t="s">
        <v>324</v>
      </c>
      <c r="CM49" s="12" t="s">
        <v>324</v>
      </c>
      <c r="CN49" s="12" t="s">
        <v>324</v>
      </c>
      <c r="CO49" s="12" t="s">
        <v>324</v>
      </c>
      <c r="CP49" s="12" t="s">
        <v>324</v>
      </c>
      <c r="CQ49" s="12" t="s">
        <v>455</v>
      </c>
      <c r="CR49" s="12" t="s">
        <v>455</v>
      </c>
      <c r="CS49" s="12" t="s">
        <v>283</v>
      </c>
      <c r="CT49" s="12" t="s">
        <v>283</v>
      </c>
      <c r="CU49" s="12" t="s">
        <v>283</v>
      </c>
      <c r="CV49" s="12" t="s">
        <v>373</v>
      </c>
      <c r="CW49" s="12" t="s">
        <v>373</v>
      </c>
      <c r="CX49" s="12" t="s">
        <v>653</v>
      </c>
    </row>
    <row r="50" spans="1:102" hidden="1" x14ac:dyDescent="0.3">
      <c r="A50" s="12" t="s">
        <v>12</v>
      </c>
      <c r="B50" s="12" t="s">
        <v>1315</v>
      </c>
      <c r="C50" s="12" t="s">
        <v>1316</v>
      </c>
      <c r="D50" s="12" t="s">
        <v>1317</v>
      </c>
      <c r="E50" s="12" t="s">
        <v>277</v>
      </c>
      <c r="F50" s="12" t="s">
        <v>277</v>
      </c>
      <c r="G50" s="12" t="s">
        <v>277</v>
      </c>
      <c r="H50" s="12" t="s">
        <v>277</v>
      </c>
      <c r="I50" s="12" t="s">
        <v>277</v>
      </c>
      <c r="J50" s="12" t="s">
        <v>277</v>
      </c>
      <c r="K50" s="12" t="s">
        <v>277</v>
      </c>
      <c r="L50" s="12" t="s">
        <v>277</v>
      </c>
      <c r="M50" s="12" t="s">
        <v>277</v>
      </c>
      <c r="N50" s="12" t="s">
        <v>277</v>
      </c>
      <c r="O50" s="12" t="s">
        <v>277</v>
      </c>
      <c r="P50" s="12" t="s">
        <v>277</v>
      </c>
      <c r="Q50" s="12" t="s">
        <v>277</v>
      </c>
      <c r="R50" s="12" t="s">
        <v>277</v>
      </c>
      <c r="S50" s="12" t="s">
        <v>277</v>
      </c>
      <c r="T50" s="12" t="s">
        <v>277</v>
      </c>
      <c r="U50" s="12" t="s">
        <v>277</v>
      </c>
      <c r="V50" s="12" t="s">
        <v>277</v>
      </c>
      <c r="W50" s="12" t="s">
        <v>277</v>
      </c>
      <c r="X50" s="12" t="s">
        <v>277</v>
      </c>
      <c r="Y50" s="12" t="s">
        <v>277</v>
      </c>
      <c r="Z50" s="12" t="s">
        <v>277</v>
      </c>
      <c r="AA50" s="12" t="s">
        <v>277</v>
      </c>
      <c r="AB50" s="12" t="s">
        <v>277</v>
      </c>
      <c r="AC50" s="12" t="s">
        <v>277</v>
      </c>
      <c r="AD50" s="12" t="s">
        <v>277</v>
      </c>
      <c r="AE50" s="12" t="s">
        <v>277</v>
      </c>
      <c r="AF50" s="12" t="s">
        <v>277</v>
      </c>
      <c r="AG50" s="12" t="s">
        <v>277</v>
      </c>
      <c r="AH50" s="12" t="s">
        <v>277</v>
      </c>
      <c r="AI50" s="12" t="s">
        <v>277</v>
      </c>
      <c r="AJ50" s="12" t="s">
        <v>277</v>
      </c>
      <c r="AK50" s="12" t="s">
        <v>277</v>
      </c>
      <c r="AL50" s="12" t="s">
        <v>277</v>
      </c>
      <c r="AM50" s="12" t="s">
        <v>277</v>
      </c>
      <c r="AN50" s="12" t="s">
        <v>277</v>
      </c>
      <c r="AO50" s="12" t="s">
        <v>277</v>
      </c>
      <c r="AP50" s="12" t="s">
        <v>277</v>
      </c>
      <c r="AQ50" s="12" t="s">
        <v>277</v>
      </c>
      <c r="AR50" s="12" t="s">
        <v>277</v>
      </c>
      <c r="AS50" s="12" t="s">
        <v>277</v>
      </c>
      <c r="AT50" s="12" t="s">
        <v>277</v>
      </c>
      <c r="AU50" s="12" t="s">
        <v>277</v>
      </c>
      <c r="AV50" s="12" t="s">
        <v>277</v>
      </c>
      <c r="AW50" s="12" t="s">
        <v>277</v>
      </c>
      <c r="AX50" s="12" t="s">
        <v>277</v>
      </c>
      <c r="AY50" s="12" t="s">
        <v>277</v>
      </c>
      <c r="AZ50" s="12" t="s">
        <v>277</v>
      </c>
      <c r="BA50" s="12" t="s">
        <v>277</v>
      </c>
      <c r="BB50" s="12" t="s">
        <v>277</v>
      </c>
      <c r="BC50" s="12" t="s">
        <v>277</v>
      </c>
      <c r="BD50" s="12" t="s">
        <v>277</v>
      </c>
      <c r="BE50" s="12" t="s">
        <v>277</v>
      </c>
      <c r="BF50" s="12" t="s">
        <v>277</v>
      </c>
      <c r="BG50" s="12" t="s">
        <v>277</v>
      </c>
      <c r="BH50" s="12" t="s">
        <v>277</v>
      </c>
      <c r="BI50" s="12" t="s">
        <v>277</v>
      </c>
      <c r="BJ50" s="12" t="s">
        <v>278</v>
      </c>
      <c r="BK50" s="12" t="s">
        <v>278</v>
      </c>
      <c r="BL50" s="12" t="s">
        <v>278</v>
      </c>
      <c r="BM50" s="12" t="s">
        <v>278</v>
      </c>
      <c r="BN50" s="12" t="s">
        <v>278</v>
      </c>
      <c r="BO50" s="12" t="s">
        <v>371</v>
      </c>
      <c r="BP50" s="12" t="s">
        <v>371</v>
      </c>
      <c r="BQ50" s="12" t="s">
        <v>371</v>
      </c>
      <c r="BR50" s="12" t="s">
        <v>371</v>
      </c>
      <c r="BS50" s="12" t="s">
        <v>371</v>
      </c>
      <c r="BT50" s="12" t="s">
        <v>371</v>
      </c>
      <c r="BU50" s="12" t="s">
        <v>280</v>
      </c>
      <c r="BV50" s="12" t="s">
        <v>281</v>
      </c>
      <c r="BW50" s="12" t="s">
        <v>281</v>
      </c>
      <c r="BX50" s="12" t="s">
        <v>454</v>
      </c>
      <c r="BY50" s="12" t="s">
        <v>454</v>
      </c>
      <c r="BZ50" s="12" t="s">
        <v>460</v>
      </c>
      <c r="CA50" s="12" t="s">
        <v>460</v>
      </c>
      <c r="CB50" s="12" t="s">
        <v>460</v>
      </c>
      <c r="CC50" s="12" t="s">
        <v>323</v>
      </c>
      <c r="CD50" s="12" t="s">
        <v>323</v>
      </c>
      <c r="CE50" s="12" t="s">
        <v>282</v>
      </c>
      <c r="CF50" s="12" t="s">
        <v>282</v>
      </c>
      <c r="CG50" s="12" t="s">
        <v>282</v>
      </c>
      <c r="CH50" s="12" t="s">
        <v>507</v>
      </c>
      <c r="CI50" s="12" t="s">
        <v>325</v>
      </c>
      <c r="CJ50" s="12" t="s">
        <v>325</v>
      </c>
      <c r="CK50" s="12" t="s">
        <v>325</v>
      </c>
      <c r="CL50" s="12" t="s">
        <v>612</v>
      </c>
      <c r="CM50" s="12" t="s">
        <v>612</v>
      </c>
      <c r="CN50" s="12" t="s">
        <v>326</v>
      </c>
      <c r="CO50" s="12" t="s">
        <v>326</v>
      </c>
      <c r="CP50" s="12" t="s">
        <v>326</v>
      </c>
      <c r="CQ50" s="12" t="s">
        <v>326</v>
      </c>
      <c r="CR50" s="12" t="s">
        <v>326</v>
      </c>
      <c r="CS50" s="12" t="s">
        <v>326</v>
      </c>
      <c r="CT50" s="12" t="s">
        <v>287</v>
      </c>
      <c r="CU50" s="12" t="s">
        <v>617</v>
      </c>
      <c r="CV50" s="12" t="s">
        <v>617</v>
      </c>
      <c r="CW50" s="12" t="s">
        <v>617</v>
      </c>
      <c r="CX50" s="12" t="s">
        <v>508</v>
      </c>
    </row>
    <row r="51" spans="1:102" hidden="1" x14ac:dyDescent="0.3">
      <c r="A51" s="12" t="s">
        <v>12</v>
      </c>
      <c r="B51" s="12" t="s">
        <v>1318</v>
      </c>
      <c r="C51" s="12" t="s">
        <v>1319</v>
      </c>
      <c r="D51" s="12" t="s">
        <v>1320</v>
      </c>
      <c r="E51" s="12" t="s">
        <v>277</v>
      </c>
      <c r="F51" s="12" t="s">
        <v>277</v>
      </c>
      <c r="G51" s="12" t="s">
        <v>277</v>
      </c>
      <c r="H51" s="12" t="s">
        <v>277</v>
      </c>
      <c r="I51" s="12" t="s">
        <v>277</v>
      </c>
      <c r="J51" s="12" t="s">
        <v>277</v>
      </c>
      <c r="K51" s="12" t="s">
        <v>277</v>
      </c>
      <c r="L51" s="12" t="s">
        <v>277</v>
      </c>
      <c r="M51" s="12" t="s">
        <v>277</v>
      </c>
      <c r="N51" s="12" t="s">
        <v>277</v>
      </c>
      <c r="O51" s="12" t="s">
        <v>277</v>
      </c>
      <c r="P51" s="12" t="s">
        <v>277</v>
      </c>
      <c r="Q51" s="12" t="s">
        <v>277</v>
      </c>
      <c r="R51" s="12" t="s">
        <v>277</v>
      </c>
      <c r="S51" s="12" t="s">
        <v>277</v>
      </c>
      <c r="T51" s="12" t="s">
        <v>277</v>
      </c>
      <c r="U51" s="12" t="s">
        <v>277</v>
      </c>
      <c r="V51" s="12" t="s">
        <v>277</v>
      </c>
      <c r="W51" s="12" t="s">
        <v>277</v>
      </c>
      <c r="X51" s="12" t="s">
        <v>277</v>
      </c>
      <c r="Y51" s="12" t="s">
        <v>277</v>
      </c>
      <c r="Z51" s="12" t="s">
        <v>277</v>
      </c>
      <c r="AA51" s="12" t="s">
        <v>277</v>
      </c>
      <c r="AB51" s="12" t="s">
        <v>277</v>
      </c>
      <c r="AC51" s="12" t="s">
        <v>277</v>
      </c>
      <c r="AD51" s="12" t="s">
        <v>277</v>
      </c>
      <c r="AE51" s="12" t="s">
        <v>277</v>
      </c>
      <c r="AF51" s="12" t="s">
        <v>277</v>
      </c>
      <c r="AG51" s="12" t="s">
        <v>277</v>
      </c>
      <c r="AH51" s="12" t="s">
        <v>277</v>
      </c>
      <c r="AI51" s="12" t="s">
        <v>277</v>
      </c>
      <c r="AJ51" s="12" t="s">
        <v>277</v>
      </c>
      <c r="AK51" s="12" t="s">
        <v>277</v>
      </c>
      <c r="AL51" s="12" t="s">
        <v>277</v>
      </c>
      <c r="AM51" s="12" t="s">
        <v>277</v>
      </c>
      <c r="AN51" s="12" t="s">
        <v>277</v>
      </c>
      <c r="AO51" s="12" t="s">
        <v>277</v>
      </c>
      <c r="AP51" s="12" t="s">
        <v>277</v>
      </c>
      <c r="AQ51" s="12" t="s">
        <v>277</v>
      </c>
      <c r="AR51" s="12" t="s">
        <v>277</v>
      </c>
      <c r="AS51" s="12" t="s">
        <v>277</v>
      </c>
      <c r="AT51" s="12" t="s">
        <v>278</v>
      </c>
      <c r="AU51" s="12" t="s">
        <v>278</v>
      </c>
      <c r="AV51" s="12" t="s">
        <v>279</v>
      </c>
      <c r="AW51" s="12" t="s">
        <v>279</v>
      </c>
      <c r="AX51" s="12" t="s">
        <v>279</v>
      </c>
      <c r="AY51" s="12" t="s">
        <v>454</v>
      </c>
      <c r="AZ51" s="12" t="s">
        <v>454</v>
      </c>
      <c r="BA51" s="12" t="s">
        <v>567</v>
      </c>
      <c r="BB51" s="12" t="s">
        <v>325</v>
      </c>
      <c r="BC51" s="12" t="s">
        <v>325</v>
      </c>
      <c r="BD51" s="12" t="s">
        <v>958</v>
      </c>
      <c r="BE51" s="12" t="s">
        <v>618</v>
      </c>
      <c r="BF51" s="12" t="s">
        <v>288</v>
      </c>
      <c r="BG51" s="12" t="s">
        <v>1321</v>
      </c>
      <c r="BH51" s="12" t="s">
        <v>383</v>
      </c>
      <c r="BI51" s="12" t="s">
        <v>1322</v>
      </c>
      <c r="BJ51" s="12" t="s">
        <v>1322</v>
      </c>
      <c r="BK51" s="12" t="s">
        <v>1323</v>
      </c>
      <c r="BL51" s="12" t="s">
        <v>1324</v>
      </c>
      <c r="BM51" s="12" t="s">
        <v>1325</v>
      </c>
      <c r="BN51" s="12" t="s">
        <v>1326</v>
      </c>
      <c r="BO51" s="12" t="s">
        <v>1327</v>
      </c>
      <c r="BP51" s="12" t="s">
        <v>1328</v>
      </c>
      <c r="BQ51" s="12" t="s">
        <v>1329</v>
      </c>
      <c r="BR51" s="12" t="s">
        <v>1330</v>
      </c>
      <c r="BS51" s="12" t="s">
        <v>1331</v>
      </c>
      <c r="BT51" s="12" t="s">
        <v>1332</v>
      </c>
      <c r="BU51" s="12" t="s">
        <v>1333</v>
      </c>
      <c r="BV51" s="12" t="s">
        <v>1334</v>
      </c>
      <c r="BW51" s="12" t="s">
        <v>500</v>
      </c>
      <c r="BX51" s="12" t="s">
        <v>1335</v>
      </c>
      <c r="BY51" s="12" t="s">
        <v>1336</v>
      </c>
      <c r="BZ51" s="12" t="s">
        <v>1337</v>
      </c>
      <c r="CA51" s="12" t="s">
        <v>1338</v>
      </c>
      <c r="CB51" s="12" t="s">
        <v>1339</v>
      </c>
      <c r="CC51" s="12" t="s">
        <v>1340</v>
      </c>
      <c r="CD51" s="12" t="s">
        <v>1341</v>
      </c>
      <c r="CE51" s="12" t="s">
        <v>1342</v>
      </c>
      <c r="CF51" s="12" t="s">
        <v>1343</v>
      </c>
      <c r="CG51" s="12" t="s">
        <v>1344</v>
      </c>
      <c r="CH51" s="12" t="s">
        <v>1345</v>
      </c>
      <c r="CI51" s="12" t="s">
        <v>1346</v>
      </c>
      <c r="CJ51" s="12" t="s">
        <v>1347</v>
      </c>
      <c r="CK51" s="12" t="s">
        <v>1348</v>
      </c>
      <c r="CL51" s="12" t="s">
        <v>1349</v>
      </c>
      <c r="CM51" s="12" t="s">
        <v>1350</v>
      </c>
      <c r="CN51" s="12" t="s">
        <v>1351</v>
      </c>
      <c r="CO51" s="12" t="s">
        <v>1352</v>
      </c>
      <c r="CP51" s="12" t="s">
        <v>1353</v>
      </c>
      <c r="CQ51" s="12" t="s">
        <v>1354</v>
      </c>
      <c r="CR51" s="12" t="s">
        <v>1355</v>
      </c>
      <c r="CS51" s="12" t="s">
        <v>1356</v>
      </c>
      <c r="CT51" s="12" t="s">
        <v>1357</v>
      </c>
      <c r="CU51" s="12" t="s">
        <v>4117</v>
      </c>
      <c r="CV51" s="12" t="s">
        <v>4118</v>
      </c>
      <c r="CW51" s="12" t="s">
        <v>4119</v>
      </c>
      <c r="CX51" s="12" t="s">
        <v>4120</v>
      </c>
    </row>
    <row r="52" spans="1:102" hidden="1" x14ac:dyDescent="0.3">
      <c r="A52" s="12" t="s">
        <v>1358</v>
      </c>
      <c r="B52" s="12" t="s">
        <v>1359</v>
      </c>
      <c r="C52" s="12" t="s">
        <v>1360</v>
      </c>
      <c r="D52" s="12" t="s">
        <v>1361</v>
      </c>
      <c r="E52" s="12" t="s">
        <v>278</v>
      </c>
      <c r="F52" s="12" t="s">
        <v>460</v>
      </c>
      <c r="G52" s="12" t="s">
        <v>461</v>
      </c>
      <c r="H52" s="12" t="s">
        <v>417</v>
      </c>
      <c r="I52" s="12" t="s">
        <v>379</v>
      </c>
      <c r="J52" s="12" t="s">
        <v>333</v>
      </c>
      <c r="K52" s="12" t="s">
        <v>1362</v>
      </c>
      <c r="L52" s="12" t="s">
        <v>884</v>
      </c>
      <c r="M52" s="12" t="s">
        <v>684</v>
      </c>
      <c r="N52" s="12" t="s">
        <v>295</v>
      </c>
      <c r="O52" s="12" t="s">
        <v>1363</v>
      </c>
      <c r="P52" s="12" t="s">
        <v>1364</v>
      </c>
      <c r="Q52" s="12" t="s">
        <v>1365</v>
      </c>
      <c r="R52" s="12" t="s">
        <v>1366</v>
      </c>
      <c r="S52" s="12" t="s">
        <v>1367</v>
      </c>
      <c r="T52" s="12" t="s">
        <v>1368</v>
      </c>
      <c r="U52" s="12" t="s">
        <v>307</v>
      </c>
      <c r="V52" s="12" t="s">
        <v>1369</v>
      </c>
      <c r="W52" s="12" t="s">
        <v>1370</v>
      </c>
      <c r="X52" s="12" t="s">
        <v>1371</v>
      </c>
      <c r="Y52" s="12" t="s">
        <v>751</v>
      </c>
      <c r="Z52" s="12" t="s">
        <v>1372</v>
      </c>
      <c r="AA52" s="12" t="s">
        <v>1373</v>
      </c>
      <c r="AB52" s="12" t="s">
        <v>635</v>
      </c>
      <c r="AC52" s="12" t="s">
        <v>1374</v>
      </c>
      <c r="AD52" s="12" t="s">
        <v>1375</v>
      </c>
      <c r="AE52" s="12" t="s">
        <v>1376</v>
      </c>
      <c r="AF52" s="12" t="s">
        <v>1377</v>
      </c>
      <c r="AG52" s="12" t="s">
        <v>391</v>
      </c>
      <c r="AH52" s="12" t="s">
        <v>641</v>
      </c>
      <c r="AI52" s="12" t="s">
        <v>1378</v>
      </c>
      <c r="AJ52" s="12" t="s">
        <v>1379</v>
      </c>
      <c r="AK52" s="12" t="s">
        <v>1379</v>
      </c>
      <c r="AL52" s="12" t="s">
        <v>1379</v>
      </c>
      <c r="AM52" s="12" t="s">
        <v>1379</v>
      </c>
      <c r="AN52" s="12" t="s">
        <v>1379</v>
      </c>
      <c r="AO52" s="12" t="s">
        <v>1379</v>
      </c>
      <c r="AP52" s="12" t="s">
        <v>1380</v>
      </c>
      <c r="AQ52" s="12" t="s">
        <v>1380</v>
      </c>
      <c r="AR52" s="12" t="s">
        <v>1380</v>
      </c>
      <c r="AS52" s="12" t="s">
        <v>1380</v>
      </c>
      <c r="AT52" s="12" t="s">
        <v>1380</v>
      </c>
      <c r="AU52" s="12" t="s">
        <v>1380</v>
      </c>
      <c r="AV52" s="12" t="s">
        <v>1380</v>
      </c>
      <c r="AW52" s="12" t="s">
        <v>1380</v>
      </c>
      <c r="AX52" s="12" t="s">
        <v>1380</v>
      </c>
      <c r="AY52" s="12" t="s">
        <v>1380</v>
      </c>
      <c r="AZ52" s="12" t="s">
        <v>1380</v>
      </c>
      <c r="BA52" s="12" t="s">
        <v>1380</v>
      </c>
      <c r="BB52" s="12" t="s">
        <v>1380</v>
      </c>
      <c r="BC52" s="12" t="s">
        <v>1380</v>
      </c>
      <c r="BD52" s="12" t="s">
        <v>1380</v>
      </c>
      <c r="BE52" s="12" t="s">
        <v>1380</v>
      </c>
      <c r="BF52" s="12" t="s">
        <v>1380</v>
      </c>
      <c r="BG52" s="12" t="s">
        <v>1380</v>
      </c>
      <c r="BH52" s="12" t="s">
        <v>1380</v>
      </c>
      <c r="BI52" s="12" t="s">
        <v>1380</v>
      </c>
      <c r="BJ52" s="12" t="s">
        <v>1380</v>
      </c>
      <c r="BK52" s="12" t="s">
        <v>1380</v>
      </c>
      <c r="BL52" s="12" t="s">
        <v>1380</v>
      </c>
      <c r="BM52" s="12" t="s">
        <v>1380</v>
      </c>
      <c r="BN52" s="12" t="s">
        <v>1380</v>
      </c>
      <c r="BO52" s="12" t="s">
        <v>1380</v>
      </c>
      <c r="BP52" s="12" t="s">
        <v>1380</v>
      </c>
      <c r="BQ52" s="12" t="s">
        <v>1380</v>
      </c>
      <c r="BR52" s="12" t="s">
        <v>1380</v>
      </c>
      <c r="BS52" s="12" t="s">
        <v>1380</v>
      </c>
      <c r="BT52" s="12" t="s">
        <v>1380</v>
      </c>
      <c r="BU52" s="12" t="s">
        <v>1380</v>
      </c>
      <c r="BV52" s="12" t="s">
        <v>1380</v>
      </c>
      <c r="BW52" s="12" t="s">
        <v>1380</v>
      </c>
      <c r="BX52" s="12" t="s">
        <v>1380</v>
      </c>
      <c r="BY52" s="12" t="s">
        <v>1380</v>
      </c>
      <c r="BZ52" s="12" t="s">
        <v>1380</v>
      </c>
      <c r="CA52" s="12" t="s">
        <v>1380</v>
      </c>
      <c r="CB52" s="12" t="s">
        <v>1380</v>
      </c>
      <c r="CC52" s="12" t="s">
        <v>1380</v>
      </c>
      <c r="CD52" s="12" t="s">
        <v>1380</v>
      </c>
      <c r="CE52" s="12" t="s">
        <v>801</v>
      </c>
      <c r="CF52" s="12" t="s">
        <v>801</v>
      </c>
      <c r="CG52" s="12" t="s">
        <v>801</v>
      </c>
      <c r="CH52" s="12" t="s">
        <v>801</v>
      </c>
      <c r="CI52" s="12" t="s">
        <v>801</v>
      </c>
      <c r="CJ52" s="12" t="s">
        <v>801</v>
      </c>
      <c r="CK52" s="12" t="s">
        <v>801</v>
      </c>
      <c r="CL52" s="12" t="s">
        <v>801</v>
      </c>
      <c r="CM52" s="12" t="s">
        <v>801</v>
      </c>
      <c r="CN52" s="12" t="s">
        <v>801</v>
      </c>
      <c r="CO52" s="12" t="s">
        <v>801</v>
      </c>
      <c r="CP52" s="12" t="s">
        <v>801</v>
      </c>
      <c r="CQ52" s="12" t="s">
        <v>801</v>
      </c>
      <c r="CR52" s="12" t="s">
        <v>801</v>
      </c>
      <c r="CS52" s="12" t="s">
        <v>801</v>
      </c>
      <c r="CT52" s="12" t="s">
        <v>801</v>
      </c>
      <c r="CU52" s="12" t="s">
        <v>801</v>
      </c>
      <c r="CV52" s="12" t="s">
        <v>801</v>
      </c>
      <c r="CW52" s="12" t="s">
        <v>801</v>
      </c>
      <c r="CX52" s="12" t="s">
        <v>801</v>
      </c>
    </row>
    <row r="53" spans="1:102" hidden="1" x14ac:dyDescent="0.3">
      <c r="A53" s="12" t="s">
        <v>1381</v>
      </c>
      <c r="B53" s="12" t="s">
        <v>1359</v>
      </c>
      <c r="C53" s="12" t="s">
        <v>1382</v>
      </c>
      <c r="D53" s="12" t="s">
        <v>1383</v>
      </c>
      <c r="E53" s="12" t="s">
        <v>455</v>
      </c>
      <c r="F53" s="12" t="s">
        <v>285</v>
      </c>
      <c r="G53" s="12" t="s">
        <v>670</v>
      </c>
      <c r="H53" s="12" t="s">
        <v>745</v>
      </c>
      <c r="I53" s="12" t="s">
        <v>469</v>
      </c>
      <c r="J53" s="12" t="s">
        <v>555</v>
      </c>
      <c r="K53" s="12" t="s">
        <v>556</v>
      </c>
      <c r="L53" s="12" t="s">
        <v>678</v>
      </c>
      <c r="M53" s="12" t="s">
        <v>1052</v>
      </c>
      <c r="N53" s="12" t="s">
        <v>382</v>
      </c>
      <c r="O53" s="12" t="s">
        <v>1384</v>
      </c>
      <c r="P53" s="12" t="s">
        <v>978</v>
      </c>
      <c r="Q53" s="12" t="s">
        <v>341</v>
      </c>
      <c r="R53" s="12" t="s">
        <v>826</v>
      </c>
      <c r="S53" s="12" t="s">
        <v>1189</v>
      </c>
      <c r="T53" s="12" t="s">
        <v>1385</v>
      </c>
      <c r="U53" s="12" t="s">
        <v>1363</v>
      </c>
      <c r="V53" s="12" t="s">
        <v>1307</v>
      </c>
      <c r="W53" s="12" t="s">
        <v>1310</v>
      </c>
      <c r="X53" s="12" t="s">
        <v>658</v>
      </c>
      <c r="Y53" s="12" t="s">
        <v>1217</v>
      </c>
      <c r="Z53" s="12" t="s">
        <v>1386</v>
      </c>
      <c r="AA53" s="12" t="s">
        <v>1387</v>
      </c>
      <c r="AB53" s="12" t="s">
        <v>1011</v>
      </c>
      <c r="AC53" s="12" t="s">
        <v>1388</v>
      </c>
      <c r="AD53" s="12" t="s">
        <v>1389</v>
      </c>
      <c r="AE53" s="12" t="s">
        <v>1390</v>
      </c>
      <c r="AF53" s="12" t="s">
        <v>476</v>
      </c>
      <c r="AG53" s="12" t="s">
        <v>1391</v>
      </c>
      <c r="AH53" s="12" t="s">
        <v>1392</v>
      </c>
      <c r="AI53" s="12" t="s">
        <v>659</v>
      </c>
      <c r="AJ53" s="12" t="s">
        <v>1066</v>
      </c>
      <c r="AK53" s="12" t="s">
        <v>1066</v>
      </c>
      <c r="AL53" s="12" t="s">
        <v>1066</v>
      </c>
      <c r="AM53" s="12" t="s">
        <v>351</v>
      </c>
      <c r="AN53" s="12" t="s">
        <v>351</v>
      </c>
      <c r="AO53" s="12" t="s">
        <v>1393</v>
      </c>
      <c r="AP53" s="12" t="s">
        <v>1393</v>
      </c>
      <c r="AQ53" s="12" t="s">
        <v>660</v>
      </c>
      <c r="AR53" s="12" t="s">
        <v>1394</v>
      </c>
      <c r="AS53" s="12" t="s">
        <v>1098</v>
      </c>
      <c r="AT53" s="12" t="s">
        <v>1098</v>
      </c>
      <c r="AU53" s="12" t="s">
        <v>1395</v>
      </c>
      <c r="AV53" s="12" t="s">
        <v>1395</v>
      </c>
      <c r="AW53" s="12" t="s">
        <v>1067</v>
      </c>
      <c r="AX53" s="12" t="s">
        <v>1396</v>
      </c>
      <c r="AY53" s="12" t="s">
        <v>432</v>
      </c>
      <c r="AZ53" s="12" t="s">
        <v>432</v>
      </c>
      <c r="BA53" s="12" t="s">
        <v>663</v>
      </c>
      <c r="BB53" s="12" t="s">
        <v>664</v>
      </c>
      <c r="BC53" s="12" t="s">
        <v>664</v>
      </c>
      <c r="BD53" s="12" t="s">
        <v>577</v>
      </c>
      <c r="BE53" s="12" t="s">
        <v>665</v>
      </c>
      <c r="BF53" s="12" t="s">
        <v>1397</v>
      </c>
      <c r="BG53" s="12" t="s">
        <v>1398</v>
      </c>
      <c r="BH53" s="12" t="s">
        <v>1399</v>
      </c>
      <c r="BI53" s="12" t="s">
        <v>1400</v>
      </c>
      <c r="BJ53" s="12" t="s">
        <v>1366</v>
      </c>
      <c r="BK53" s="12" t="s">
        <v>1401</v>
      </c>
      <c r="BL53" s="12" t="s">
        <v>749</v>
      </c>
      <c r="BM53" s="12" t="s">
        <v>1402</v>
      </c>
      <c r="BN53" s="12" t="s">
        <v>1324</v>
      </c>
      <c r="BO53" s="12" t="s">
        <v>1403</v>
      </c>
      <c r="BP53" s="12" t="s">
        <v>1404</v>
      </c>
      <c r="BQ53" s="12" t="s">
        <v>1405</v>
      </c>
      <c r="BR53" s="12" t="s">
        <v>835</v>
      </c>
      <c r="BS53" s="12" t="s">
        <v>1406</v>
      </c>
      <c r="BT53" s="12" t="s">
        <v>1073</v>
      </c>
      <c r="BU53" s="12" t="s">
        <v>1073</v>
      </c>
      <c r="BV53" s="12" t="s">
        <v>1407</v>
      </c>
      <c r="BW53" s="12" t="s">
        <v>1407</v>
      </c>
      <c r="BX53" s="12" t="s">
        <v>1408</v>
      </c>
      <c r="BY53" s="12" t="s">
        <v>363</v>
      </c>
      <c r="BZ53" s="12" t="s">
        <v>1409</v>
      </c>
      <c r="CA53" s="12" t="s">
        <v>1410</v>
      </c>
      <c r="CB53" s="12" t="s">
        <v>1411</v>
      </c>
      <c r="CC53" s="12" t="s">
        <v>1411</v>
      </c>
      <c r="CD53" s="12" t="s">
        <v>1232</v>
      </c>
      <c r="CE53" s="12" t="s">
        <v>1232</v>
      </c>
      <c r="CF53" s="12" t="s">
        <v>1232</v>
      </c>
      <c r="CG53" s="12" t="s">
        <v>478</v>
      </c>
      <c r="CH53" s="12" t="s">
        <v>478</v>
      </c>
      <c r="CI53" s="12" t="s">
        <v>478</v>
      </c>
      <c r="CJ53" s="12" t="s">
        <v>478</v>
      </c>
      <c r="CK53" s="12" t="s">
        <v>1412</v>
      </c>
      <c r="CL53" s="12" t="s">
        <v>1074</v>
      </c>
      <c r="CM53" s="12" t="s">
        <v>1074</v>
      </c>
      <c r="CN53" s="12" t="s">
        <v>1074</v>
      </c>
      <c r="CO53" s="12" t="s">
        <v>1074</v>
      </c>
      <c r="CP53" s="12" t="s">
        <v>1074</v>
      </c>
      <c r="CQ53" s="12" t="s">
        <v>1074</v>
      </c>
      <c r="CR53" s="12" t="s">
        <v>1074</v>
      </c>
      <c r="CS53" s="12" t="s">
        <v>1074</v>
      </c>
      <c r="CT53" s="12" t="s">
        <v>1074</v>
      </c>
      <c r="CU53" s="12" t="s">
        <v>1074</v>
      </c>
      <c r="CV53" s="12" t="s">
        <v>1074</v>
      </c>
      <c r="CW53" s="12" t="s">
        <v>1074</v>
      </c>
      <c r="CX53" s="12" t="s">
        <v>1074</v>
      </c>
    </row>
    <row r="54" spans="1:102" hidden="1" x14ac:dyDescent="0.3">
      <c r="A54" s="12" t="s">
        <v>1413</v>
      </c>
      <c r="B54" s="12" t="s">
        <v>1359</v>
      </c>
      <c r="C54" s="12" t="s">
        <v>1414</v>
      </c>
      <c r="D54" s="12" t="s">
        <v>1415</v>
      </c>
      <c r="E54" s="12" t="s">
        <v>550</v>
      </c>
      <c r="F54" s="12" t="s">
        <v>460</v>
      </c>
      <c r="G54" s="12" t="s">
        <v>612</v>
      </c>
      <c r="H54" s="12" t="s">
        <v>691</v>
      </c>
      <c r="I54" s="12" t="s">
        <v>419</v>
      </c>
      <c r="J54" s="12" t="s">
        <v>291</v>
      </c>
      <c r="K54" s="12" t="s">
        <v>960</v>
      </c>
      <c r="L54" s="12" t="s">
        <v>1213</v>
      </c>
      <c r="M54" s="12" t="s">
        <v>747</v>
      </c>
      <c r="N54" s="12" t="s">
        <v>1416</v>
      </c>
      <c r="O54" s="12" t="s">
        <v>1208</v>
      </c>
      <c r="P54" s="12" t="s">
        <v>965</v>
      </c>
      <c r="Q54" s="12" t="s">
        <v>658</v>
      </c>
      <c r="R54" s="12" t="s">
        <v>1387</v>
      </c>
      <c r="S54" s="12" t="s">
        <v>1417</v>
      </c>
      <c r="T54" s="12" t="s">
        <v>660</v>
      </c>
      <c r="U54" s="12" t="s">
        <v>1396</v>
      </c>
      <c r="V54" s="12" t="s">
        <v>432</v>
      </c>
      <c r="W54" s="12" t="s">
        <v>1418</v>
      </c>
      <c r="X54" s="12" t="s">
        <v>1138</v>
      </c>
      <c r="Y54" s="12" t="s">
        <v>1419</v>
      </c>
      <c r="Z54" s="12" t="s">
        <v>359</v>
      </c>
      <c r="AA54" s="12" t="s">
        <v>1420</v>
      </c>
      <c r="AB54" s="12" t="s">
        <v>1324</v>
      </c>
      <c r="AC54" s="12" t="s">
        <v>740</v>
      </c>
      <c r="AD54" s="12" t="s">
        <v>1421</v>
      </c>
      <c r="AE54" s="12" t="s">
        <v>1422</v>
      </c>
      <c r="AF54" s="12" t="s">
        <v>305</v>
      </c>
      <c r="AG54" s="12" t="s">
        <v>1423</v>
      </c>
      <c r="AH54" s="12" t="s">
        <v>834</v>
      </c>
      <c r="AI54" s="12" t="s">
        <v>1424</v>
      </c>
      <c r="AJ54" s="12" t="s">
        <v>1406</v>
      </c>
      <c r="AK54" s="12" t="s">
        <v>1425</v>
      </c>
      <c r="AL54" s="12" t="s">
        <v>1104</v>
      </c>
      <c r="AM54" s="12" t="s">
        <v>1104</v>
      </c>
      <c r="AN54" s="12" t="s">
        <v>1104</v>
      </c>
      <c r="AO54" s="12" t="s">
        <v>1104</v>
      </c>
      <c r="AP54" s="12" t="s">
        <v>1104</v>
      </c>
      <c r="AQ54" s="12" t="s">
        <v>1104</v>
      </c>
      <c r="AR54" s="12" t="s">
        <v>1104</v>
      </c>
      <c r="AS54" s="12" t="s">
        <v>1104</v>
      </c>
      <c r="AT54" s="12" t="s">
        <v>1104</v>
      </c>
      <c r="AU54" s="12" t="s">
        <v>1104</v>
      </c>
      <c r="AV54" s="12" t="s">
        <v>1104</v>
      </c>
      <c r="AW54" s="12" t="s">
        <v>1104</v>
      </c>
      <c r="AX54" s="12" t="s">
        <v>1104</v>
      </c>
      <c r="AY54" s="12" t="s">
        <v>1104</v>
      </c>
      <c r="AZ54" s="12" t="s">
        <v>1104</v>
      </c>
      <c r="BA54" s="12" t="s">
        <v>1104</v>
      </c>
      <c r="BB54" s="12" t="s">
        <v>1104</v>
      </c>
      <c r="BC54" s="12" t="s">
        <v>1104</v>
      </c>
      <c r="BD54" s="12" t="s">
        <v>1104</v>
      </c>
      <c r="BE54" s="12" t="s">
        <v>1104</v>
      </c>
      <c r="BF54" s="12" t="s">
        <v>1104</v>
      </c>
      <c r="BG54" s="12" t="s">
        <v>1104</v>
      </c>
      <c r="BH54" s="12" t="s">
        <v>1104</v>
      </c>
      <c r="BI54" s="12" t="s">
        <v>1104</v>
      </c>
      <c r="BJ54" s="12" t="s">
        <v>1104</v>
      </c>
      <c r="BK54" s="12" t="s">
        <v>1104</v>
      </c>
      <c r="BL54" s="12" t="s">
        <v>1104</v>
      </c>
      <c r="BM54" s="12" t="s">
        <v>1073</v>
      </c>
      <c r="BN54" s="12" t="s">
        <v>1426</v>
      </c>
      <c r="BO54" s="12" t="s">
        <v>1426</v>
      </c>
      <c r="BP54" s="12" t="s">
        <v>1426</v>
      </c>
      <c r="BQ54" s="12" t="s">
        <v>1426</v>
      </c>
      <c r="BR54" s="12" t="s">
        <v>1426</v>
      </c>
      <c r="BS54" s="12" t="s">
        <v>1426</v>
      </c>
      <c r="BT54" s="12" t="s">
        <v>984</v>
      </c>
      <c r="BU54" s="12" t="s">
        <v>984</v>
      </c>
      <c r="BV54" s="12" t="s">
        <v>984</v>
      </c>
      <c r="BW54" s="12" t="s">
        <v>984</v>
      </c>
      <c r="BX54" s="12" t="s">
        <v>984</v>
      </c>
      <c r="BY54" s="12" t="s">
        <v>984</v>
      </c>
      <c r="BZ54" s="12" t="s">
        <v>984</v>
      </c>
      <c r="CA54" s="12" t="s">
        <v>984</v>
      </c>
      <c r="CB54" s="12" t="s">
        <v>984</v>
      </c>
      <c r="CC54" s="12" t="s">
        <v>984</v>
      </c>
      <c r="CD54" s="12" t="s">
        <v>984</v>
      </c>
      <c r="CE54" s="12" t="s">
        <v>984</v>
      </c>
      <c r="CF54" s="12" t="s">
        <v>984</v>
      </c>
      <c r="CG54" s="12" t="s">
        <v>984</v>
      </c>
      <c r="CH54" s="12" t="s">
        <v>984</v>
      </c>
      <c r="CI54" s="12" t="s">
        <v>984</v>
      </c>
      <c r="CJ54" s="12" t="s">
        <v>984</v>
      </c>
      <c r="CK54" s="12" t="s">
        <v>984</v>
      </c>
      <c r="CL54" s="12" t="s">
        <v>984</v>
      </c>
      <c r="CM54" s="12" t="s">
        <v>984</v>
      </c>
      <c r="CN54" s="12" t="s">
        <v>984</v>
      </c>
      <c r="CO54" s="12" t="s">
        <v>984</v>
      </c>
      <c r="CP54" s="12" t="s">
        <v>984</v>
      </c>
      <c r="CQ54" s="12" t="s">
        <v>984</v>
      </c>
      <c r="CR54" s="12" t="s">
        <v>984</v>
      </c>
      <c r="CS54" s="12" t="s">
        <v>984</v>
      </c>
      <c r="CT54" s="12" t="s">
        <v>984</v>
      </c>
      <c r="CU54" s="12" t="s">
        <v>984</v>
      </c>
      <c r="CV54" s="12" t="s">
        <v>984</v>
      </c>
      <c r="CW54" s="12" t="s">
        <v>984</v>
      </c>
      <c r="CX54" s="12" t="s">
        <v>984</v>
      </c>
    </row>
    <row r="55" spans="1:102" hidden="1" x14ac:dyDescent="0.3">
      <c r="A55" s="12" t="s">
        <v>1427</v>
      </c>
      <c r="B55" s="12" t="s">
        <v>1359</v>
      </c>
      <c r="C55" s="12" t="s">
        <v>1428</v>
      </c>
      <c r="D55" s="12" t="s">
        <v>1429</v>
      </c>
      <c r="E55" s="12" t="s">
        <v>278</v>
      </c>
      <c r="F55" s="12" t="s">
        <v>280</v>
      </c>
      <c r="G55" s="12" t="s">
        <v>323</v>
      </c>
      <c r="H55" s="12" t="s">
        <v>507</v>
      </c>
      <c r="I55" s="12" t="s">
        <v>616</v>
      </c>
      <c r="J55" s="12" t="s">
        <v>331</v>
      </c>
      <c r="K55" s="12" t="s">
        <v>555</v>
      </c>
      <c r="L55" s="12" t="s">
        <v>289</v>
      </c>
      <c r="M55" s="12" t="s">
        <v>1430</v>
      </c>
      <c r="N55" s="12" t="s">
        <v>292</v>
      </c>
      <c r="O55" s="12" t="s">
        <v>619</v>
      </c>
      <c r="P55" s="12" t="s">
        <v>1431</v>
      </c>
      <c r="Q55" s="12" t="s">
        <v>1432</v>
      </c>
      <c r="R55" s="12" t="s">
        <v>513</v>
      </c>
      <c r="S55" s="12" t="s">
        <v>685</v>
      </c>
      <c r="T55" s="12" t="s">
        <v>1433</v>
      </c>
      <c r="U55" s="12" t="s">
        <v>425</v>
      </c>
      <c r="V55" s="12" t="s">
        <v>908</v>
      </c>
      <c r="W55" s="12" t="s">
        <v>1188</v>
      </c>
      <c r="X55" s="12" t="s">
        <v>1092</v>
      </c>
      <c r="Y55" s="12" t="s">
        <v>426</v>
      </c>
      <c r="Z55" s="12" t="s">
        <v>1434</v>
      </c>
      <c r="AA55" s="12" t="s">
        <v>1435</v>
      </c>
      <c r="AB55" s="12" t="s">
        <v>297</v>
      </c>
      <c r="AC55" s="12" t="s">
        <v>828</v>
      </c>
      <c r="AD55" s="12" t="s">
        <v>656</v>
      </c>
      <c r="AE55" s="12" t="s">
        <v>517</v>
      </c>
      <c r="AF55" s="12" t="s">
        <v>1436</v>
      </c>
      <c r="AG55" s="12" t="s">
        <v>1063</v>
      </c>
      <c r="AH55" s="12" t="s">
        <v>1063</v>
      </c>
      <c r="AI55" s="12" t="s">
        <v>1063</v>
      </c>
      <c r="AJ55" s="12" t="s">
        <v>1063</v>
      </c>
      <c r="AK55" s="12" t="s">
        <v>1063</v>
      </c>
      <c r="AL55" s="12" t="s">
        <v>1063</v>
      </c>
      <c r="AM55" s="12" t="s">
        <v>1437</v>
      </c>
      <c r="AN55" s="12" t="s">
        <v>1437</v>
      </c>
      <c r="AO55" s="12" t="s">
        <v>1438</v>
      </c>
      <c r="AP55" s="12" t="s">
        <v>1438</v>
      </c>
      <c r="AQ55" s="12" t="s">
        <v>1438</v>
      </c>
      <c r="AR55" s="12" t="s">
        <v>1438</v>
      </c>
      <c r="AS55" s="12" t="s">
        <v>1438</v>
      </c>
      <c r="AT55" s="12" t="s">
        <v>1438</v>
      </c>
      <c r="AU55" s="12" t="s">
        <v>1438</v>
      </c>
      <c r="AV55" s="12" t="s">
        <v>1438</v>
      </c>
      <c r="AW55" s="12" t="s">
        <v>1438</v>
      </c>
      <c r="AX55" s="12" t="s">
        <v>1438</v>
      </c>
      <c r="AY55" s="12" t="s">
        <v>1438</v>
      </c>
      <c r="AZ55" s="12" t="s">
        <v>1438</v>
      </c>
      <c r="BA55" s="12" t="s">
        <v>1438</v>
      </c>
      <c r="BB55" s="12" t="s">
        <v>1438</v>
      </c>
      <c r="BC55" s="12" t="s">
        <v>1438</v>
      </c>
      <c r="BD55" s="12" t="s">
        <v>1438</v>
      </c>
      <c r="BE55" s="12" t="s">
        <v>1438</v>
      </c>
      <c r="BF55" s="12" t="s">
        <v>1438</v>
      </c>
      <c r="BG55" s="12" t="s">
        <v>1438</v>
      </c>
      <c r="BH55" s="12" t="s">
        <v>1438</v>
      </c>
      <c r="BI55" s="12" t="s">
        <v>1438</v>
      </c>
      <c r="BJ55" s="12" t="s">
        <v>1438</v>
      </c>
      <c r="BK55" s="12" t="s">
        <v>298</v>
      </c>
      <c r="BL55" s="12" t="s">
        <v>1439</v>
      </c>
      <c r="BM55" s="12" t="s">
        <v>1306</v>
      </c>
      <c r="BN55" s="12" t="s">
        <v>1306</v>
      </c>
      <c r="BO55" s="12" t="s">
        <v>1095</v>
      </c>
      <c r="BP55" s="12" t="s">
        <v>1440</v>
      </c>
      <c r="BQ55" s="12" t="s">
        <v>1441</v>
      </c>
      <c r="BR55" s="12" t="s">
        <v>1064</v>
      </c>
      <c r="BS55" s="12" t="s">
        <v>658</v>
      </c>
      <c r="BT55" s="12" t="s">
        <v>1442</v>
      </c>
      <c r="BU55" s="12" t="s">
        <v>1364</v>
      </c>
      <c r="BV55" s="12" t="s">
        <v>1443</v>
      </c>
      <c r="BW55" s="12" t="s">
        <v>1096</v>
      </c>
      <c r="BX55" s="12" t="s">
        <v>1096</v>
      </c>
      <c r="BY55" s="12" t="s">
        <v>299</v>
      </c>
      <c r="BZ55" s="12" t="s">
        <v>1444</v>
      </c>
      <c r="CA55" s="12" t="s">
        <v>1444</v>
      </c>
      <c r="CB55" s="12" t="s">
        <v>1444</v>
      </c>
      <c r="CC55" s="12" t="s">
        <v>886</v>
      </c>
      <c r="CD55" s="12" t="s">
        <v>886</v>
      </c>
      <c r="CE55" s="12" t="s">
        <v>886</v>
      </c>
      <c r="CF55" s="12" t="s">
        <v>886</v>
      </c>
      <c r="CG55" s="12" t="s">
        <v>886</v>
      </c>
      <c r="CH55" s="12" t="s">
        <v>1386</v>
      </c>
      <c r="CI55" s="12" t="s">
        <v>1386</v>
      </c>
      <c r="CJ55" s="12" t="s">
        <v>576</v>
      </c>
      <c r="CK55" s="12" t="s">
        <v>576</v>
      </c>
      <c r="CL55" s="12" t="s">
        <v>576</v>
      </c>
      <c r="CM55" s="12" t="s">
        <v>966</v>
      </c>
      <c r="CN55" s="12" t="s">
        <v>694</v>
      </c>
      <c r="CO55" s="12" t="s">
        <v>694</v>
      </c>
      <c r="CP55" s="12" t="s">
        <v>694</v>
      </c>
      <c r="CQ55" s="12" t="s">
        <v>694</v>
      </c>
      <c r="CR55" s="12" t="s">
        <v>694</v>
      </c>
      <c r="CS55" s="12" t="s">
        <v>694</v>
      </c>
      <c r="CT55" s="12" t="s">
        <v>694</v>
      </c>
      <c r="CU55" s="12" t="s">
        <v>694</v>
      </c>
      <c r="CV55" s="12" t="s">
        <v>694</v>
      </c>
      <c r="CW55" s="12" t="s">
        <v>694</v>
      </c>
      <c r="CX55" s="12" t="s">
        <v>694</v>
      </c>
    </row>
    <row r="56" spans="1:102" hidden="1" x14ac:dyDescent="0.3">
      <c r="A56" s="12" t="s">
        <v>1445</v>
      </c>
      <c r="B56" s="12" t="s">
        <v>1359</v>
      </c>
      <c r="C56" s="12" t="s">
        <v>1446</v>
      </c>
      <c r="D56" s="12" t="s">
        <v>1447</v>
      </c>
      <c r="E56" s="12" t="s">
        <v>277</v>
      </c>
      <c r="F56" s="12" t="s">
        <v>322</v>
      </c>
      <c r="G56" s="12" t="s">
        <v>322</v>
      </c>
      <c r="H56" s="12" t="s">
        <v>279</v>
      </c>
      <c r="I56" s="12" t="s">
        <v>281</v>
      </c>
      <c r="J56" s="12" t="s">
        <v>455</v>
      </c>
      <c r="K56" s="12" t="s">
        <v>373</v>
      </c>
      <c r="L56" s="12" t="s">
        <v>286</v>
      </c>
      <c r="M56" s="12" t="s">
        <v>375</v>
      </c>
      <c r="N56" s="12" t="s">
        <v>652</v>
      </c>
      <c r="O56" s="12" t="s">
        <v>287</v>
      </c>
      <c r="P56" s="12" t="s">
        <v>329</v>
      </c>
      <c r="Q56" s="12" t="s">
        <v>330</v>
      </c>
      <c r="R56" s="12" t="s">
        <v>691</v>
      </c>
      <c r="S56" s="12" t="s">
        <v>552</v>
      </c>
      <c r="T56" s="12" t="s">
        <v>552</v>
      </c>
      <c r="U56" s="12" t="s">
        <v>654</v>
      </c>
      <c r="V56" s="12" t="s">
        <v>470</v>
      </c>
      <c r="W56" s="12" t="s">
        <v>1051</v>
      </c>
      <c r="X56" s="12" t="s">
        <v>1051</v>
      </c>
      <c r="Y56" s="12" t="s">
        <v>676</v>
      </c>
      <c r="Z56" s="12" t="s">
        <v>380</v>
      </c>
      <c r="AA56" s="12" t="s">
        <v>381</v>
      </c>
      <c r="AB56" s="12" t="s">
        <v>381</v>
      </c>
      <c r="AC56" s="12" t="s">
        <v>381</v>
      </c>
      <c r="AD56" s="12" t="s">
        <v>381</v>
      </c>
      <c r="AE56" s="12" t="s">
        <v>556</v>
      </c>
      <c r="AF56" s="12" t="s">
        <v>556</v>
      </c>
      <c r="AG56" s="12" t="s">
        <v>556</v>
      </c>
      <c r="AH56" s="12" t="s">
        <v>556</v>
      </c>
      <c r="AI56" s="12" t="s">
        <v>556</v>
      </c>
      <c r="AJ56" s="12" t="s">
        <v>556</v>
      </c>
      <c r="AK56" s="12" t="s">
        <v>556</v>
      </c>
      <c r="AL56" s="12" t="s">
        <v>556</v>
      </c>
      <c r="AM56" s="12" t="s">
        <v>556</v>
      </c>
      <c r="AN56" s="12" t="s">
        <v>556</v>
      </c>
      <c r="AO56" s="12" t="s">
        <v>556</v>
      </c>
      <c r="AP56" s="12" t="s">
        <v>556</v>
      </c>
      <c r="AQ56" s="12" t="s">
        <v>556</v>
      </c>
      <c r="AR56" s="12" t="s">
        <v>556</v>
      </c>
      <c r="AS56" s="12" t="s">
        <v>556</v>
      </c>
      <c r="AT56" s="12" t="s">
        <v>556</v>
      </c>
      <c r="AU56" s="12" t="s">
        <v>556</v>
      </c>
      <c r="AV56" s="12" t="s">
        <v>562</v>
      </c>
      <c r="AW56" s="12" t="s">
        <v>1117</v>
      </c>
      <c r="AX56" s="12" t="s">
        <v>292</v>
      </c>
      <c r="AY56" s="12" t="s">
        <v>1448</v>
      </c>
      <c r="AZ56" s="12" t="s">
        <v>1448</v>
      </c>
      <c r="BA56" s="12" t="s">
        <v>1449</v>
      </c>
      <c r="BB56" s="12" t="s">
        <v>1053</v>
      </c>
      <c r="BC56" s="12" t="s">
        <v>1053</v>
      </c>
      <c r="BD56" s="12" t="s">
        <v>1053</v>
      </c>
      <c r="BE56" s="12" t="s">
        <v>1054</v>
      </c>
      <c r="BF56" s="12" t="s">
        <v>422</v>
      </c>
      <c r="BG56" s="12" t="s">
        <v>422</v>
      </c>
      <c r="BH56" s="12" t="s">
        <v>422</v>
      </c>
      <c r="BI56" s="12" t="s">
        <v>422</v>
      </c>
      <c r="BJ56" s="12" t="s">
        <v>572</v>
      </c>
      <c r="BK56" s="12" t="s">
        <v>572</v>
      </c>
      <c r="BL56" s="12" t="s">
        <v>572</v>
      </c>
      <c r="BM56" s="12" t="s">
        <v>511</v>
      </c>
      <c r="BN56" s="12" t="s">
        <v>511</v>
      </c>
      <c r="BO56" s="12" t="s">
        <v>511</v>
      </c>
      <c r="BP56" s="12" t="s">
        <v>511</v>
      </c>
      <c r="BQ56" s="12" t="s">
        <v>511</v>
      </c>
      <c r="BR56" s="12" t="s">
        <v>511</v>
      </c>
      <c r="BS56" s="12" t="s">
        <v>511</v>
      </c>
      <c r="BT56" s="12" t="s">
        <v>1057</v>
      </c>
      <c r="BU56" s="12" t="s">
        <v>1057</v>
      </c>
      <c r="BV56" s="12" t="s">
        <v>1057</v>
      </c>
      <c r="BW56" s="12" t="s">
        <v>1057</v>
      </c>
      <c r="BX56" s="12" t="s">
        <v>1057</v>
      </c>
      <c r="BY56" s="12" t="s">
        <v>1057</v>
      </c>
      <c r="BZ56" s="12" t="s">
        <v>1057</v>
      </c>
      <c r="CA56" s="12" t="s">
        <v>1057</v>
      </c>
      <c r="CB56" s="12" t="s">
        <v>382</v>
      </c>
      <c r="CC56" s="12" t="s">
        <v>382</v>
      </c>
      <c r="CD56" s="12" t="s">
        <v>382</v>
      </c>
      <c r="CE56" s="12" t="s">
        <v>382</v>
      </c>
      <c r="CF56" s="12" t="s">
        <v>382</v>
      </c>
      <c r="CG56" s="12" t="s">
        <v>382</v>
      </c>
      <c r="CH56" s="12" t="s">
        <v>382</v>
      </c>
      <c r="CI56" s="12" t="s">
        <v>382</v>
      </c>
      <c r="CJ56" s="12" t="s">
        <v>382</v>
      </c>
      <c r="CK56" s="12" t="s">
        <v>382</v>
      </c>
      <c r="CL56" s="12" t="s">
        <v>382</v>
      </c>
      <c r="CM56" s="12" t="s">
        <v>382</v>
      </c>
      <c r="CN56" s="12" t="s">
        <v>382</v>
      </c>
      <c r="CO56" s="12" t="s">
        <v>382</v>
      </c>
      <c r="CP56" s="12" t="s">
        <v>382</v>
      </c>
      <c r="CQ56" s="12" t="s">
        <v>382</v>
      </c>
      <c r="CR56" s="12" t="s">
        <v>382</v>
      </c>
      <c r="CS56" s="12" t="s">
        <v>382</v>
      </c>
      <c r="CT56" s="12" t="s">
        <v>382</v>
      </c>
      <c r="CU56" s="12" t="s">
        <v>382</v>
      </c>
      <c r="CV56" s="12" t="s">
        <v>382</v>
      </c>
      <c r="CW56" s="12" t="s">
        <v>382</v>
      </c>
      <c r="CX56" s="12" t="s">
        <v>382</v>
      </c>
    </row>
    <row r="57" spans="1:102" hidden="1" x14ac:dyDescent="0.3">
      <c r="A57" s="12" t="s">
        <v>1450</v>
      </c>
      <c r="B57" s="12" t="s">
        <v>1359</v>
      </c>
      <c r="C57" s="12" t="s">
        <v>1451</v>
      </c>
      <c r="D57" s="12" t="s">
        <v>1452</v>
      </c>
      <c r="E57" s="12" t="s">
        <v>375</v>
      </c>
      <c r="F57" s="12" t="s">
        <v>551</v>
      </c>
      <c r="G57" s="12" t="s">
        <v>418</v>
      </c>
      <c r="H57" s="12" t="s">
        <v>509</v>
      </c>
      <c r="I57" s="12" t="s">
        <v>678</v>
      </c>
      <c r="J57" s="12" t="s">
        <v>1008</v>
      </c>
      <c r="K57" s="12" t="s">
        <v>686</v>
      </c>
      <c r="L57" s="12" t="s">
        <v>345</v>
      </c>
      <c r="M57" s="12" t="s">
        <v>966</v>
      </c>
      <c r="N57" s="12" t="s">
        <v>577</v>
      </c>
      <c r="O57" s="12" t="s">
        <v>1453</v>
      </c>
      <c r="P57" s="12" t="s">
        <v>1325</v>
      </c>
      <c r="Q57" s="12" t="s">
        <v>1161</v>
      </c>
      <c r="R57" s="12" t="s">
        <v>1454</v>
      </c>
      <c r="S57" s="12" t="s">
        <v>1455</v>
      </c>
      <c r="T57" s="12" t="s">
        <v>1163</v>
      </c>
      <c r="U57" s="12" t="s">
        <v>1456</v>
      </c>
      <c r="V57" s="12" t="s">
        <v>1457</v>
      </c>
      <c r="W57" s="12" t="s">
        <v>1458</v>
      </c>
      <c r="X57" s="12" t="s">
        <v>537</v>
      </c>
      <c r="Y57" s="12" t="s">
        <v>1459</v>
      </c>
      <c r="Z57" s="12" t="s">
        <v>581</v>
      </c>
      <c r="AA57" s="12" t="s">
        <v>710</v>
      </c>
      <c r="AB57" s="12" t="s">
        <v>1460</v>
      </c>
      <c r="AC57" s="12" t="s">
        <v>1461</v>
      </c>
      <c r="AD57" s="12" t="s">
        <v>1462</v>
      </c>
      <c r="AE57" s="12" t="s">
        <v>1463</v>
      </c>
      <c r="AF57" s="12" t="s">
        <v>716</v>
      </c>
      <c r="AG57" s="12" t="s">
        <v>1464</v>
      </c>
      <c r="AH57" s="12" t="s">
        <v>753</v>
      </c>
      <c r="AI57" s="12" t="s">
        <v>1465</v>
      </c>
      <c r="AJ57" s="12" t="s">
        <v>541</v>
      </c>
      <c r="AK57" s="12" t="s">
        <v>1001</v>
      </c>
      <c r="AL57" s="12" t="s">
        <v>1466</v>
      </c>
      <c r="AM57" s="12" t="s">
        <v>1467</v>
      </c>
      <c r="AN57" s="12" t="s">
        <v>1467</v>
      </c>
      <c r="AO57" s="12" t="s">
        <v>1467</v>
      </c>
      <c r="AP57" s="12" t="s">
        <v>1468</v>
      </c>
      <c r="AQ57" s="12" t="s">
        <v>1469</v>
      </c>
      <c r="AR57" s="12" t="s">
        <v>1469</v>
      </c>
      <c r="AS57" s="12" t="s">
        <v>1470</v>
      </c>
      <c r="AT57" s="12" t="s">
        <v>1470</v>
      </c>
      <c r="AU57" s="12" t="s">
        <v>1470</v>
      </c>
      <c r="AV57" s="12" t="s">
        <v>318</v>
      </c>
      <c r="AW57" s="12" t="s">
        <v>1471</v>
      </c>
      <c r="AX57" s="12" t="s">
        <v>1471</v>
      </c>
      <c r="AY57" s="12" t="s">
        <v>1471</v>
      </c>
      <c r="AZ57" s="12" t="s">
        <v>1471</v>
      </c>
      <c r="BA57" s="12" t="s">
        <v>1472</v>
      </c>
      <c r="BB57" s="12" t="s">
        <v>1473</v>
      </c>
      <c r="BC57" s="12" t="s">
        <v>1473</v>
      </c>
      <c r="BD57" s="12" t="s">
        <v>1473</v>
      </c>
      <c r="BE57" s="12" t="s">
        <v>1473</v>
      </c>
      <c r="BF57" s="12" t="s">
        <v>1474</v>
      </c>
      <c r="BG57" s="12" t="s">
        <v>847</v>
      </c>
      <c r="BH57" s="12" t="s">
        <v>1475</v>
      </c>
      <c r="BI57" s="12" t="s">
        <v>1168</v>
      </c>
      <c r="BJ57" s="12" t="s">
        <v>1476</v>
      </c>
      <c r="BK57" s="12" t="s">
        <v>1477</v>
      </c>
      <c r="BL57" s="12" t="s">
        <v>1478</v>
      </c>
      <c r="BM57" s="12" t="s">
        <v>1003</v>
      </c>
      <c r="BN57" s="12" t="s">
        <v>1479</v>
      </c>
      <c r="BO57" s="12" t="s">
        <v>1480</v>
      </c>
      <c r="BP57" s="12" t="s">
        <v>1481</v>
      </c>
      <c r="BQ57" s="12" t="s">
        <v>1482</v>
      </c>
      <c r="BR57" s="12" t="s">
        <v>1483</v>
      </c>
      <c r="BS57" s="12" t="s">
        <v>1484</v>
      </c>
      <c r="BT57" s="12" t="s">
        <v>1485</v>
      </c>
      <c r="BU57" s="12" t="s">
        <v>1486</v>
      </c>
      <c r="BV57" s="12" t="s">
        <v>1487</v>
      </c>
      <c r="BW57" s="12" t="s">
        <v>1488</v>
      </c>
      <c r="BX57" s="12" t="s">
        <v>1489</v>
      </c>
      <c r="BY57" s="12" t="s">
        <v>1490</v>
      </c>
      <c r="BZ57" s="12" t="s">
        <v>1491</v>
      </c>
      <c r="CA57" s="12" t="s">
        <v>1492</v>
      </c>
      <c r="CB57" s="12" t="s">
        <v>1493</v>
      </c>
      <c r="CC57" s="12" t="s">
        <v>1494</v>
      </c>
      <c r="CD57" s="12" t="s">
        <v>1495</v>
      </c>
      <c r="CE57" s="12" t="s">
        <v>1496</v>
      </c>
      <c r="CF57" s="12" t="s">
        <v>1497</v>
      </c>
      <c r="CG57" s="12" t="s">
        <v>814</v>
      </c>
      <c r="CH57" s="12" t="s">
        <v>1498</v>
      </c>
      <c r="CI57" s="12" t="s">
        <v>1499</v>
      </c>
      <c r="CJ57" s="12" t="s">
        <v>1500</v>
      </c>
      <c r="CK57" s="12" t="s">
        <v>1501</v>
      </c>
      <c r="CL57" s="12" t="s">
        <v>1502</v>
      </c>
      <c r="CM57" s="12" t="s">
        <v>1503</v>
      </c>
      <c r="CN57" s="12" t="s">
        <v>1504</v>
      </c>
      <c r="CO57" s="12" t="s">
        <v>1505</v>
      </c>
      <c r="CP57" s="12" t="s">
        <v>1506</v>
      </c>
      <c r="CQ57" s="12" t="s">
        <v>1507</v>
      </c>
      <c r="CR57" s="12" t="s">
        <v>1507</v>
      </c>
      <c r="CS57" s="12" t="s">
        <v>1508</v>
      </c>
      <c r="CT57" s="12" t="s">
        <v>1508</v>
      </c>
      <c r="CU57" s="12" t="s">
        <v>2405</v>
      </c>
      <c r="CV57" s="12" t="s">
        <v>4121</v>
      </c>
      <c r="CW57" s="12" t="s">
        <v>4121</v>
      </c>
      <c r="CX57" s="12" t="s">
        <v>4122</v>
      </c>
    </row>
    <row r="58" spans="1:102" hidden="1" x14ac:dyDescent="0.3">
      <c r="A58" s="12" t="s">
        <v>1509</v>
      </c>
      <c r="B58" s="12" t="s">
        <v>1359</v>
      </c>
      <c r="C58" s="12" t="s">
        <v>1510</v>
      </c>
      <c r="D58" s="12" t="s">
        <v>1511</v>
      </c>
      <c r="E58" s="12" t="s">
        <v>322</v>
      </c>
      <c r="F58" s="12" t="s">
        <v>280</v>
      </c>
      <c r="G58" s="12" t="s">
        <v>325</v>
      </c>
      <c r="H58" s="12" t="s">
        <v>325</v>
      </c>
      <c r="I58" s="12" t="s">
        <v>670</v>
      </c>
      <c r="J58" s="12" t="s">
        <v>617</v>
      </c>
      <c r="K58" s="12" t="s">
        <v>329</v>
      </c>
      <c r="L58" s="12" t="s">
        <v>1112</v>
      </c>
      <c r="M58" s="12" t="s">
        <v>509</v>
      </c>
      <c r="N58" s="12" t="s">
        <v>380</v>
      </c>
      <c r="O58" s="12" t="s">
        <v>560</v>
      </c>
      <c r="P58" s="12" t="s">
        <v>678</v>
      </c>
      <c r="Q58" s="12" t="s">
        <v>1053</v>
      </c>
      <c r="R58" s="12" t="s">
        <v>382</v>
      </c>
      <c r="S58" s="12" t="s">
        <v>1512</v>
      </c>
      <c r="T58" s="12" t="s">
        <v>1384</v>
      </c>
      <c r="U58" s="12" t="s">
        <v>1513</v>
      </c>
      <c r="V58" s="12" t="s">
        <v>962</v>
      </c>
      <c r="W58" s="12" t="s">
        <v>683</v>
      </c>
      <c r="X58" s="12" t="s">
        <v>574</v>
      </c>
      <c r="Y58" s="12" t="s">
        <v>1433</v>
      </c>
      <c r="Z58" s="12" t="s">
        <v>1091</v>
      </c>
      <c r="AA58" s="12" t="s">
        <v>1091</v>
      </c>
      <c r="AB58" s="12" t="s">
        <v>1204</v>
      </c>
      <c r="AC58" s="12" t="s">
        <v>514</v>
      </c>
      <c r="AD58" s="12" t="s">
        <v>295</v>
      </c>
      <c r="AE58" s="12" t="s">
        <v>1322</v>
      </c>
      <c r="AF58" s="12" t="s">
        <v>1062</v>
      </c>
      <c r="AG58" s="12" t="s">
        <v>1207</v>
      </c>
      <c r="AH58" s="12" t="s">
        <v>1514</v>
      </c>
      <c r="AI58" s="12" t="s">
        <v>748</v>
      </c>
      <c r="AJ58" s="12" t="s">
        <v>515</v>
      </c>
      <c r="AK58" s="12" t="s">
        <v>515</v>
      </c>
      <c r="AL58" s="12" t="s">
        <v>1515</v>
      </c>
      <c r="AM58" s="12" t="s">
        <v>1209</v>
      </c>
      <c r="AN58" s="12" t="s">
        <v>1209</v>
      </c>
      <c r="AO58" s="12" t="s">
        <v>1209</v>
      </c>
      <c r="AP58" s="12" t="s">
        <v>1209</v>
      </c>
      <c r="AQ58" s="12" t="s">
        <v>1209</v>
      </c>
      <c r="AR58" s="12" t="s">
        <v>1209</v>
      </c>
      <c r="AS58" s="12" t="s">
        <v>1209</v>
      </c>
      <c r="AT58" s="12" t="s">
        <v>1209</v>
      </c>
      <c r="AU58" s="12" t="s">
        <v>1209</v>
      </c>
      <c r="AV58" s="12" t="s">
        <v>1209</v>
      </c>
      <c r="AW58" s="12" t="s">
        <v>1209</v>
      </c>
      <c r="AX58" s="12" t="s">
        <v>1209</v>
      </c>
      <c r="AY58" s="12" t="s">
        <v>1209</v>
      </c>
      <c r="AZ58" s="12" t="s">
        <v>1209</v>
      </c>
      <c r="BA58" s="12" t="s">
        <v>1209</v>
      </c>
      <c r="BB58" s="12" t="s">
        <v>1209</v>
      </c>
      <c r="BC58" s="12" t="s">
        <v>1209</v>
      </c>
      <c r="BD58" s="12" t="s">
        <v>1209</v>
      </c>
      <c r="BE58" s="12" t="s">
        <v>1209</v>
      </c>
      <c r="BF58" s="12" t="s">
        <v>1209</v>
      </c>
      <c r="BG58" s="12" t="s">
        <v>1209</v>
      </c>
      <c r="BH58" s="12" t="s">
        <v>1189</v>
      </c>
      <c r="BI58" s="12" t="s">
        <v>1189</v>
      </c>
      <c r="BJ58" s="12" t="s">
        <v>1189</v>
      </c>
      <c r="BK58" s="12" t="s">
        <v>1190</v>
      </c>
      <c r="BL58" s="12" t="s">
        <v>1190</v>
      </c>
      <c r="BM58" s="12" t="s">
        <v>1190</v>
      </c>
      <c r="BN58" s="12" t="s">
        <v>1190</v>
      </c>
      <c r="BO58" s="12" t="s">
        <v>1190</v>
      </c>
      <c r="BP58" s="12" t="s">
        <v>1190</v>
      </c>
      <c r="BQ58" s="12" t="s">
        <v>1190</v>
      </c>
      <c r="BR58" s="12" t="s">
        <v>1190</v>
      </c>
      <c r="BS58" s="12" t="s">
        <v>1190</v>
      </c>
      <c r="BT58" s="12" t="s">
        <v>1190</v>
      </c>
      <c r="BU58" s="12" t="s">
        <v>1190</v>
      </c>
      <c r="BV58" s="12" t="s">
        <v>1190</v>
      </c>
      <c r="BW58" s="12" t="s">
        <v>1190</v>
      </c>
      <c r="BX58" s="12" t="s">
        <v>1190</v>
      </c>
      <c r="BY58" s="12" t="s">
        <v>1190</v>
      </c>
      <c r="BZ58" s="12" t="s">
        <v>1190</v>
      </c>
      <c r="CA58" s="12" t="s">
        <v>1190</v>
      </c>
      <c r="CB58" s="12" t="s">
        <v>1190</v>
      </c>
      <c r="CC58" s="12" t="s">
        <v>1190</v>
      </c>
      <c r="CD58" s="12" t="s">
        <v>1190</v>
      </c>
      <c r="CE58" s="12" t="s">
        <v>1190</v>
      </c>
      <c r="CF58" s="12" t="s">
        <v>1190</v>
      </c>
      <c r="CG58" s="12" t="s">
        <v>1190</v>
      </c>
      <c r="CH58" s="12" t="s">
        <v>1190</v>
      </c>
      <c r="CI58" s="12" t="s">
        <v>1190</v>
      </c>
      <c r="CJ58" s="12" t="s">
        <v>1190</v>
      </c>
      <c r="CK58" s="12" t="s">
        <v>1190</v>
      </c>
      <c r="CL58" s="12" t="s">
        <v>1190</v>
      </c>
      <c r="CM58" s="12" t="s">
        <v>1190</v>
      </c>
      <c r="CN58" s="12" t="s">
        <v>1190</v>
      </c>
      <c r="CO58" s="12" t="s">
        <v>1190</v>
      </c>
      <c r="CP58" s="12" t="s">
        <v>1190</v>
      </c>
      <c r="CQ58" s="12" t="s">
        <v>1190</v>
      </c>
      <c r="CR58" s="12" t="s">
        <v>1190</v>
      </c>
      <c r="CS58" s="12" t="s">
        <v>1190</v>
      </c>
      <c r="CT58" s="12" t="s">
        <v>1190</v>
      </c>
      <c r="CU58" s="12" t="s">
        <v>1190</v>
      </c>
      <c r="CV58" s="12" t="s">
        <v>1190</v>
      </c>
      <c r="CW58" s="12" t="s">
        <v>1190</v>
      </c>
      <c r="CX58" s="12" t="s">
        <v>1190</v>
      </c>
    </row>
    <row r="59" spans="1:102" hidden="1" x14ac:dyDescent="0.3">
      <c r="A59" s="12" t="s">
        <v>1516</v>
      </c>
      <c r="B59" s="12" t="s">
        <v>1359</v>
      </c>
      <c r="C59" s="12" t="s">
        <v>1517</v>
      </c>
      <c r="D59" s="12" t="s">
        <v>1518</v>
      </c>
      <c r="E59" s="12" t="s">
        <v>278</v>
      </c>
      <c r="F59" s="12" t="s">
        <v>371</v>
      </c>
      <c r="G59" s="12" t="s">
        <v>371</v>
      </c>
      <c r="H59" s="12" t="s">
        <v>279</v>
      </c>
      <c r="I59" s="12" t="s">
        <v>280</v>
      </c>
      <c r="J59" s="12" t="s">
        <v>281</v>
      </c>
      <c r="K59" s="12" t="s">
        <v>460</v>
      </c>
      <c r="L59" s="12" t="s">
        <v>460</v>
      </c>
      <c r="M59" s="12" t="s">
        <v>324</v>
      </c>
      <c r="N59" s="12" t="s">
        <v>652</v>
      </c>
      <c r="O59" s="12" t="s">
        <v>652</v>
      </c>
      <c r="P59" s="12" t="s">
        <v>327</v>
      </c>
      <c r="Q59" s="12" t="s">
        <v>617</v>
      </c>
      <c r="R59" s="12" t="s">
        <v>1112</v>
      </c>
      <c r="S59" s="12" t="s">
        <v>332</v>
      </c>
      <c r="T59" s="12" t="s">
        <v>553</v>
      </c>
      <c r="U59" s="12" t="s">
        <v>883</v>
      </c>
      <c r="V59" s="12" t="s">
        <v>335</v>
      </c>
      <c r="W59" s="12" t="s">
        <v>559</v>
      </c>
      <c r="X59" s="12" t="s">
        <v>907</v>
      </c>
      <c r="Y59" s="12" t="s">
        <v>1053</v>
      </c>
      <c r="Z59" s="12" t="s">
        <v>422</v>
      </c>
      <c r="AA59" s="12" t="s">
        <v>1055</v>
      </c>
      <c r="AB59" s="12" t="s">
        <v>724</v>
      </c>
      <c r="AC59" s="12" t="s">
        <v>1519</v>
      </c>
      <c r="AD59" s="12" t="s">
        <v>619</v>
      </c>
      <c r="AE59" s="12" t="s">
        <v>338</v>
      </c>
      <c r="AF59" s="12" t="s">
        <v>338</v>
      </c>
      <c r="AG59" s="12" t="s">
        <v>338</v>
      </c>
      <c r="AH59" s="12" t="s">
        <v>338</v>
      </c>
      <c r="AI59" s="12" t="s">
        <v>338</v>
      </c>
      <c r="AJ59" s="12" t="s">
        <v>338</v>
      </c>
      <c r="AK59" s="12" t="s">
        <v>338</v>
      </c>
      <c r="AL59" s="12" t="s">
        <v>338</v>
      </c>
      <c r="AM59" s="12" t="s">
        <v>338</v>
      </c>
      <c r="AN59" s="12" t="s">
        <v>338</v>
      </c>
      <c r="AO59" s="12" t="s">
        <v>338</v>
      </c>
      <c r="AP59" s="12" t="s">
        <v>338</v>
      </c>
      <c r="AQ59" s="12" t="s">
        <v>338</v>
      </c>
      <c r="AR59" s="12" t="s">
        <v>338</v>
      </c>
      <c r="AS59" s="12" t="s">
        <v>338</v>
      </c>
      <c r="AT59" s="12" t="s">
        <v>338</v>
      </c>
      <c r="AU59" s="12" t="s">
        <v>338</v>
      </c>
      <c r="AV59" s="12" t="s">
        <v>338</v>
      </c>
      <c r="AW59" s="12" t="s">
        <v>338</v>
      </c>
      <c r="AX59" s="12" t="s">
        <v>338</v>
      </c>
      <c r="AY59" s="12" t="s">
        <v>338</v>
      </c>
      <c r="AZ59" s="12" t="s">
        <v>338</v>
      </c>
      <c r="BA59" s="12" t="s">
        <v>338</v>
      </c>
      <c r="BB59" s="12" t="s">
        <v>338</v>
      </c>
      <c r="BC59" s="12" t="s">
        <v>338</v>
      </c>
      <c r="BD59" s="12" t="s">
        <v>338</v>
      </c>
      <c r="BE59" s="12" t="s">
        <v>338</v>
      </c>
      <c r="BF59" s="12" t="s">
        <v>338</v>
      </c>
      <c r="BG59" s="12" t="s">
        <v>338</v>
      </c>
      <c r="BH59" s="12" t="s">
        <v>1213</v>
      </c>
      <c r="BI59" s="12" t="s">
        <v>338</v>
      </c>
      <c r="BJ59" s="12" t="s">
        <v>338</v>
      </c>
      <c r="BK59" s="12" t="s">
        <v>338</v>
      </c>
      <c r="BL59" s="12" t="s">
        <v>338</v>
      </c>
      <c r="BM59" s="12" t="s">
        <v>338</v>
      </c>
      <c r="BN59" s="12" t="s">
        <v>338</v>
      </c>
      <c r="BO59" s="12" t="s">
        <v>338</v>
      </c>
      <c r="BP59" s="12" t="s">
        <v>338</v>
      </c>
      <c r="BQ59" s="12" t="s">
        <v>338</v>
      </c>
      <c r="BR59" s="12" t="s">
        <v>338</v>
      </c>
      <c r="BS59" s="12" t="s">
        <v>338</v>
      </c>
      <c r="BT59" s="12" t="s">
        <v>338</v>
      </c>
      <c r="BU59" s="12" t="s">
        <v>338</v>
      </c>
      <c r="BV59" s="12" t="s">
        <v>338</v>
      </c>
      <c r="BW59" s="12" t="s">
        <v>338</v>
      </c>
      <c r="BX59" s="12" t="s">
        <v>338</v>
      </c>
      <c r="BY59" s="12" t="s">
        <v>338</v>
      </c>
      <c r="BZ59" s="12" t="s">
        <v>338</v>
      </c>
      <c r="CA59" s="12" t="s">
        <v>338</v>
      </c>
      <c r="CB59" s="12" t="s">
        <v>338</v>
      </c>
      <c r="CC59" s="12" t="s">
        <v>338</v>
      </c>
      <c r="CD59" s="12" t="s">
        <v>338</v>
      </c>
      <c r="CE59" s="12" t="s">
        <v>338</v>
      </c>
      <c r="CF59" s="12" t="s">
        <v>338</v>
      </c>
      <c r="CG59" s="12" t="s">
        <v>338</v>
      </c>
      <c r="CH59" s="12" t="s">
        <v>338</v>
      </c>
      <c r="CI59" s="12" t="s">
        <v>338</v>
      </c>
      <c r="CJ59" s="12" t="s">
        <v>338</v>
      </c>
      <c r="CK59" s="12" t="s">
        <v>338</v>
      </c>
      <c r="CL59" s="12" t="s">
        <v>338</v>
      </c>
      <c r="CM59" s="12" t="s">
        <v>338</v>
      </c>
      <c r="CN59" s="12" t="s">
        <v>338</v>
      </c>
      <c r="CO59" s="12" t="s">
        <v>1213</v>
      </c>
      <c r="CP59" s="12" t="s">
        <v>1213</v>
      </c>
      <c r="CQ59" s="12" t="s">
        <v>1213</v>
      </c>
      <c r="CR59" s="12" t="s">
        <v>1213</v>
      </c>
      <c r="CS59" s="12" t="s">
        <v>1213</v>
      </c>
      <c r="CT59" s="12" t="s">
        <v>1213</v>
      </c>
      <c r="CU59" s="12" t="s">
        <v>1213</v>
      </c>
      <c r="CV59" s="12" t="s">
        <v>1213</v>
      </c>
      <c r="CW59" s="12" t="s">
        <v>1213</v>
      </c>
      <c r="CX59" s="12" t="s">
        <v>1213</v>
      </c>
    </row>
    <row r="60" spans="1:102" hidden="1" x14ac:dyDescent="0.3">
      <c r="A60" s="12" t="s">
        <v>1520</v>
      </c>
      <c r="B60" s="12" t="s">
        <v>1359</v>
      </c>
      <c r="C60" s="12" t="s">
        <v>1521</v>
      </c>
      <c r="D60" s="12" t="s">
        <v>1522</v>
      </c>
      <c r="E60" s="12" t="s">
        <v>279</v>
      </c>
      <c r="F60" s="12" t="s">
        <v>280</v>
      </c>
      <c r="G60" s="12" t="s">
        <v>454</v>
      </c>
      <c r="H60" s="12" t="s">
        <v>373</v>
      </c>
      <c r="I60" s="12" t="s">
        <v>285</v>
      </c>
      <c r="J60" s="12" t="s">
        <v>326</v>
      </c>
      <c r="K60" s="12" t="s">
        <v>287</v>
      </c>
      <c r="L60" s="12" t="s">
        <v>958</v>
      </c>
      <c r="M60" s="12" t="s">
        <v>617</v>
      </c>
      <c r="N60" s="12" t="s">
        <v>508</v>
      </c>
      <c r="O60" s="12" t="s">
        <v>552</v>
      </c>
      <c r="P60" s="12" t="s">
        <v>332</v>
      </c>
      <c r="Q60" s="12" t="s">
        <v>674</v>
      </c>
      <c r="R60" s="12" t="s">
        <v>555</v>
      </c>
      <c r="S60" s="12" t="s">
        <v>559</v>
      </c>
      <c r="T60" s="12" t="s">
        <v>1362</v>
      </c>
      <c r="U60" s="12" t="s">
        <v>1116</v>
      </c>
      <c r="V60" s="12" t="s">
        <v>1448</v>
      </c>
      <c r="W60" s="12" t="s">
        <v>746</v>
      </c>
      <c r="X60" s="12" t="s">
        <v>1057</v>
      </c>
      <c r="Y60" s="12" t="s">
        <v>619</v>
      </c>
      <c r="Z60" s="12" t="s">
        <v>961</v>
      </c>
      <c r="AA60" s="12" t="s">
        <v>961</v>
      </c>
      <c r="AB60" s="12" t="s">
        <v>1431</v>
      </c>
      <c r="AC60" s="12" t="s">
        <v>1009</v>
      </c>
      <c r="AD60" s="12" t="s">
        <v>1009</v>
      </c>
      <c r="AE60" s="12" t="s">
        <v>885</v>
      </c>
      <c r="AF60" s="12" t="s">
        <v>885</v>
      </c>
      <c r="AG60" s="12" t="s">
        <v>1384</v>
      </c>
      <c r="AH60" s="12" t="s">
        <v>1384</v>
      </c>
      <c r="AI60" s="12" t="s">
        <v>1384</v>
      </c>
      <c r="AJ60" s="12" t="s">
        <v>1384</v>
      </c>
      <c r="AK60" s="12" t="s">
        <v>1384</v>
      </c>
      <c r="AL60" s="12" t="s">
        <v>1384</v>
      </c>
      <c r="AM60" s="12" t="s">
        <v>1384</v>
      </c>
      <c r="AN60" s="12" t="s">
        <v>1384</v>
      </c>
      <c r="AO60" s="12" t="s">
        <v>1384</v>
      </c>
      <c r="AP60" s="12" t="s">
        <v>1384</v>
      </c>
      <c r="AQ60" s="12" t="s">
        <v>1384</v>
      </c>
      <c r="AR60" s="12" t="s">
        <v>1384</v>
      </c>
      <c r="AS60" s="12" t="s">
        <v>1384</v>
      </c>
      <c r="AT60" s="12" t="s">
        <v>1384</v>
      </c>
      <c r="AU60" s="12" t="s">
        <v>1384</v>
      </c>
      <c r="AV60" s="12" t="s">
        <v>1384</v>
      </c>
      <c r="AW60" s="12" t="s">
        <v>1384</v>
      </c>
      <c r="AX60" s="12" t="s">
        <v>1384</v>
      </c>
      <c r="AY60" s="12" t="s">
        <v>1384</v>
      </c>
      <c r="AZ60" s="12" t="s">
        <v>1384</v>
      </c>
      <c r="BA60" s="12" t="s">
        <v>1384</v>
      </c>
      <c r="BB60" s="12" t="s">
        <v>1384</v>
      </c>
      <c r="BC60" s="12" t="s">
        <v>1384</v>
      </c>
      <c r="BD60" s="12" t="s">
        <v>1384</v>
      </c>
      <c r="BE60" s="12" t="s">
        <v>1384</v>
      </c>
      <c r="BF60" s="12" t="s">
        <v>1384</v>
      </c>
      <c r="BG60" s="12" t="s">
        <v>1384</v>
      </c>
      <c r="BH60" s="12" t="s">
        <v>1384</v>
      </c>
      <c r="BI60" s="12" t="s">
        <v>1384</v>
      </c>
      <c r="BJ60" s="12" t="s">
        <v>1384</v>
      </c>
      <c r="BK60" s="12" t="s">
        <v>1384</v>
      </c>
      <c r="BL60" s="12" t="s">
        <v>1384</v>
      </c>
      <c r="BM60" s="12" t="s">
        <v>1384</v>
      </c>
      <c r="BN60" s="12" t="s">
        <v>1384</v>
      </c>
      <c r="BO60" s="12" t="s">
        <v>1384</v>
      </c>
      <c r="BP60" s="12" t="s">
        <v>1384</v>
      </c>
      <c r="BQ60" s="12" t="s">
        <v>1384</v>
      </c>
      <c r="BR60" s="12" t="s">
        <v>1384</v>
      </c>
      <c r="BS60" s="12" t="s">
        <v>1384</v>
      </c>
      <c r="BT60" s="12" t="s">
        <v>1384</v>
      </c>
      <c r="BU60" s="12" t="s">
        <v>1384</v>
      </c>
      <c r="BV60" s="12" t="s">
        <v>1384</v>
      </c>
      <c r="BW60" s="12" t="s">
        <v>1384</v>
      </c>
      <c r="BX60" s="12" t="s">
        <v>1384</v>
      </c>
      <c r="BY60" s="12" t="s">
        <v>1384</v>
      </c>
      <c r="BZ60" s="12" t="s">
        <v>1384</v>
      </c>
      <c r="CA60" s="12" t="s">
        <v>1384</v>
      </c>
      <c r="CB60" s="12" t="s">
        <v>1384</v>
      </c>
      <c r="CC60" s="12" t="s">
        <v>1384</v>
      </c>
      <c r="CD60" s="12" t="s">
        <v>1384</v>
      </c>
      <c r="CE60" s="12" t="s">
        <v>1384</v>
      </c>
      <c r="CF60" s="12" t="s">
        <v>1384</v>
      </c>
      <c r="CG60" s="12" t="s">
        <v>1384</v>
      </c>
      <c r="CH60" s="12" t="s">
        <v>1384</v>
      </c>
      <c r="CI60" s="12" t="s">
        <v>1384</v>
      </c>
      <c r="CJ60" s="12" t="s">
        <v>1384</v>
      </c>
      <c r="CK60" s="12" t="s">
        <v>1384</v>
      </c>
      <c r="CL60" s="12" t="s">
        <v>1384</v>
      </c>
      <c r="CM60" s="12" t="s">
        <v>1384</v>
      </c>
      <c r="CN60" s="12" t="s">
        <v>1384</v>
      </c>
      <c r="CO60" s="12" t="s">
        <v>1384</v>
      </c>
      <c r="CP60" s="12" t="s">
        <v>1384</v>
      </c>
      <c r="CQ60" s="12" t="s">
        <v>1384</v>
      </c>
      <c r="CR60" s="12" t="s">
        <v>1384</v>
      </c>
      <c r="CS60" s="12" t="s">
        <v>1384</v>
      </c>
      <c r="CT60" s="12" t="s">
        <v>1384</v>
      </c>
      <c r="CU60" s="12" t="s">
        <v>1384</v>
      </c>
      <c r="CV60" s="12" t="s">
        <v>1384</v>
      </c>
      <c r="CW60" s="12" t="s">
        <v>1384</v>
      </c>
      <c r="CX60" s="12" t="s">
        <v>1384</v>
      </c>
    </row>
    <row r="61" spans="1:102" hidden="1" x14ac:dyDescent="0.3">
      <c r="A61" s="12" t="s">
        <v>1523</v>
      </c>
      <c r="B61" s="12" t="s">
        <v>1359</v>
      </c>
      <c r="C61" s="12" t="s">
        <v>1524</v>
      </c>
      <c r="D61" s="12" t="s">
        <v>1525</v>
      </c>
      <c r="E61" s="12" t="s">
        <v>278</v>
      </c>
      <c r="F61" s="12" t="s">
        <v>278</v>
      </c>
      <c r="G61" s="12" t="s">
        <v>322</v>
      </c>
      <c r="H61" s="12" t="s">
        <v>454</v>
      </c>
      <c r="I61" s="12" t="s">
        <v>567</v>
      </c>
      <c r="J61" s="12" t="s">
        <v>507</v>
      </c>
      <c r="K61" s="12" t="s">
        <v>326</v>
      </c>
      <c r="L61" s="12" t="s">
        <v>377</v>
      </c>
      <c r="M61" s="12" t="s">
        <v>569</v>
      </c>
      <c r="N61" s="12" t="s">
        <v>675</v>
      </c>
      <c r="O61" s="12" t="s">
        <v>558</v>
      </c>
      <c r="P61" s="12" t="s">
        <v>336</v>
      </c>
      <c r="Q61" s="12" t="s">
        <v>421</v>
      </c>
      <c r="R61" s="12" t="s">
        <v>975</v>
      </c>
      <c r="S61" s="12" t="s">
        <v>1055</v>
      </c>
      <c r="T61" s="12" t="s">
        <v>961</v>
      </c>
      <c r="U61" s="12" t="s">
        <v>1513</v>
      </c>
      <c r="V61" s="12" t="s">
        <v>683</v>
      </c>
      <c r="W61" s="12" t="s">
        <v>1302</v>
      </c>
      <c r="X61" s="12" t="s">
        <v>862</v>
      </c>
      <c r="Y61" s="12" t="s">
        <v>908</v>
      </c>
      <c r="Z61" s="12" t="s">
        <v>1515</v>
      </c>
      <c r="AA61" s="12" t="s">
        <v>516</v>
      </c>
      <c r="AB61" s="12" t="s">
        <v>1526</v>
      </c>
      <c r="AC61" s="12" t="s">
        <v>1527</v>
      </c>
      <c r="AD61" s="12" t="s">
        <v>965</v>
      </c>
      <c r="AE61" s="12" t="s">
        <v>475</v>
      </c>
      <c r="AF61" s="12" t="s">
        <v>1123</v>
      </c>
      <c r="AG61" s="12" t="s">
        <v>1123</v>
      </c>
      <c r="AH61" s="12" t="s">
        <v>575</v>
      </c>
      <c r="AI61" s="12" t="s">
        <v>427</v>
      </c>
      <c r="AJ61" s="12" t="s">
        <v>1528</v>
      </c>
      <c r="AK61" s="12" t="s">
        <v>728</v>
      </c>
      <c r="AL61" s="12" t="s">
        <v>728</v>
      </c>
      <c r="AM61" s="12" t="s">
        <v>728</v>
      </c>
      <c r="AN61" s="12" t="s">
        <v>1529</v>
      </c>
      <c r="AO61" s="12" t="s">
        <v>1530</v>
      </c>
      <c r="AP61" s="12" t="s">
        <v>1095</v>
      </c>
      <c r="AQ61" s="12" t="s">
        <v>1095</v>
      </c>
      <c r="AR61" s="12" t="s">
        <v>1095</v>
      </c>
      <c r="AS61" s="12" t="s">
        <v>1095</v>
      </c>
      <c r="AT61" s="12" t="s">
        <v>1095</v>
      </c>
      <c r="AU61" s="12" t="s">
        <v>1095</v>
      </c>
      <c r="AV61" s="12" t="s">
        <v>1095</v>
      </c>
      <c r="AW61" s="12" t="s">
        <v>1095</v>
      </c>
      <c r="AX61" s="12" t="s">
        <v>1095</v>
      </c>
      <c r="AY61" s="12" t="s">
        <v>1095</v>
      </c>
      <c r="AZ61" s="12" t="s">
        <v>1095</v>
      </c>
      <c r="BA61" s="12" t="s">
        <v>1095</v>
      </c>
      <c r="BB61" s="12" t="s">
        <v>1095</v>
      </c>
      <c r="BC61" s="12" t="s">
        <v>1095</v>
      </c>
      <c r="BD61" s="12" t="s">
        <v>1095</v>
      </c>
      <c r="BE61" s="12" t="s">
        <v>1095</v>
      </c>
      <c r="BF61" s="12" t="s">
        <v>1095</v>
      </c>
      <c r="BG61" s="12" t="s">
        <v>1095</v>
      </c>
      <c r="BH61" s="12" t="s">
        <v>1095</v>
      </c>
      <c r="BI61" s="12" t="s">
        <v>1095</v>
      </c>
      <c r="BJ61" s="12" t="s">
        <v>1095</v>
      </c>
      <c r="BK61" s="12" t="s">
        <v>1095</v>
      </c>
      <c r="BL61" s="12" t="s">
        <v>1095</v>
      </c>
      <c r="BM61" s="12" t="s">
        <v>622</v>
      </c>
      <c r="BN61" s="12" t="s">
        <v>622</v>
      </c>
      <c r="BO61" s="12" t="s">
        <v>622</v>
      </c>
      <c r="BP61" s="12" t="s">
        <v>622</v>
      </c>
      <c r="BQ61" s="12" t="s">
        <v>622</v>
      </c>
      <c r="BR61" s="12" t="s">
        <v>622</v>
      </c>
      <c r="BS61" s="12" t="s">
        <v>622</v>
      </c>
      <c r="BT61" s="12" t="s">
        <v>622</v>
      </c>
      <c r="BU61" s="12" t="s">
        <v>1010</v>
      </c>
      <c r="BV61" s="12" t="s">
        <v>1010</v>
      </c>
      <c r="BW61" s="12" t="s">
        <v>980</v>
      </c>
      <c r="BX61" s="12" t="s">
        <v>1531</v>
      </c>
      <c r="BY61" s="12" t="s">
        <v>1310</v>
      </c>
      <c r="BZ61" s="12" t="s">
        <v>1310</v>
      </c>
      <c r="CA61" s="12" t="s">
        <v>1532</v>
      </c>
      <c r="CB61" s="12" t="s">
        <v>1532</v>
      </c>
      <c r="CC61" s="12" t="s">
        <v>1532</v>
      </c>
      <c r="CD61" s="12" t="s">
        <v>1532</v>
      </c>
      <c r="CE61" s="12" t="s">
        <v>1532</v>
      </c>
      <c r="CF61" s="12" t="s">
        <v>1532</v>
      </c>
      <c r="CG61" s="12" t="s">
        <v>1532</v>
      </c>
      <c r="CH61" s="12" t="s">
        <v>1532</v>
      </c>
      <c r="CI61" s="12" t="s">
        <v>1532</v>
      </c>
      <c r="CJ61" s="12" t="s">
        <v>1532</v>
      </c>
      <c r="CK61" s="12" t="s">
        <v>1532</v>
      </c>
      <c r="CL61" s="12" t="s">
        <v>1441</v>
      </c>
      <c r="CM61" s="12" t="s">
        <v>1441</v>
      </c>
      <c r="CN61" s="12" t="s">
        <v>1441</v>
      </c>
      <c r="CO61" s="12" t="s">
        <v>1441</v>
      </c>
      <c r="CP61" s="12" t="s">
        <v>1441</v>
      </c>
      <c r="CQ61" s="12" t="s">
        <v>1441</v>
      </c>
      <c r="CR61" s="12" t="s">
        <v>1441</v>
      </c>
      <c r="CS61" s="12" t="s">
        <v>1441</v>
      </c>
      <c r="CT61" s="12" t="s">
        <v>1441</v>
      </c>
      <c r="CU61" s="12" t="s">
        <v>1441</v>
      </c>
      <c r="CV61" s="12" t="s">
        <v>1441</v>
      </c>
      <c r="CW61" s="12" t="s">
        <v>1441</v>
      </c>
      <c r="CX61" s="12" t="s">
        <v>1441</v>
      </c>
    </row>
    <row r="62" spans="1:102" hidden="1" x14ac:dyDescent="0.3">
      <c r="A62" s="12" t="s">
        <v>1533</v>
      </c>
      <c r="B62" s="12" t="s">
        <v>1359</v>
      </c>
      <c r="C62" s="12" t="s">
        <v>1534</v>
      </c>
      <c r="D62" s="12" t="s">
        <v>1535</v>
      </c>
      <c r="E62" s="12" t="s">
        <v>277</v>
      </c>
      <c r="F62" s="12" t="s">
        <v>322</v>
      </c>
      <c r="G62" s="12" t="s">
        <v>279</v>
      </c>
      <c r="H62" s="12" t="s">
        <v>460</v>
      </c>
      <c r="I62" s="12" t="s">
        <v>461</v>
      </c>
      <c r="J62" s="12" t="s">
        <v>284</v>
      </c>
      <c r="K62" s="12" t="s">
        <v>326</v>
      </c>
      <c r="L62" s="12" t="s">
        <v>327</v>
      </c>
      <c r="M62" s="12" t="s">
        <v>795</v>
      </c>
      <c r="N62" s="12" t="s">
        <v>331</v>
      </c>
      <c r="O62" s="12" t="s">
        <v>555</v>
      </c>
      <c r="P62" s="12" t="s">
        <v>824</v>
      </c>
      <c r="Q62" s="12" t="s">
        <v>692</v>
      </c>
      <c r="R62" s="12" t="s">
        <v>1321</v>
      </c>
      <c r="S62" s="12" t="s">
        <v>1536</v>
      </c>
      <c r="T62" s="12" t="s">
        <v>1537</v>
      </c>
      <c r="U62" s="12" t="s">
        <v>345</v>
      </c>
      <c r="V62" s="12" t="s">
        <v>1538</v>
      </c>
      <c r="W62" s="12" t="s">
        <v>575</v>
      </c>
      <c r="X62" s="12" t="s">
        <v>1064</v>
      </c>
      <c r="Y62" s="12" t="s">
        <v>1539</v>
      </c>
      <c r="Z62" s="12" t="s">
        <v>1540</v>
      </c>
      <c r="AA62" s="12" t="s">
        <v>1392</v>
      </c>
      <c r="AB62" s="12" t="s">
        <v>829</v>
      </c>
      <c r="AC62" s="12" t="s">
        <v>1231</v>
      </c>
      <c r="AD62" s="12" t="s">
        <v>1218</v>
      </c>
      <c r="AE62" s="12" t="s">
        <v>1068</v>
      </c>
      <c r="AF62" s="12" t="s">
        <v>1541</v>
      </c>
      <c r="AG62" s="12" t="s">
        <v>1542</v>
      </c>
      <c r="AH62" s="12" t="s">
        <v>831</v>
      </c>
      <c r="AI62" s="12" t="s">
        <v>1543</v>
      </c>
      <c r="AJ62" s="12" t="s">
        <v>1543</v>
      </c>
      <c r="AK62" s="12" t="s">
        <v>1366</v>
      </c>
      <c r="AL62" s="12" t="s">
        <v>1366</v>
      </c>
      <c r="AM62" s="12" t="s">
        <v>1366</v>
      </c>
      <c r="AN62" s="12" t="s">
        <v>1366</v>
      </c>
      <c r="AO62" s="12" t="s">
        <v>1366</v>
      </c>
      <c r="AP62" s="12" t="s">
        <v>1366</v>
      </c>
      <c r="AQ62" s="12" t="s">
        <v>1366</v>
      </c>
      <c r="AR62" s="12" t="s">
        <v>1366</v>
      </c>
      <c r="AS62" s="12" t="s">
        <v>1366</v>
      </c>
      <c r="AT62" s="12" t="s">
        <v>1366</v>
      </c>
      <c r="AU62" s="12" t="s">
        <v>1366</v>
      </c>
      <c r="AV62" s="12" t="s">
        <v>733</v>
      </c>
      <c r="AW62" s="12" t="s">
        <v>733</v>
      </c>
      <c r="AX62" s="12" t="s">
        <v>733</v>
      </c>
      <c r="AY62" s="12" t="s">
        <v>733</v>
      </c>
      <c r="AZ62" s="12" t="s">
        <v>733</v>
      </c>
      <c r="BA62" s="12" t="s">
        <v>733</v>
      </c>
      <c r="BB62" s="12" t="s">
        <v>521</v>
      </c>
      <c r="BC62" s="12" t="s">
        <v>521</v>
      </c>
      <c r="BD62" s="12" t="s">
        <v>521</v>
      </c>
      <c r="BE62" s="12" t="s">
        <v>521</v>
      </c>
      <c r="BF62" s="12" t="s">
        <v>521</v>
      </c>
      <c r="BG62" s="12" t="s">
        <v>521</v>
      </c>
      <c r="BH62" s="12" t="s">
        <v>521</v>
      </c>
      <c r="BI62" s="12" t="s">
        <v>521</v>
      </c>
      <c r="BJ62" s="12" t="s">
        <v>1544</v>
      </c>
      <c r="BK62" s="12" t="s">
        <v>303</v>
      </c>
      <c r="BL62" s="12" t="s">
        <v>303</v>
      </c>
      <c r="BM62" s="12" t="s">
        <v>303</v>
      </c>
      <c r="BN62" s="12" t="s">
        <v>303</v>
      </c>
      <c r="BO62" s="12" t="s">
        <v>303</v>
      </c>
      <c r="BP62" s="12" t="s">
        <v>303</v>
      </c>
      <c r="BQ62" s="12" t="s">
        <v>303</v>
      </c>
      <c r="BR62" s="12" t="s">
        <v>303</v>
      </c>
      <c r="BS62" s="12" t="s">
        <v>303</v>
      </c>
      <c r="BT62" s="12" t="s">
        <v>303</v>
      </c>
      <c r="BU62" s="12" t="s">
        <v>303</v>
      </c>
      <c r="BV62" s="12" t="s">
        <v>303</v>
      </c>
      <c r="BW62" s="12" t="s">
        <v>303</v>
      </c>
      <c r="BX62" s="12" t="s">
        <v>1545</v>
      </c>
      <c r="BY62" s="12" t="s">
        <v>1546</v>
      </c>
      <c r="BZ62" s="12" t="s">
        <v>1401</v>
      </c>
      <c r="CA62" s="12" t="s">
        <v>749</v>
      </c>
      <c r="CB62" s="12" t="s">
        <v>1547</v>
      </c>
      <c r="CC62" s="12" t="s">
        <v>740</v>
      </c>
      <c r="CD62" s="12" t="s">
        <v>835</v>
      </c>
      <c r="CE62" s="12" t="s">
        <v>364</v>
      </c>
      <c r="CF62" s="12" t="s">
        <v>441</v>
      </c>
      <c r="CG62" s="12" t="s">
        <v>1077</v>
      </c>
      <c r="CH62" s="12" t="s">
        <v>1548</v>
      </c>
      <c r="CI62" s="12" t="s">
        <v>1549</v>
      </c>
      <c r="CJ62" s="12" t="s">
        <v>1550</v>
      </c>
      <c r="CK62" s="12" t="s">
        <v>1551</v>
      </c>
      <c r="CL62" s="12" t="s">
        <v>888</v>
      </c>
      <c r="CM62" s="12" t="s">
        <v>1552</v>
      </c>
      <c r="CN62" s="12" t="s">
        <v>1553</v>
      </c>
      <c r="CO62" s="12" t="s">
        <v>1554</v>
      </c>
      <c r="CP62" s="12" t="s">
        <v>1555</v>
      </c>
      <c r="CQ62" s="12" t="s">
        <v>1556</v>
      </c>
      <c r="CR62" s="12" t="s">
        <v>530</v>
      </c>
      <c r="CS62" s="12" t="s">
        <v>1557</v>
      </c>
      <c r="CT62" s="12" t="s">
        <v>1558</v>
      </c>
      <c r="CU62" s="12" t="s">
        <v>1595</v>
      </c>
      <c r="CV62" s="12" t="s">
        <v>1704</v>
      </c>
      <c r="CW62" s="12" t="s">
        <v>4123</v>
      </c>
      <c r="CX62" s="12" t="s">
        <v>4123</v>
      </c>
    </row>
    <row r="63" spans="1:102" hidden="1" x14ac:dyDescent="0.3">
      <c r="A63" s="12" t="s">
        <v>1559</v>
      </c>
      <c r="B63" s="12" t="s">
        <v>1359</v>
      </c>
      <c r="C63" s="12" t="s">
        <v>1560</v>
      </c>
      <c r="D63" s="12" t="s">
        <v>1561</v>
      </c>
      <c r="E63" s="12" t="s">
        <v>280</v>
      </c>
      <c r="F63" s="12" t="s">
        <v>280</v>
      </c>
      <c r="G63" s="12" t="s">
        <v>460</v>
      </c>
      <c r="H63" s="12" t="s">
        <v>551</v>
      </c>
      <c r="I63" s="12" t="s">
        <v>1051</v>
      </c>
      <c r="J63" s="12" t="s">
        <v>472</v>
      </c>
      <c r="K63" s="12" t="s">
        <v>1384</v>
      </c>
      <c r="L63" s="12" t="s">
        <v>1302</v>
      </c>
      <c r="M63" s="12" t="s">
        <v>727</v>
      </c>
      <c r="N63" s="12" t="s">
        <v>1386</v>
      </c>
      <c r="O63" s="12" t="s">
        <v>1067</v>
      </c>
      <c r="P63" s="12" t="s">
        <v>625</v>
      </c>
      <c r="Q63" s="12" t="s">
        <v>1405</v>
      </c>
      <c r="R63" s="12" t="s">
        <v>1078</v>
      </c>
      <c r="S63" s="12" t="s">
        <v>988</v>
      </c>
      <c r="T63" s="12" t="s">
        <v>1562</v>
      </c>
      <c r="U63" s="12" t="s">
        <v>1563</v>
      </c>
      <c r="V63" s="12" t="s">
        <v>1564</v>
      </c>
      <c r="W63" s="12" t="s">
        <v>1565</v>
      </c>
      <c r="X63" s="12" t="s">
        <v>1566</v>
      </c>
      <c r="Y63" s="12" t="s">
        <v>1567</v>
      </c>
      <c r="Z63" s="12" t="s">
        <v>705</v>
      </c>
      <c r="AA63" s="12" t="s">
        <v>1568</v>
      </c>
      <c r="AB63" s="12" t="s">
        <v>1569</v>
      </c>
      <c r="AC63" s="12" t="s">
        <v>708</v>
      </c>
      <c r="AD63" s="12" t="s">
        <v>867</v>
      </c>
      <c r="AE63" s="12" t="s">
        <v>1570</v>
      </c>
      <c r="AF63" s="12" t="s">
        <v>1571</v>
      </c>
      <c r="AG63" s="12" t="s">
        <v>1572</v>
      </c>
      <c r="AH63" s="12" t="s">
        <v>484</v>
      </c>
      <c r="AI63" s="12" t="s">
        <v>1573</v>
      </c>
      <c r="AJ63" s="12" t="s">
        <v>1574</v>
      </c>
      <c r="AK63" s="12" t="s">
        <v>1575</v>
      </c>
      <c r="AL63" s="12" t="s">
        <v>1575</v>
      </c>
      <c r="AM63" s="12" t="s">
        <v>1575</v>
      </c>
      <c r="AN63" s="12" t="s">
        <v>1575</v>
      </c>
      <c r="AO63" s="12" t="s">
        <v>1576</v>
      </c>
      <c r="AP63" s="12" t="s">
        <v>1576</v>
      </c>
      <c r="AQ63" s="12" t="s">
        <v>1576</v>
      </c>
      <c r="AR63" s="12" t="s">
        <v>1576</v>
      </c>
      <c r="AS63" s="12" t="s">
        <v>1576</v>
      </c>
      <c r="AT63" s="12" t="s">
        <v>1576</v>
      </c>
      <c r="AU63" s="12" t="s">
        <v>1576</v>
      </c>
      <c r="AV63" s="12" t="s">
        <v>1576</v>
      </c>
      <c r="AW63" s="12" t="s">
        <v>1576</v>
      </c>
      <c r="AX63" s="12" t="s">
        <v>1576</v>
      </c>
      <c r="AY63" s="12" t="s">
        <v>1576</v>
      </c>
      <c r="AZ63" s="12" t="s">
        <v>1576</v>
      </c>
      <c r="BA63" s="12" t="s">
        <v>1576</v>
      </c>
      <c r="BB63" s="12" t="s">
        <v>1577</v>
      </c>
      <c r="BC63" s="12" t="s">
        <v>1577</v>
      </c>
      <c r="BD63" s="12" t="s">
        <v>1577</v>
      </c>
      <c r="BE63" s="12" t="s">
        <v>1577</v>
      </c>
      <c r="BF63" s="12" t="s">
        <v>1577</v>
      </c>
      <c r="BG63" s="12" t="s">
        <v>1577</v>
      </c>
      <c r="BH63" s="12" t="s">
        <v>1577</v>
      </c>
      <c r="BI63" s="12" t="s">
        <v>1577</v>
      </c>
      <c r="BJ63" s="12" t="s">
        <v>1577</v>
      </c>
      <c r="BK63" s="12" t="s">
        <v>1577</v>
      </c>
      <c r="BL63" s="12" t="s">
        <v>1577</v>
      </c>
      <c r="BM63" s="12" t="s">
        <v>1578</v>
      </c>
      <c r="BN63" s="12" t="s">
        <v>1578</v>
      </c>
      <c r="BO63" s="12" t="s">
        <v>1578</v>
      </c>
      <c r="BP63" s="12" t="s">
        <v>1578</v>
      </c>
      <c r="BQ63" s="12" t="s">
        <v>1579</v>
      </c>
      <c r="BR63" s="12" t="s">
        <v>1579</v>
      </c>
      <c r="BS63" s="12" t="s">
        <v>1579</v>
      </c>
      <c r="BT63" s="12" t="s">
        <v>1580</v>
      </c>
      <c r="BU63" s="12" t="s">
        <v>1580</v>
      </c>
      <c r="BV63" s="12" t="s">
        <v>1580</v>
      </c>
      <c r="BW63" s="12" t="s">
        <v>1580</v>
      </c>
      <c r="BX63" s="12" t="s">
        <v>1580</v>
      </c>
      <c r="BY63" s="12" t="s">
        <v>1580</v>
      </c>
      <c r="BZ63" s="12" t="s">
        <v>1580</v>
      </c>
      <c r="CA63" s="12" t="s">
        <v>1580</v>
      </c>
      <c r="CB63" s="12" t="s">
        <v>1580</v>
      </c>
      <c r="CC63" s="12" t="s">
        <v>1580</v>
      </c>
      <c r="CD63" s="12" t="s">
        <v>1580</v>
      </c>
      <c r="CE63" s="12" t="s">
        <v>1580</v>
      </c>
      <c r="CF63" s="12" t="s">
        <v>1580</v>
      </c>
      <c r="CG63" s="12" t="s">
        <v>1580</v>
      </c>
      <c r="CH63" s="12" t="s">
        <v>1580</v>
      </c>
      <c r="CI63" s="12" t="s">
        <v>1580</v>
      </c>
      <c r="CJ63" s="12" t="s">
        <v>1580</v>
      </c>
      <c r="CK63" s="12" t="s">
        <v>1580</v>
      </c>
      <c r="CL63" s="12" t="s">
        <v>1580</v>
      </c>
      <c r="CM63" s="12" t="s">
        <v>1580</v>
      </c>
      <c r="CN63" s="12" t="s">
        <v>1580</v>
      </c>
      <c r="CO63" s="12" t="s">
        <v>1580</v>
      </c>
      <c r="CP63" s="12" t="s">
        <v>1580</v>
      </c>
      <c r="CQ63" s="12" t="s">
        <v>1580</v>
      </c>
      <c r="CR63" s="12" t="s">
        <v>1580</v>
      </c>
      <c r="CS63" s="12" t="s">
        <v>1580</v>
      </c>
      <c r="CT63" s="12" t="s">
        <v>1580</v>
      </c>
      <c r="CU63" s="12" t="s">
        <v>1580</v>
      </c>
      <c r="CV63" s="12" t="s">
        <v>1580</v>
      </c>
      <c r="CW63" s="12" t="s">
        <v>1580</v>
      </c>
      <c r="CX63" s="12" t="s">
        <v>1580</v>
      </c>
    </row>
    <row r="64" spans="1:102" hidden="1" x14ac:dyDescent="0.3">
      <c r="A64" s="12" t="s">
        <v>1581</v>
      </c>
      <c r="B64" s="12" t="s">
        <v>1359</v>
      </c>
      <c r="C64" s="12" t="s">
        <v>1582</v>
      </c>
      <c r="D64" s="12" t="s">
        <v>1583</v>
      </c>
      <c r="E64" s="12" t="s">
        <v>277</v>
      </c>
      <c r="F64" s="12" t="s">
        <v>322</v>
      </c>
      <c r="G64" s="12" t="s">
        <v>322</v>
      </c>
      <c r="H64" s="12" t="s">
        <v>280</v>
      </c>
      <c r="I64" s="12" t="s">
        <v>454</v>
      </c>
      <c r="J64" s="12" t="s">
        <v>454</v>
      </c>
      <c r="K64" s="12" t="s">
        <v>454</v>
      </c>
      <c r="L64" s="12" t="s">
        <v>323</v>
      </c>
      <c r="M64" s="12" t="s">
        <v>323</v>
      </c>
      <c r="N64" s="12" t="s">
        <v>324</v>
      </c>
      <c r="O64" s="12" t="s">
        <v>567</v>
      </c>
      <c r="P64" s="12" t="s">
        <v>461</v>
      </c>
      <c r="Q64" s="12" t="s">
        <v>461</v>
      </c>
      <c r="R64" s="12" t="s">
        <v>372</v>
      </c>
      <c r="S64" s="12" t="s">
        <v>284</v>
      </c>
      <c r="T64" s="12" t="s">
        <v>286</v>
      </c>
      <c r="U64" s="12" t="s">
        <v>456</v>
      </c>
      <c r="V64" s="12" t="s">
        <v>375</v>
      </c>
      <c r="W64" s="12" t="s">
        <v>652</v>
      </c>
      <c r="X64" s="12" t="s">
        <v>327</v>
      </c>
      <c r="Y64" s="12" t="s">
        <v>690</v>
      </c>
      <c r="Z64" s="12" t="s">
        <v>653</v>
      </c>
      <c r="AA64" s="12" t="s">
        <v>418</v>
      </c>
      <c r="AB64" s="12" t="s">
        <v>468</v>
      </c>
      <c r="AC64" s="12" t="s">
        <v>468</v>
      </c>
      <c r="AD64" s="12" t="s">
        <v>691</v>
      </c>
      <c r="AE64" s="12" t="s">
        <v>379</v>
      </c>
      <c r="AF64" s="12" t="s">
        <v>552</v>
      </c>
      <c r="AG64" s="12" t="s">
        <v>879</v>
      </c>
      <c r="AH64" s="12" t="s">
        <v>469</v>
      </c>
      <c r="AI64" s="12" t="s">
        <v>469</v>
      </c>
      <c r="AJ64" s="12" t="s">
        <v>673</v>
      </c>
      <c r="AK64" s="12" t="s">
        <v>288</v>
      </c>
      <c r="AL64" s="12" t="s">
        <v>470</v>
      </c>
      <c r="AM64" s="12" t="s">
        <v>289</v>
      </c>
      <c r="AN64" s="12" t="s">
        <v>556</v>
      </c>
      <c r="AO64" s="12" t="s">
        <v>570</v>
      </c>
      <c r="AP64" s="12" t="s">
        <v>290</v>
      </c>
      <c r="AQ64" s="12" t="s">
        <v>824</v>
      </c>
      <c r="AR64" s="12" t="s">
        <v>558</v>
      </c>
      <c r="AS64" s="12" t="s">
        <v>560</v>
      </c>
      <c r="AT64" s="12" t="s">
        <v>560</v>
      </c>
      <c r="AU64" s="12" t="s">
        <v>563</v>
      </c>
      <c r="AV64" s="12" t="s">
        <v>563</v>
      </c>
      <c r="AW64" s="12" t="s">
        <v>959</v>
      </c>
      <c r="AX64" s="12" t="s">
        <v>1197</v>
      </c>
      <c r="AY64" s="12" t="s">
        <v>1052</v>
      </c>
      <c r="AZ64" s="12" t="s">
        <v>510</v>
      </c>
      <c r="BA64" s="12" t="s">
        <v>292</v>
      </c>
      <c r="BB64" s="12" t="s">
        <v>975</v>
      </c>
      <c r="BC64" s="12" t="s">
        <v>1054</v>
      </c>
      <c r="BD64" s="12" t="s">
        <v>572</v>
      </c>
      <c r="BE64" s="12" t="s">
        <v>724</v>
      </c>
      <c r="BF64" s="12" t="s">
        <v>1584</v>
      </c>
      <c r="BG64" s="12" t="s">
        <v>1321</v>
      </c>
      <c r="BH64" s="12" t="s">
        <v>1009</v>
      </c>
      <c r="BI64" s="12" t="s">
        <v>1267</v>
      </c>
      <c r="BJ64" s="12" t="s">
        <v>1585</v>
      </c>
      <c r="BK64" s="12" t="s">
        <v>827</v>
      </c>
      <c r="BL64" s="12" t="s">
        <v>296</v>
      </c>
      <c r="BM64" s="12" t="s">
        <v>1530</v>
      </c>
      <c r="BN64" s="12" t="s">
        <v>1586</v>
      </c>
      <c r="BO64" s="12" t="s">
        <v>1587</v>
      </c>
      <c r="BP64" s="12" t="s">
        <v>1393</v>
      </c>
      <c r="BQ64" s="12" t="s">
        <v>731</v>
      </c>
      <c r="BR64" s="12" t="s">
        <v>1588</v>
      </c>
      <c r="BS64" s="12" t="s">
        <v>1404</v>
      </c>
      <c r="BT64" s="12" t="s">
        <v>799</v>
      </c>
      <c r="BU64" s="12" t="s">
        <v>1589</v>
      </c>
      <c r="BV64" s="12" t="s">
        <v>308</v>
      </c>
      <c r="BW64" s="12" t="s">
        <v>1590</v>
      </c>
      <c r="BX64" s="12" t="s">
        <v>1591</v>
      </c>
      <c r="BY64" s="12" t="s">
        <v>1592</v>
      </c>
      <c r="BZ64" s="12" t="s">
        <v>1593</v>
      </c>
      <c r="CA64" s="12" t="s">
        <v>1594</v>
      </c>
      <c r="CB64" s="12" t="s">
        <v>1563</v>
      </c>
      <c r="CC64" s="12" t="s">
        <v>1595</v>
      </c>
      <c r="CD64" s="12" t="s">
        <v>1596</v>
      </c>
      <c r="CE64" s="12" t="s">
        <v>1376</v>
      </c>
      <c r="CF64" s="12" t="s">
        <v>1379</v>
      </c>
      <c r="CG64" s="12" t="s">
        <v>1597</v>
      </c>
      <c r="CH64" s="12" t="s">
        <v>1598</v>
      </c>
      <c r="CI64" s="12" t="s">
        <v>993</v>
      </c>
      <c r="CJ64" s="12" t="s">
        <v>866</v>
      </c>
      <c r="CK64" s="12" t="s">
        <v>1129</v>
      </c>
      <c r="CL64" s="12" t="s">
        <v>1129</v>
      </c>
      <c r="CM64" s="12" t="s">
        <v>1013</v>
      </c>
      <c r="CN64" s="12" t="s">
        <v>648</v>
      </c>
      <c r="CO64" s="12" t="s">
        <v>1599</v>
      </c>
      <c r="CP64" s="12" t="s">
        <v>1599</v>
      </c>
      <c r="CQ64" s="12" t="s">
        <v>580</v>
      </c>
      <c r="CR64" s="12" t="s">
        <v>1565</v>
      </c>
      <c r="CS64" s="12" t="s">
        <v>1600</v>
      </c>
      <c r="CT64" s="12" t="s">
        <v>1600</v>
      </c>
      <c r="CU64" s="12" t="s">
        <v>994</v>
      </c>
      <c r="CV64" s="12" t="s">
        <v>994</v>
      </c>
      <c r="CW64" s="12" t="s">
        <v>994</v>
      </c>
      <c r="CX64" s="12" t="s">
        <v>994</v>
      </c>
    </row>
    <row r="65" spans="1:102" hidden="1" x14ac:dyDescent="0.3">
      <c r="A65" s="12" t="s">
        <v>1601</v>
      </c>
      <c r="B65" s="12" t="s">
        <v>1359</v>
      </c>
      <c r="C65" s="12" t="s">
        <v>1602</v>
      </c>
      <c r="D65" s="12" t="s">
        <v>1603</v>
      </c>
      <c r="E65" s="12" t="s">
        <v>302</v>
      </c>
      <c r="F65" s="12" t="s">
        <v>302</v>
      </c>
      <c r="G65" s="12" t="s">
        <v>1072</v>
      </c>
      <c r="H65" s="12" t="s">
        <v>1604</v>
      </c>
      <c r="I65" s="12" t="s">
        <v>802</v>
      </c>
      <c r="J65" s="12" t="s">
        <v>395</v>
      </c>
      <c r="K65" s="12" t="s">
        <v>1605</v>
      </c>
      <c r="L65" s="12" t="s">
        <v>1605</v>
      </c>
      <c r="M65" s="12" t="s">
        <v>1606</v>
      </c>
      <c r="N65" s="12" t="s">
        <v>1607</v>
      </c>
      <c r="O65" s="12" t="s">
        <v>1608</v>
      </c>
      <c r="P65" s="12" t="s">
        <v>1609</v>
      </c>
      <c r="Q65" s="12" t="s">
        <v>1610</v>
      </c>
      <c r="R65" s="12" t="s">
        <v>1611</v>
      </c>
      <c r="S65" s="12" t="s">
        <v>1612</v>
      </c>
      <c r="T65" s="12" t="s">
        <v>1613</v>
      </c>
      <c r="U65" s="12" t="s">
        <v>1614</v>
      </c>
      <c r="V65" s="12" t="s">
        <v>1615</v>
      </c>
      <c r="W65" s="12" t="s">
        <v>1616</v>
      </c>
      <c r="X65" s="12" t="s">
        <v>1617</v>
      </c>
      <c r="Y65" s="12" t="s">
        <v>1618</v>
      </c>
      <c r="Z65" s="12" t="s">
        <v>1618</v>
      </c>
      <c r="AA65" s="12" t="s">
        <v>1619</v>
      </c>
      <c r="AB65" s="12" t="s">
        <v>1620</v>
      </c>
      <c r="AC65" s="12" t="s">
        <v>1621</v>
      </c>
      <c r="AD65" s="12" t="s">
        <v>1622</v>
      </c>
      <c r="AE65" s="12" t="s">
        <v>1623</v>
      </c>
      <c r="AF65" s="12" t="s">
        <v>1624</v>
      </c>
      <c r="AG65" s="12" t="s">
        <v>1625</v>
      </c>
      <c r="AH65" s="12" t="s">
        <v>1626</v>
      </c>
      <c r="AI65" s="12" t="s">
        <v>1627</v>
      </c>
      <c r="AJ65" s="12" t="s">
        <v>1628</v>
      </c>
      <c r="AK65" s="12" t="s">
        <v>1628</v>
      </c>
      <c r="AL65" s="12" t="s">
        <v>1629</v>
      </c>
      <c r="AM65" s="12" t="s">
        <v>1630</v>
      </c>
      <c r="AN65" s="12" t="s">
        <v>1631</v>
      </c>
      <c r="AO65" s="12" t="s">
        <v>1632</v>
      </c>
      <c r="AP65" s="12" t="s">
        <v>1633</v>
      </c>
      <c r="AQ65" s="12" t="s">
        <v>1634</v>
      </c>
      <c r="AR65" s="12" t="s">
        <v>1635</v>
      </c>
      <c r="AS65" s="12" t="s">
        <v>1636</v>
      </c>
      <c r="AT65" s="12" t="s">
        <v>1637</v>
      </c>
      <c r="AU65" s="12" t="s">
        <v>1638</v>
      </c>
      <c r="AV65" s="12" t="s">
        <v>1639</v>
      </c>
      <c r="AW65" s="12" t="s">
        <v>1640</v>
      </c>
      <c r="AX65" s="12" t="s">
        <v>1641</v>
      </c>
      <c r="AY65" s="12" t="s">
        <v>1642</v>
      </c>
      <c r="AZ65" s="12" t="s">
        <v>1643</v>
      </c>
      <c r="BA65" s="12" t="s">
        <v>1644</v>
      </c>
      <c r="BB65" s="12" t="s">
        <v>1645</v>
      </c>
      <c r="BC65" s="12" t="s">
        <v>1646</v>
      </c>
      <c r="BD65" s="12" t="s">
        <v>1647</v>
      </c>
      <c r="BE65" s="12" t="s">
        <v>1648</v>
      </c>
      <c r="BF65" s="12" t="s">
        <v>1649</v>
      </c>
      <c r="BG65" s="12" t="s">
        <v>1650</v>
      </c>
      <c r="BH65" s="12" t="s">
        <v>1651</v>
      </c>
      <c r="BI65" s="12" t="s">
        <v>1652</v>
      </c>
      <c r="BJ65" s="12" t="s">
        <v>1652</v>
      </c>
      <c r="BK65" s="12" t="s">
        <v>1652</v>
      </c>
      <c r="BL65" s="12" t="s">
        <v>1652</v>
      </c>
      <c r="BM65" s="12" t="s">
        <v>1652</v>
      </c>
      <c r="BN65" s="12" t="s">
        <v>1652</v>
      </c>
      <c r="BO65" s="12" t="s">
        <v>1653</v>
      </c>
      <c r="BP65" s="12" t="s">
        <v>1653</v>
      </c>
      <c r="BQ65" s="12" t="s">
        <v>1653</v>
      </c>
      <c r="BR65" s="12" t="s">
        <v>1653</v>
      </c>
      <c r="BS65" s="12" t="s">
        <v>1653</v>
      </c>
      <c r="BT65" s="12" t="s">
        <v>1653</v>
      </c>
      <c r="BU65" s="12" t="s">
        <v>1653</v>
      </c>
      <c r="BV65" s="12" t="s">
        <v>1653</v>
      </c>
      <c r="BW65" s="12" t="s">
        <v>1654</v>
      </c>
      <c r="BX65" s="12" t="s">
        <v>1654</v>
      </c>
      <c r="BY65" s="12" t="s">
        <v>1654</v>
      </c>
      <c r="BZ65" s="12" t="s">
        <v>1655</v>
      </c>
      <c r="CA65" s="12" t="s">
        <v>1655</v>
      </c>
      <c r="CB65" s="12" t="s">
        <v>1655</v>
      </c>
      <c r="CC65" s="12" t="s">
        <v>1655</v>
      </c>
      <c r="CD65" s="12" t="s">
        <v>1655</v>
      </c>
      <c r="CE65" s="12" t="s">
        <v>1655</v>
      </c>
      <c r="CF65" s="12" t="s">
        <v>1655</v>
      </c>
      <c r="CG65" s="12" t="s">
        <v>1655</v>
      </c>
      <c r="CH65" s="12" t="s">
        <v>1655</v>
      </c>
      <c r="CI65" s="12" t="s">
        <v>1655</v>
      </c>
      <c r="CJ65" s="12" t="s">
        <v>1655</v>
      </c>
      <c r="CK65" s="12" t="s">
        <v>1655</v>
      </c>
      <c r="CL65" s="12" t="s">
        <v>1655</v>
      </c>
      <c r="CM65" s="12" t="s">
        <v>1656</v>
      </c>
      <c r="CN65" s="12" t="s">
        <v>1656</v>
      </c>
      <c r="CO65" s="12" t="s">
        <v>1656</v>
      </c>
      <c r="CP65" s="12" t="s">
        <v>1656</v>
      </c>
      <c r="CQ65" s="12" t="s">
        <v>1656</v>
      </c>
      <c r="CR65" s="12" t="s">
        <v>1656</v>
      </c>
      <c r="CS65" s="12" t="s">
        <v>1656</v>
      </c>
      <c r="CT65" s="12" t="s">
        <v>1656</v>
      </c>
      <c r="CU65" s="12" t="s">
        <v>1656</v>
      </c>
      <c r="CV65" s="12" t="s">
        <v>1656</v>
      </c>
      <c r="CW65" s="12" t="s">
        <v>1656</v>
      </c>
      <c r="CX65" s="12" t="s">
        <v>1656</v>
      </c>
    </row>
    <row r="66" spans="1:102" hidden="1" x14ac:dyDescent="0.3">
      <c r="A66" s="12" t="s">
        <v>1657</v>
      </c>
      <c r="B66" s="12" t="s">
        <v>1359</v>
      </c>
      <c r="C66" s="12" t="s">
        <v>1658</v>
      </c>
      <c r="D66" s="12" t="s">
        <v>1659</v>
      </c>
      <c r="E66" s="12" t="s">
        <v>279</v>
      </c>
      <c r="F66" s="12" t="s">
        <v>460</v>
      </c>
      <c r="G66" s="12" t="s">
        <v>286</v>
      </c>
      <c r="H66" s="12" t="s">
        <v>958</v>
      </c>
      <c r="I66" s="12" t="s">
        <v>673</v>
      </c>
      <c r="J66" s="12" t="s">
        <v>560</v>
      </c>
      <c r="K66" s="12" t="s">
        <v>1519</v>
      </c>
      <c r="L66" s="12" t="s">
        <v>621</v>
      </c>
      <c r="M66" s="12" t="s">
        <v>345</v>
      </c>
      <c r="N66" s="12" t="s">
        <v>1660</v>
      </c>
      <c r="O66" s="12" t="s">
        <v>1417</v>
      </c>
      <c r="P66" s="12" t="s">
        <v>1661</v>
      </c>
      <c r="Q66" s="12" t="s">
        <v>304</v>
      </c>
      <c r="R66" s="12" t="s">
        <v>1074</v>
      </c>
      <c r="S66" s="12" t="s">
        <v>1077</v>
      </c>
      <c r="T66" s="12" t="s">
        <v>1662</v>
      </c>
      <c r="U66" s="12" t="s">
        <v>1224</v>
      </c>
      <c r="V66" s="12" t="s">
        <v>865</v>
      </c>
      <c r="W66" s="12" t="s">
        <v>1663</v>
      </c>
      <c r="X66" s="12" t="s">
        <v>1664</v>
      </c>
      <c r="Y66" s="12" t="s">
        <v>1665</v>
      </c>
      <c r="Z66" s="12" t="s">
        <v>992</v>
      </c>
      <c r="AA66" s="12" t="s">
        <v>701</v>
      </c>
      <c r="AB66" s="12" t="s">
        <v>1378</v>
      </c>
      <c r="AC66" s="12" t="s">
        <v>644</v>
      </c>
      <c r="AD66" s="12" t="s">
        <v>1598</v>
      </c>
      <c r="AE66" s="12" t="s">
        <v>1666</v>
      </c>
      <c r="AF66" s="12" t="s">
        <v>645</v>
      </c>
      <c r="AG66" s="12" t="s">
        <v>1667</v>
      </c>
      <c r="AH66" s="12" t="s">
        <v>1668</v>
      </c>
      <c r="AI66" s="12" t="s">
        <v>1669</v>
      </c>
      <c r="AJ66" s="12" t="s">
        <v>533</v>
      </c>
      <c r="AK66" s="12" t="s">
        <v>1670</v>
      </c>
      <c r="AL66" s="12" t="s">
        <v>1670</v>
      </c>
      <c r="AM66" s="12" t="s">
        <v>1670</v>
      </c>
      <c r="AN66" s="12" t="s">
        <v>1670</v>
      </c>
      <c r="AO66" s="12" t="s">
        <v>1129</v>
      </c>
      <c r="AP66" s="12" t="s">
        <v>1129</v>
      </c>
      <c r="AQ66" s="12" t="s">
        <v>752</v>
      </c>
      <c r="AR66" s="12" t="s">
        <v>752</v>
      </c>
      <c r="AS66" s="12" t="s">
        <v>752</v>
      </c>
      <c r="AT66" s="12" t="s">
        <v>752</v>
      </c>
      <c r="AU66" s="12" t="s">
        <v>752</v>
      </c>
      <c r="AV66" s="12" t="s">
        <v>752</v>
      </c>
      <c r="AW66" s="12" t="s">
        <v>752</v>
      </c>
      <c r="AX66" s="12" t="s">
        <v>752</v>
      </c>
      <c r="AY66" s="12" t="s">
        <v>752</v>
      </c>
      <c r="AZ66" s="12" t="s">
        <v>752</v>
      </c>
      <c r="BA66" s="12" t="s">
        <v>752</v>
      </c>
      <c r="BB66" s="12" t="s">
        <v>752</v>
      </c>
      <c r="BC66" s="12" t="s">
        <v>752</v>
      </c>
      <c r="BD66" s="12" t="s">
        <v>752</v>
      </c>
      <c r="BE66" s="12" t="s">
        <v>752</v>
      </c>
      <c r="BF66" s="12" t="s">
        <v>752</v>
      </c>
      <c r="BG66" s="12" t="s">
        <v>752</v>
      </c>
      <c r="BH66" s="12" t="s">
        <v>752</v>
      </c>
      <c r="BI66" s="12" t="s">
        <v>752</v>
      </c>
      <c r="BJ66" s="12" t="s">
        <v>752</v>
      </c>
      <c r="BK66" s="12" t="s">
        <v>752</v>
      </c>
      <c r="BL66" s="12" t="s">
        <v>752</v>
      </c>
      <c r="BM66" s="12" t="s">
        <v>752</v>
      </c>
      <c r="BN66" s="12" t="s">
        <v>752</v>
      </c>
      <c r="BO66" s="12" t="s">
        <v>752</v>
      </c>
      <c r="BP66" s="12" t="s">
        <v>752</v>
      </c>
      <c r="BQ66" s="12" t="s">
        <v>752</v>
      </c>
      <c r="BR66" s="12" t="s">
        <v>752</v>
      </c>
      <c r="BS66" s="12" t="s">
        <v>752</v>
      </c>
      <c r="BT66" s="12" t="s">
        <v>752</v>
      </c>
      <c r="BU66" s="12" t="s">
        <v>752</v>
      </c>
      <c r="BV66" s="12" t="s">
        <v>752</v>
      </c>
      <c r="BW66" s="12" t="s">
        <v>752</v>
      </c>
      <c r="BX66" s="12" t="s">
        <v>647</v>
      </c>
      <c r="BY66" s="12" t="s">
        <v>647</v>
      </c>
      <c r="BZ66" s="12" t="s">
        <v>647</v>
      </c>
      <c r="CA66" s="12" t="s">
        <v>647</v>
      </c>
      <c r="CB66" s="12" t="s">
        <v>647</v>
      </c>
      <c r="CC66" s="12" t="s">
        <v>647</v>
      </c>
      <c r="CD66" s="12" t="s">
        <v>647</v>
      </c>
      <c r="CE66" s="12" t="s">
        <v>647</v>
      </c>
      <c r="CF66" s="12" t="s">
        <v>647</v>
      </c>
      <c r="CG66" s="12" t="s">
        <v>647</v>
      </c>
      <c r="CH66" s="12" t="s">
        <v>647</v>
      </c>
      <c r="CI66" s="12" t="s">
        <v>647</v>
      </c>
      <c r="CJ66" s="12" t="s">
        <v>647</v>
      </c>
      <c r="CK66" s="12" t="s">
        <v>647</v>
      </c>
      <c r="CL66" s="12" t="s">
        <v>647</v>
      </c>
      <c r="CM66" s="12" t="s">
        <v>647</v>
      </c>
      <c r="CN66" s="12" t="s">
        <v>647</v>
      </c>
      <c r="CO66" s="12" t="s">
        <v>647</v>
      </c>
      <c r="CP66" s="12" t="s">
        <v>647</v>
      </c>
      <c r="CQ66" s="12" t="s">
        <v>647</v>
      </c>
      <c r="CR66" s="12" t="s">
        <v>647</v>
      </c>
      <c r="CS66" s="12" t="s">
        <v>647</v>
      </c>
      <c r="CT66" s="12" t="s">
        <v>647</v>
      </c>
      <c r="CU66" s="12" t="s">
        <v>647</v>
      </c>
      <c r="CV66" s="12" t="s">
        <v>647</v>
      </c>
      <c r="CW66" s="12" t="s">
        <v>647</v>
      </c>
      <c r="CX66" s="12" t="s">
        <v>647</v>
      </c>
    </row>
    <row r="67" spans="1:102" hidden="1" x14ac:dyDescent="0.3">
      <c r="A67" s="12" t="s">
        <v>1671</v>
      </c>
      <c r="B67" s="12" t="s">
        <v>1359</v>
      </c>
      <c r="C67" s="12" t="s">
        <v>1672</v>
      </c>
      <c r="D67" s="12" t="s">
        <v>1673</v>
      </c>
      <c r="E67" s="12" t="s">
        <v>277</v>
      </c>
      <c r="F67" s="12" t="s">
        <v>277</v>
      </c>
      <c r="G67" s="12" t="s">
        <v>278</v>
      </c>
      <c r="H67" s="12" t="s">
        <v>281</v>
      </c>
      <c r="I67" s="12" t="s">
        <v>281</v>
      </c>
      <c r="J67" s="12" t="s">
        <v>282</v>
      </c>
      <c r="K67" s="12" t="s">
        <v>461</v>
      </c>
      <c r="L67" s="12" t="s">
        <v>283</v>
      </c>
      <c r="M67" s="12" t="s">
        <v>373</v>
      </c>
      <c r="N67" s="12" t="s">
        <v>374</v>
      </c>
      <c r="O67" s="12" t="s">
        <v>325</v>
      </c>
      <c r="P67" s="12" t="s">
        <v>612</v>
      </c>
      <c r="Q67" s="12" t="s">
        <v>466</v>
      </c>
      <c r="R67" s="12" t="s">
        <v>616</v>
      </c>
      <c r="S67" s="12" t="s">
        <v>328</v>
      </c>
      <c r="T67" s="12" t="s">
        <v>617</v>
      </c>
      <c r="U67" s="12" t="s">
        <v>653</v>
      </c>
      <c r="V67" s="12" t="s">
        <v>508</v>
      </c>
      <c r="W67" s="12" t="s">
        <v>378</v>
      </c>
      <c r="X67" s="12" t="s">
        <v>1112</v>
      </c>
      <c r="Y67" s="12" t="s">
        <v>1112</v>
      </c>
      <c r="Z67" s="12" t="s">
        <v>379</v>
      </c>
      <c r="AA67" s="12" t="s">
        <v>618</v>
      </c>
      <c r="AB67" s="12" t="s">
        <v>569</v>
      </c>
      <c r="AC67" s="12" t="s">
        <v>469</v>
      </c>
      <c r="AD67" s="12" t="s">
        <v>333</v>
      </c>
      <c r="AE67" s="12" t="s">
        <v>674</v>
      </c>
      <c r="AF67" s="12" t="s">
        <v>819</v>
      </c>
      <c r="AG67" s="12" t="s">
        <v>419</v>
      </c>
      <c r="AH67" s="12" t="s">
        <v>419</v>
      </c>
      <c r="AI67" s="12" t="s">
        <v>419</v>
      </c>
      <c r="AJ67" s="12" t="s">
        <v>419</v>
      </c>
      <c r="AK67" s="12" t="s">
        <v>419</v>
      </c>
      <c r="AL67" s="12" t="s">
        <v>419</v>
      </c>
      <c r="AM67" s="12" t="s">
        <v>419</v>
      </c>
      <c r="AN67" s="12" t="s">
        <v>419</v>
      </c>
      <c r="AO67" s="12" t="s">
        <v>419</v>
      </c>
      <c r="AP67" s="12" t="s">
        <v>419</v>
      </c>
      <c r="AQ67" s="12" t="s">
        <v>419</v>
      </c>
      <c r="AR67" s="12" t="s">
        <v>419</v>
      </c>
      <c r="AS67" s="12" t="s">
        <v>419</v>
      </c>
      <c r="AT67" s="12" t="s">
        <v>419</v>
      </c>
      <c r="AU67" s="12" t="s">
        <v>419</v>
      </c>
      <c r="AV67" s="12" t="s">
        <v>419</v>
      </c>
      <c r="AW67" s="12" t="s">
        <v>419</v>
      </c>
      <c r="AX67" s="12" t="s">
        <v>419</v>
      </c>
      <c r="AY67" s="12" t="s">
        <v>419</v>
      </c>
      <c r="AZ67" s="12" t="s">
        <v>419</v>
      </c>
      <c r="BA67" s="12" t="s">
        <v>419</v>
      </c>
      <c r="BB67" s="12" t="s">
        <v>419</v>
      </c>
      <c r="BC67" s="12" t="s">
        <v>419</v>
      </c>
      <c r="BD67" s="12" t="s">
        <v>419</v>
      </c>
      <c r="BE67" s="12" t="s">
        <v>419</v>
      </c>
      <c r="BF67" s="12" t="s">
        <v>419</v>
      </c>
      <c r="BG67" s="12" t="s">
        <v>419</v>
      </c>
      <c r="BH67" s="12" t="s">
        <v>419</v>
      </c>
      <c r="BI67" s="12" t="s">
        <v>419</v>
      </c>
      <c r="BJ67" s="12" t="s">
        <v>419</v>
      </c>
      <c r="BK67" s="12" t="s">
        <v>419</v>
      </c>
      <c r="BL67" s="12" t="s">
        <v>419</v>
      </c>
      <c r="BM67" s="12" t="s">
        <v>419</v>
      </c>
      <c r="BN67" s="12" t="s">
        <v>419</v>
      </c>
      <c r="BO67" s="12" t="s">
        <v>419</v>
      </c>
      <c r="BP67" s="12" t="s">
        <v>554</v>
      </c>
      <c r="BQ67" s="12" t="s">
        <v>335</v>
      </c>
      <c r="BR67" s="12" t="s">
        <v>570</v>
      </c>
      <c r="BS67" s="12" t="s">
        <v>290</v>
      </c>
      <c r="BT67" s="12" t="s">
        <v>824</v>
      </c>
      <c r="BU67" s="12" t="s">
        <v>471</v>
      </c>
      <c r="BV67" s="12" t="s">
        <v>959</v>
      </c>
      <c r="BW67" s="12" t="s">
        <v>678</v>
      </c>
      <c r="BX67" s="12" t="s">
        <v>1116</v>
      </c>
      <c r="BY67" s="12" t="s">
        <v>1116</v>
      </c>
      <c r="BZ67" s="12" t="s">
        <v>1116</v>
      </c>
      <c r="CA67" s="12" t="s">
        <v>1116</v>
      </c>
      <c r="CB67" s="12" t="s">
        <v>1199</v>
      </c>
      <c r="CC67" s="12" t="s">
        <v>692</v>
      </c>
      <c r="CD67" s="12" t="s">
        <v>1448</v>
      </c>
      <c r="CE67" s="12" t="s">
        <v>975</v>
      </c>
      <c r="CF67" s="12" t="s">
        <v>472</v>
      </c>
      <c r="CG67" s="12" t="s">
        <v>1321</v>
      </c>
      <c r="CH67" s="12" t="s">
        <v>1674</v>
      </c>
      <c r="CI67" s="12" t="s">
        <v>1536</v>
      </c>
      <c r="CJ67" s="12" t="s">
        <v>1536</v>
      </c>
      <c r="CK67" s="12" t="s">
        <v>1536</v>
      </c>
      <c r="CL67" s="12" t="s">
        <v>1121</v>
      </c>
      <c r="CM67" s="12" t="s">
        <v>1121</v>
      </c>
      <c r="CN67" s="12" t="s">
        <v>1121</v>
      </c>
      <c r="CO67" s="12" t="s">
        <v>1121</v>
      </c>
      <c r="CP67" s="12" t="s">
        <v>513</v>
      </c>
      <c r="CQ67" s="12" t="s">
        <v>513</v>
      </c>
      <c r="CR67" s="12" t="s">
        <v>513</v>
      </c>
      <c r="CS67" s="12" t="s">
        <v>513</v>
      </c>
      <c r="CT67" s="12" t="s">
        <v>340</v>
      </c>
      <c r="CU67" s="12" t="s">
        <v>3583</v>
      </c>
      <c r="CV67" s="12" t="s">
        <v>3583</v>
      </c>
      <c r="CW67" s="12" t="s">
        <v>2058</v>
      </c>
      <c r="CX67" s="12" t="s">
        <v>2058</v>
      </c>
    </row>
    <row r="68" spans="1:102" hidden="1" x14ac:dyDescent="0.3">
      <c r="A68" s="12" t="s">
        <v>1675</v>
      </c>
      <c r="B68" s="12" t="s">
        <v>1359</v>
      </c>
      <c r="C68" s="12" t="s">
        <v>1676</v>
      </c>
      <c r="D68" s="12" t="s">
        <v>1677</v>
      </c>
      <c r="E68" s="12" t="s">
        <v>278</v>
      </c>
      <c r="F68" s="12" t="s">
        <v>280</v>
      </c>
      <c r="G68" s="12" t="s">
        <v>460</v>
      </c>
      <c r="H68" s="12" t="s">
        <v>507</v>
      </c>
      <c r="I68" s="12" t="s">
        <v>326</v>
      </c>
      <c r="J68" s="12" t="s">
        <v>671</v>
      </c>
      <c r="K68" s="12" t="s">
        <v>333</v>
      </c>
      <c r="L68" s="12" t="s">
        <v>559</v>
      </c>
      <c r="M68" s="12" t="s">
        <v>1054</v>
      </c>
      <c r="N68" s="12" t="s">
        <v>1384</v>
      </c>
      <c r="O68" s="12" t="s">
        <v>1678</v>
      </c>
      <c r="P68" s="12" t="s">
        <v>1215</v>
      </c>
      <c r="Q68" s="12" t="s">
        <v>1158</v>
      </c>
      <c r="R68" s="12" t="s">
        <v>427</v>
      </c>
      <c r="S68" s="12" t="s">
        <v>1311</v>
      </c>
      <c r="T68" s="12" t="s">
        <v>1679</v>
      </c>
      <c r="U68" s="12" t="s">
        <v>1365</v>
      </c>
      <c r="V68" s="12" t="s">
        <v>433</v>
      </c>
      <c r="W68" s="12" t="s">
        <v>1418</v>
      </c>
      <c r="X68" s="12" t="s">
        <v>1680</v>
      </c>
      <c r="Y68" s="12" t="s">
        <v>833</v>
      </c>
      <c r="Z68" s="12" t="s">
        <v>1681</v>
      </c>
      <c r="AA68" s="12" t="s">
        <v>1682</v>
      </c>
      <c r="AB68" s="12" t="s">
        <v>1074</v>
      </c>
      <c r="AC68" s="12" t="s">
        <v>1683</v>
      </c>
      <c r="AD68" s="12" t="s">
        <v>1160</v>
      </c>
      <c r="AE68" s="12" t="s">
        <v>1684</v>
      </c>
      <c r="AF68" s="12" t="s">
        <v>1108</v>
      </c>
      <c r="AG68" s="12" t="s">
        <v>1685</v>
      </c>
      <c r="AH68" s="12" t="s">
        <v>1685</v>
      </c>
      <c r="AI68" s="12" t="s">
        <v>1685</v>
      </c>
      <c r="AJ68" s="12" t="s">
        <v>1685</v>
      </c>
      <c r="AK68" s="12" t="s">
        <v>1685</v>
      </c>
      <c r="AL68" s="12" t="s">
        <v>1685</v>
      </c>
      <c r="AM68" s="12" t="s">
        <v>1685</v>
      </c>
      <c r="AN68" s="12" t="s">
        <v>1685</v>
      </c>
      <c r="AO68" s="12" t="s">
        <v>1685</v>
      </c>
      <c r="AP68" s="12" t="s">
        <v>1685</v>
      </c>
      <c r="AQ68" s="12" t="s">
        <v>1685</v>
      </c>
      <c r="AR68" s="12" t="s">
        <v>1685</v>
      </c>
      <c r="AS68" s="12" t="s">
        <v>1685</v>
      </c>
      <c r="AT68" s="12" t="s">
        <v>1685</v>
      </c>
      <c r="AU68" s="12" t="s">
        <v>1685</v>
      </c>
      <c r="AV68" s="12" t="s">
        <v>1685</v>
      </c>
      <c r="AW68" s="12" t="s">
        <v>1685</v>
      </c>
      <c r="AX68" s="12" t="s">
        <v>1685</v>
      </c>
      <c r="AY68" s="12" t="s">
        <v>1685</v>
      </c>
      <c r="AZ68" s="12" t="s">
        <v>1685</v>
      </c>
      <c r="BA68" s="12" t="s">
        <v>1685</v>
      </c>
      <c r="BB68" s="12" t="s">
        <v>1685</v>
      </c>
      <c r="BC68" s="12" t="s">
        <v>1685</v>
      </c>
      <c r="BD68" s="12" t="s">
        <v>1685</v>
      </c>
      <c r="BE68" s="12" t="s">
        <v>1685</v>
      </c>
      <c r="BF68" s="12" t="s">
        <v>1685</v>
      </c>
      <c r="BG68" s="12" t="s">
        <v>1685</v>
      </c>
      <c r="BH68" s="12" t="s">
        <v>1685</v>
      </c>
      <c r="BI68" s="12" t="s">
        <v>1685</v>
      </c>
      <c r="BJ68" s="12" t="s">
        <v>1685</v>
      </c>
      <c r="BK68" s="12" t="s">
        <v>1685</v>
      </c>
      <c r="BL68" s="12" t="s">
        <v>1685</v>
      </c>
      <c r="BM68" s="12" t="s">
        <v>1686</v>
      </c>
      <c r="BN68" s="12" t="s">
        <v>1686</v>
      </c>
      <c r="BO68" s="12" t="s">
        <v>1687</v>
      </c>
      <c r="BP68" s="12" t="s">
        <v>441</v>
      </c>
      <c r="BQ68" s="12" t="s">
        <v>1688</v>
      </c>
      <c r="BR68" s="12" t="s">
        <v>799</v>
      </c>
      <c r="BS68" s="12" t="s">
        <v>799</v>
      </c>
      <c r="BT68" s="12" t="s">
        <v>1689</v>
      </c>
      <c r="BU68" s="12" t="s">
        <v>1690</v>
      </c>
      <c r="BV68" s="12" t="s">
        <v>442</v>
      </c>
      <c r="BW68" s="12" t="s">
        <v>442</v>
      </c>
      <c r="BX68" s="12" t="s">
        <v>1691</v>
      </c>
      <c r="BY68" s="12" t="s">
        <v>1692</v>
      </c>
      <c r="BZ68" s="12" t="s">
        <v>1692</v>
      </c>
      <c r="CA68" s="12" t="s">
        <v>1692</v>
      </c>
      <c r="CB68" s="12" t="s">
        <v>1692</v>
      </c>
      <c r="CC68" s="12" t="s">
        <v>1692</v>
      </c>
      <c r="CD68" s="12" t="s">
        <v>1692</v>
      </c>
      <c r="CE68" s="12" t="s">
        <v>1692</v>
      </c>
      <c r="CF68" s="12" t="s">
        <v>1692</v>
      </c>
      <c r="CG68" s="12" t="s">
        <v>1693</v>
      </c>
      <c r="CH68" s="12" t="s">
        <v>1694</v>
      </c>
      <c r="CI68" s="12" t="s">
        <v>1694</v>
      </c>
      <c r="CJ68" s="12" t="s">
        <v>1694</v>
      </c>
      <c r="CK68" s="12" t="s">
        <v>1694</v>
      </c>
      <c r="CL68" s="12" t="s">
        <v>1694</v>
      </c>
      <c r="CM68" s="12" t="s">
        <v>1694</v>
      </c>
      <c r="CN68" s="12" t="s">
        <v>1694</v>
      </c>
      <c r="CO68" s="12" t="s">
        <v>1694</v>
      </c>
      <c r="CP68" s="12" t="s">
        <v>1694</v>
      </c>
      <c r="CQ68" s="12" t="s">
        <v>1694</v>
      </c>
      <c r="CR68" s="12" t="s">
        <v>1694</v>
      </c>
      <c r="CS68" s="12" t="s">
        <v>1694</v>
      </c>
      <c r="CT68" s="12" t="s">
        <v>1694</v>
      </c>
      <c r="CU68" s="12" t="s">
        <v>1694</v>
      </c>
      <c r="CV68" s="12" t="s">
        <v>1694</v>
      </c>
      <c r="CW68" s="12" t="s">
        <v>1694</v>
      </c>
      <c r="CX68" s="12" t="s">
        <v>1694</v>
      </c>
    </row>
    <row r="69" spans="1:102" hidden="1" x14ac:dyDescent="0.3">
      <c r="A69" s="12" t="s">
        <v>1695</v>
      </c>
      <c r="B69" s="12" t="s">
        <v>1359</v>
      </c>
      <c r="C69" s="12" t="s">
        <v>1696</v>
      </c>
      <c r="D69" s="12" t="s">
        <v>1697</v>
      </c>
      <c r="E69" s="12" t="s">
        <v>322</v>
      </c>
      <c r="F69" s="12" t="s">
        <v>281</v>
      </c>
      <c r="G69" s="12" t="s">
        <v>507</v>
      </c>
      <c r="H69" s="12" t="s">
        <v>507</v>
      </c>
      <c r="I69" s="12" t="s">
        <v>670</v>
      </c>
      <c r="J69" s="12" t="s">
        <v>674</v>
      </c>
      <c r="K69" s="12" t="s">
        <v>907</v>
      </c>
      <c r="L69" s="12" t="s">
        <v>907</v>
      </c>
      <c r="M69" s="12" t="s">
        <v>1009</v>
      </c>
      <c r="N69" s="12" t="s">
        <v>1698</v>
      </c>
      <c r="O69" s="12" t="s">
        <v>1699</v>
      </c>
      <c r="P69" s="12" t="s">
        <v>347</v>
      </c>
      <c r="Q69" s="12" t="s">
        <v>1700</v>
      </c>
      <c r="R69" s="12" t="s">
        <v>831</v>
      </c>
      <c r="S69" s="12" t="s">
        <v>361</v>
      </c>
      <c r="T69" s="12" t="s">
        <v>1106</v>
      </c>
      <c r="U69" s="12" t="s">
        <v>1077</v>
      </c>
      <c r="V69" s="12" t="s">
        <v>1701</v>
      </c>
      <c r="W69" s="12" t="s">
        <v>1549</v>
      </c>
      <c r="X69" s="12" t="s">
        <v>1702</v>
      </c>
      <c r="Y69" s="12" t="s">
        <v>989</v>
      </c>
      <c r="Z69" s="12" t="s">
        <v>1703</v>
      </c>
      <c r="AA69" s="12" t="s">
        <v>1552</v>
      </c>
      <c r="AB69" s="12" t="s">
        <v>633</v>
      </c>
      <c r="AC69" s="12" t="s">
        <v>1556</v>
      </c>
      <c r="AD69" s="12" t="s">
        <v>844</v>
      </c>
      <c r="AE69" s="12" t="s">
        <v>1558</v>
      </c>
      <c r="AF69" s="12" t="s">
        <v>312</v>
      </c>
      <c r="AG69" s="12" t="s">
        <v>635</v>
      </c>
      <c r="AH69" s="12" t="s">
        <v>635</v>
      </c>
      <c r="AI69" s="12" t="s">
        <v>635</v>
      </c>
      <c r="AJ69" s="12" t="s">
        <v>635</v>
      </c>
      <c r="AK69" s="12" t="s">
        <v>635</v>
      </c>
      <c r="AL69" s="12" t="s">
        <v>635</v>
      </c>
      <c r="AM69" s="12" t="s">
        <v>635</v>
      </c>
      <c r="AN69" s="12" t="s">
        <v>635</v>
      </c>
      <c r="AO69" s="12" t="s">
        <v>635</v>
      </c>
      <c r="AP69" s="12" t="s">
        <v>1595</v>
      </c>
      <c r="AQ69" s="12" t="s">
        <v>1595</v>
      </c>
      <c r="AR69" s="12" t="s">
        <v>1595</v>
      </c>
      <c r="AS69" s="12" t="s">
        <v>1595</v>
      </c>
      <c r="AT69" s="12" t="s">
        <v>1595</v>
      </c>
      <c r="AU69" s="12" t="s">
        <v>1595</v>
      </c>
      <c r="AV69" s="12" t="s">
        <v>1595</v>
      </c>
      <c r="AW69" s="12" t="s">
        <v>1595</v>
      </c>
      <c r="AX69" s="12" t="s">
        <v>1595</v>
      </c>
      <c r="AY69" s="12" t="s">
        <v>1595</v>
      </c>
      <c r="AZ69" s="12" t="s">
        <v>1595</v>
      </c>
      <c r="BA69" s="12" t="s">
        <v>1595</v>
      </c>
      <c r="BB69" s="12" t="s">
        <v>1595</v>
      </c>
      <c r="BC69" s="12" t="s">
        <v>1595</v>
      </c>
      <c r="BD69" s="12" t="s">
        <v>1595</v>
      </c>
      <c r="BE69" s="12" t="s">
        <v>1595</v>
      </c>
      <c r="BF69" s="12" t="s">
        <v>1595</v>
      </c>
      <c r="BG69" s="12" t="s">
        <v>1595</v>
      </c>
      <c r="BH69" s="12" t="s">
        <v>1595</v>
      </c>
      <c r="BI69" s="12" t="s">
        <v>1595</v>
      </c>
      <c r="BJ69" s="12" t="s">
        <v>1595</v>
      </c>
      <c r="BK69" s="12" t="s">
        <v>1595</v>
      </c>
      <c r="BL69" s="12" t="s">
        <v>1595</v>
      </c>
      <c r="BM69" s="12" t="s">
        <v>1704</v>
      </c>
      <c r="BN69" s="12" t="s">
        <v>1704</v>
      </c>
      <c r="BO69" s="12" t="s">
        <v>1704</v>
      </c>
      <c r="BP69" s="12" t="s">
        <v>1704</v>
      </c>
      <c r="BQ69" s="12" t="s">
        <v>1704</v>
      </c>
      <c r="BR69" s="12" t="s">
        <v>1704</v>
      </c>
      <c r="BS69" s="12" t="s">
        <v>1704</v>
      </c>
      <c r="BT69" s="12" t="s">
        <v>531</v>
      </c>
      <c r="BU69" s="12" t="s">
        <v>531</v>
      </c>
      <c r="BV69" s="12" t="s">
        <v>531</v>
      </c>
      <c r="BW69" s="12" t="s">
        <v>531</v>
      </c>
      <c r="BX69" s="12" t="s">
        <v>531</v>
      </c>
      <c r="BY69" s="12" t="s">
        <v>531</v>
      </c>
      <c r="BZ69" s="12" t="s">
        <v>531</v>
      </c>
      <c r="CA69" s="12" t="s">
        <v>531</v>
      </c>
      <c r="CB69" s="12" t="s">
        <v>531</v>
      </c>
      <c r="CC69" s="12" t="s">
        <v>531</v>
      </c>
      <c r="CD69" s="12" t="s">
        <v>531</v>
      </c>
      <c r="CE69" s="12" t="s">
        <v>531</v>
      </c>
      <c r="CF69" s="12" t="s">
        <v>531</v>
      </c>
      <c r="CG69" s="12" t="s">
        <v>531</v>
      </c>
      <c r="CH69" s="12" t="s">
        <v>531</v>
      </c>
      <c r="CI69" s="12" t="s">
        <v>531</v>
      </c>
      <c r="CJ69" s="12" t="s">
        <v>531</v>
      </c>
      <c r="CK69" s="12" t="s">
        <v>531</v>
      </c>
      <c r="CL69" s="12" t="s">
        <v>531</v>
      </c>
      <c r="CM69" s="12" t="s">
        <v>531</v>
      </c>
      <c r="CN69" s="12" t="s">
        <v>531</v>
      </c>
      <c r="CO69" s="12" t="s">
        <v>531</v>
      </c>
      <c r="CP69" s="12" t="s">
        <v>531</v>
      </c>
      <c r="CQ69" s="12" t="s">
        <v>531</v>
      </c>
      <c r="CR69" s="12" t="s">
        <v>531</v>
      </c>
      <c r="CS69" s="12" t="s">
        <v>531</v>
      </c>
      <c r="CT69" s="12" t="s">
        <v>531</v>
      </c>
      <c r="CU69" s="12" t="s">
        <v>531</v>
      </c>
      <c r="CV69" s="12" t="s">
        <v>531</v>
      </c>
      <c r="CW69" s="12" t="s">
        <v>531</v>
      </c>
      <c r="CX69" s="12" t="s">
        <v>531</v>
      </c>
    </row>
    <row r="70" spans="1:102" hidden="1" x14ac:dyDescent="0.3">
      <c r="A70" s="12" t="s">
        <v>1705</v>
      </c>
      <c r="B70" s="12" t="s">
        <v>1359</v>
      </c>
      <c r="C70" s="12" t="s">
        <v>1706</v>
      </c>
      <c r="D70" s="12" t="s">
        <v>1707</v>
      </c>
      <c r="E70" s="12" t="s">
        <v>277</v>
      </c>
      <c r="F70" s="12" t="s">
        <v>278</v>
      </c>
      <c r="G70" s="12" t="s">
        <v>371</v>
      </c>
      <c r="H70" s="12" t="s">
        <v>279</v>
      </c>
      <c r="I70" s="12" t="s">
        <v>279</v>
      </c>
      <c r="J70" s="12" t="s">
        <v>550</v>
      </c>
      <c r="K70" s="12" t="s">
        <v>454</v>
      </c>
      <c r="L70" s="12" t="s">
        <v>460</v>
      </c>
      <c r="M70" s="12" t="s">
        <v>455</v>
      </c>
      <c r="N70" s="12" t="s">
        <v>455</v>
      </c>
      <c r="O70" s="12" t="s">
        <v>372</v>
      </c>
      <c r="P70" s="12" t="s">
        <v>325</v>
      </c>
      <c r="Q70" s="12" t="s">
        <v>465</v>
      </c>
      <c r="R70" s="12" t="s">
        <v>328</v>
      </c>
      <c r="S70" s="12" t="s">
        <v>378</v>
      </c>
      <c r="T70" s="12" t="s">
        <v>331</v>
      </c>
      <c r="U70" s="12" t="s">
        <v>569</v>
      </c>
      <c r="V70" s="12" t="s">
        <v>673</v>
      </c>
      <c r="W70" s="12" t="s">
        <v>509</v>
      </c>
      <c r="X70" s="12" t="s">
        <v>555</v>
      </c>
      <c r="Y70" s="12" t="s">
        <v>883</v>
      </c>
      <c r="Z70" s="12" t="s">
        <v>1051</v>
      </c>
      <c r="AA70" s="12" t="s">
        <v>289</v>
      </c>
      <c r="AB70" s="12" t="s">
        <v>676</v>
      </c>
      <c r="AC70" s="12" t="s">
        <v>420</v>
      </c>
      <c r="AD70" s="12" t="s">
        <v>335</v>
      </c>
      <c r="AE70" s="12" t="s">
        <v>335</v>
      </c>
      <c r="AF70" s="12" t="s">
        <v>335</v>
      </c>
      <c r="AG70" s="12" t="s">
        <v>381</v>
      </c>
      <c r="AH70" s="12" t="s">
        <v>556</v>
      </c>
      <c r="AI70" s="12" t="s">
        <v>556</v>
      </c>
      <c r="AJ70" s="12" t="s">
        <v>556</v>
      </c>
      <c r="AK70" s="12" t="s">
        <v>556</v>
      </c>
      <c r="AL70" s="12" t="s">
        <v>557</v>
      </c>
      <c r="AM70" s="12" t="s">
        <v>557</v>
      </c>
      <c r="AN70" s="12" t="s">
        <v>557</v>
      </c>
      <c r="AO70" s="12" t="s">
        <v>557</v>
      </c>
      <c r="AP70" s="12" t="s">
        <v>557</v>
      </c>
      <c r="AQ70" s="12" t="s">
        <v>557</v>
      </c>
      <c r="AR70" s="12" t="s">
        <v>557</v>
      </c>
      <c r="AS70" s="12" t="s">
        <v>557</v>
      </c>
      <c r="AT70" s="12" t="s">
        <v>557</v>
      </c>
      <c r="AU70" s="12" t="s">
        <v>557</v>
      </c>
      <c r="AV70" s="12" t="s">
        <v>557</v>
      </c>
      <c r="AW70" s="12" t="s">
        <v>557</v>
      </c>
      <c r="AX70" s="12" t="s">
        <v>557</v>
      </c>
      <c r="AY70" s="12" t="s">
        <v>557</v>
      </c>
      <c r="AZ70" s="12" t="s">
        <v>557</v>
      </c>
      <c r="BA70" s="12" t="s">
        <v>557</v>
      </c>
      <c r="BB70" s="12" t="s">
        <v>557</v>
      </c>
      <c r="BC70" s="12" t="s">
        <v>557</v>
      </c>
      <c r="BD70" s="12" t="s">
        <v>557</v>
      </c>
      <c r="BE70" s="12" t="s">
        <v>557</v>
      </c>
      <c r="BF70" s="12" t="s">
        <v>557</v>
      </c>
      <c r="BG70" s="12" t="s">
        <v>557</v>
      </c>
      <c r="BH70" s="12" t="s">
        <v>557</v>
      </c>
      <c r="BI70" s="12" t="s">
        <v>557</v>
      </c>
      <c r="BJ70" s="12" t="s">
        <v>557</v>
      </c>
      <c r="BK70" s="12" t="s">
        <v>557</v>
      </c>
      <c r="BL70" s="12" t="s">
        <v>557</v>
      </c>
      <c r="BM70" s="12" t="s">
        <v>557</v>
      </c>
      <c r="BN70" s="12" t="s">
        <v>557</v>
      </c>
      <c r="BO70" s="12" t="s">
        <v>557</v>
      </c>
      <c r="BP70" s="12" t="s">
        <v>290</v>
      </c>
      <c r="BQ70" s="12" t="s">
        <v>824</v>
      </c>
      <c r="BR70" s="12" t="s">
        <v>824</v>
      </c>
      <c r="BS70" s="12" t="s">
        <v>471</v>
      </c>
      <c r="BT70" s="12" t="s">
        <v>677</v>
      </c>
      <c r="BU70" s="12" t="s">
        <v>677</v>
      </c>
      <c r="BV70" s="12" t="s">
        <v>677</v>
      </c>
      <c r="BW70" s="12" t="s">
        <v>677</v>
      </c>
      <c r="BX70" s="12" t="s">
        <v>677</v>
      </c>
      <c r="BY70" s="12" t="s">
        <v>677</v>
      </c>
      <c r="BZ70" s="12" t="s">
        <v>677</v>
      </c>
      <c r="CA70" s="12" t="s">
        <v>677</v>
      </c>
      <c r="CB70" s="12" t="s">
        <v>677</v>
      </c>
      <c r="CC70" s="12" t="s">
        <v>677</v>
      </c>
      <c r="CD70" s="12" t="s">
        <v>677</v>
      </c>
      <c r="CE70" s="12" t="s">
        <v>677</v>
      </c>
      <c r="CF70" s="12" t="s">
        <v>677</v>
      </c>
      <c r="CG70" s="12" t="s">
        <v>677</v>
      </c>
      <c r="CH70" s="12" t="s">
        <v>559</v>
      </c>
      <c r="CI70" s="12" t="s">
        <v>560</v>
      </c>
      <c r="CJ70" s="12" t="s">
        <v>560</v>
      </c>
      <c r="CK70" s="12" t="s">
        <v>562</v>
      </c>
      <c r="CL70" s="12" t="s">
        <v>562</v>
      </c>
      <c r="CM70" s="12" t="s">
        <v>562</v>
      </c>
      <c r="CN70" s="12" t="s">
        <v>562</v>
      </c>
      <c r="CO70" s="12" t="s">
        <v>336</v>
      </c>
      <c r="CP70" s="12" t="s">
        <v>336</v>
      </c>
      <c r="CQ70" s="12" t="s">
        <v>1362</v>
      </c>
      <c r="CR70" s="12" t="s">
        <v>1362</v>
      </c>
      <c r="CS70" s="12" t="s">
        <v>1197</v>
      </c>
      <c r="CT70" s="12" t="s">
        <v>907</v>
      </c>
      <c r="CU70" s="12" t="s">
        <v>907</v>
      </c>
      <c r="CV70" s="12" t="s">
        <v>291</v>
      </c>
      <c r="CW70" s="12" t="s">
        <v>291</v>
      </c>
      <c r="CX70" s="12" t="s">
        <v>291</v>
      </c>
    </row>
    <row r="71" spans="1:102" hidden="1" x14ac:dyDescent="0.3">
      <c r="A71" s="12" t="s">
        <v>1708</v>
      </c>
      <c r="B71" s="12" t="s">
        <v>1359</v>
      </c>
      <c r="C71" s="12" t="s">
        <v>1709</v>
      </c>
      <c r="D71" s="12" t="s">
        <v>1710</v>
      </c>
      <c r="E71" s="12" t="s">
        <v>322</v>
      </c>
      <c r="F71" s="12" t="s">
        <v>371</v>
      </c>
      <c r="G71" s="12" t="s">
        <v>279</v>
      </c>
      <c r="H71" s="12" t="s">
        <v>372</v>
      </c>
      <c r="I71" s="12" t="s">
        <v>284</v>
      </c>
      <c r="J71" s="12" t="s">
        <v>612</v>
      </c>
      <c r="K71" s="12" t="s">
        <v>466</v>
      </c>
      <c r="L71" s="12" t="s">
        <v>417</v>
      </c>
      <c r="M71" s="12" t="s">
        <v>745</v>
      </c>
      <c r="N71" s="12" t="s">
        <v>377</v>
      </c>
      <c r="O71" s="12" t="s">
        <v>332</v>
      </c>
      <c r="P71" s="12" t="s">
        <v>333</v>
      </c>
      <c r="Q71" s="12" t="s">
        <v>288</v>
      </c>
      <c r="R71" s="12" t="s">
        <v>883</v>
      </c>
      <c r="S71" s="12" t="s">
        <v>335</v>
      </c>
      <c r="T71" s="12" t="s">
        <v>290</v>
      </c>
      <c r="U71" s="12" t="s">
        <v>559</v>
      </c>
      <c r="V71" s="12" t="s">
        <v>563</v>
      </c>
      <c r="W71" s="12" t="s">
        <v>959</v>
      </c>
      <c r="X71" s="12" t="s">
        <v>1197</v>
      </c>
      <c r="Y71" s="12" t="s">
        <v>678</v>
      </c>
      <c r="Z71" s="12" t="s">
        <v>1198</v>
      </c>
      <c r="AA71" s="12" t="s">
        <v>1116</v>
      </c>
      <c r="AB71" s="12" t="s">
        <v>1117</v>
      </c>
      <c r="AC71" s="12" t="s">
        <v>1117</v>
      </c>
      <c r="AD71" s="12" t="s">
        <v>692</v>
      </c>
      <c r="AE71" s="12" t="s">
        <v>692</v>
      </c>
      <c r="AF71" s="12" t="s">
        <v>692</v>
      </c>
      <c r="AG71" s="12" t="s">
        <v>692</v>
      </c>
      <c r="AH71" s="12" t="s">
        <v>692</v>
      </c>
      <c r="AI71" s="12" t="s">
        <v>692</v>
      </c>
      <c r="AJ71" s="12" t="s">
        <v>692</v>
      </c>
      <c r="AK71" s="12" t="s">
        <v>692</v>
      </c>
      <c r="AL71" s="12" t="s">
        <v>692</v>
      </c>
      <c r="AM71" s="12" t="s">
        <v>692</v>
      </c>
      <c r="AN71" s="12" t="s">
        <v>692</v>
      </c>
      <c r="AO71" s="12" t="s">
        <v>692</v>
      </c>
      <c r="AP71" s="12" t="s">
        <v>692</v>
      </c>
      <c r="AQ71" s="12" t="s">
        <v>692</v>
      </c>
      <c r="AR71" s="12" t="s">
        <v>679</v>
      </c>
      <c r="AS71" s="12" t="s">
        <v>679</v>
      </c>
      <c r="AT71" s="12" t="s">
        <v>1449</v>
      </c>
      <c r="AU71" s="12" t="s">
        <v>1449</v>
      </c>
      <c r="AV71" s="12" t="s">
        <v>1449</v>
      </c>
      <c r="AW71" s="12" t="s">
        <v>1449</v>
      </c>
      <c r="AX71" s="12" t="s">
        <v>1449</v>
      </c>
      <c r="AY71" s="12" t="s">
        <v>1449</v>
      </c>
      <c r="AZ71" s="12" t="s">
        <v>1449</v>
      </c>
      <c r="BA71" s="12" t="s">
        <v>1449</v>
      </c>
      <c r="BB71" s="12" t="s">
        <v>1449</v>
      </c>
      <c r="BC71" s="12" t="s">
        <v>1449</v>
      </c>
      <c r="BD71" s="12" t="s">
        <v>1449</v>
      </c>
      <c r="BE71" s="12" t="s">
        <v>1449</v>
      </c>
      <c r="BF71" s="12" t="s">
        <v>1449</v>
      </c>
      <c r="BG71" s="12" t="s">
        <v>1449</v>
      </c>
      <c r="BH71" s="12" t="s">
        <v>1449</v>
      </c>
      <c r="BI71" s="12" t="s">
        <v>1449</v>
      </c>
      <c r="BJ71" s="12" t="s">
        <v>1449</v>
      </c>
      <c r="BK71" s="12" t="s">
        <v>975</v>
      </c>
      <c r="BL71" s="12" t="s">
        <v>975</v>
      </c>
      <c r="BM71" s="12" t="s">
        <v>1053</v>
      </c>
      <c r="BN71" s="12" t="s">
        <v>1053</v>
      </c>
      <c r="BO71" s="12" t="s">
        <v>1053</v>
      </c>
      <c r="BP71" s="12" t="s">
        <v>1053</v>
      </c>
      <c r="BQ71" s="12" t="s">
        <v>472</v>
      </c>
      <c r="BR71" s="12" t="s">
        <v>472</v>
      </c>
      <c r="BS71" s="12" t="s">
        <v>960</v>
      </c>
      <c r="BT71" s="12" t="s">
        <v>572</v>
      </c>
      <c r="BU71" s="12" t="s">
        <v>511</v>
      </c>
      <c r="BV71" s="12" t="s">
        <v>382</v>
      </c>
      <c r="BW71" s="12" t="s">
        <v>724</v>
      </c>
      <c r="BX71" s="12" t="s">
        <v>1711</v>
      </c>
      <c r="BY71" s="12" t="s">
        <v>1711</v>
      </c>
      <c r="BZ71" s="12" t="s">
        <v>1711</v>
      </c>
      <c r="CA71" s="12" t="s">
        <v>1712</v>
      </c>
      <c r="CB71" s="12" t="s">
        <v>1712</v>
      </c>
      <c r="CC71" s="12" t="s">
        <v>619</v>
      </c>
      <c r="CD71" s="12" t="s">
        <v>619</v>
      </c>
      <c r="CE71" s="12" t="s">
        <v>619</v>
      </c>
      <c r="CF71" s="12" t="s">
        <v>619</v>
      </c>
      <c r="CG71" s="12" t="s">
        <v>1584</v>
      </c>
      <c r="CH71" s="12" t="s">
        <v>1584</v>
      </c>
      <c r="CI71" s="12" t="s">
        <v>1584</v>
      </c>
      <c r="CJ71" s="12" t="s">
        <v>1584</v>
      </c>
      <c r="CK71" s="12" t="s">
        <v>1584</v>
      </c>
      <c r="CL71" s="12" t="s">
        <v>1584</v>
      </c>
      <c r="CM71" s="12" t="s">
        <v>338</v>
      </c>
      <c r="CN71" s="12" t="s">
        <v>338</v>
      </c>
      <c r="CO71" s="12" t="s">
        <v>338</v>
      </c>
      <c r="CP71" s="12" t="s">
        <v>338</v>
      </c>
      <c r="CQ71" s="12" t="s">
        <v>338</v>
      </c>
      <c r="CR71" s="12" t="s">
        <v>338</v>
      </c>
      <c r="CS71" s="12" t="s">
        <v>338</v>
      </c>
      <c r="CT71" s="12" t="s">
        <v>338</v>
      </c>
      <c r="CU71" s="12" t="s">
        <v>338</v>
      </c>
      <c r="CV71" s="12" t="s">
        <v>338</v>
      </c>
      <c r="CW71" s="12" t="s">
        <v>338</v>
      </c>
      <c r="CX71" s="12" t="s">
        <v>338</v>
      </c>
    </row>
    <row r="72" spans="1:102" hidden="1" x14ac:dyDescent="0.3">
      <c r="A72" s="12" t="s">
        <v>1713</v>
      </c>
      <c r="B72" s="12" t="s">
        <v>1359</v>
      </c>
      <c r="C72" s="12" t="s">
        <v>1714</v>
      </c>
      <c r="D72" s="12" t="s">
        <v>1715</v>
      </c>
      <c r="E72" s="12" t="s">
        <v>278</v>
      </c>
      <c r="F72" s="12" t="s">
        <v>322</v>
      </c>
      <c r="G72" s="12" t="s">
        <v>322</v>
      </c>
      <c r="H72" s="12" t="s">
        <v>322</v>
      </c>
      <c r="I72" s="12" t="s">
        <v>280</v>
      </c>
      <c r="J72" s="12" t="s">
        <v>550</v>
      </c>
      <c r="K72" s="12" t="s">
        <v>281</v>
      </c>
      <c r="L72" s="12" t="s">
        <v>281</v>
      </c>
      <c r="M72" s="12" t="s">
        <v>281</v>
      </c>
      <c r="N72" s="12" t="s">
        <v>281</v>
      </c>
      <c r="O72" s="12" t="s">
        <v>281</v>
      </c>
      <c r="P72" s="12" t="s">
        <v>454</v>
      </c>
      <c r="Q72" s="12" t="s">
        <v>454</v>
      </c>
      <c r="R72" s="12" t="s">
        <v>323</v>
      </c>
      <c r="S72" s="12" t="s">
        <v>323</v>
      </c>
      <c r="T72" s="12" t="s">
        <v>323</v>
      </c>
      <c r="U72" s="12" t="s">
        <v>323</v>
      </c>
      <c r="V72" s="12" t="s">
        <v>323</v>
      </c>
      <c r="W72" s="12" t="s">
        <v>323</v>
      </c>
      <c r="X72" s="12" t="s">
        <v>323</v>
      </c>
      <c r="Y72" s="12" t="s">
        <v>323</v>
      </c>
      <c r="Z72" s="12" t="s">
        <v>323</v>
      </c>
      <c r="AA72" s="12" t="s">
        <v>323</v>
      </c>
      <c r="AB72" s="12" t="s">
        <v>323</v>
      </c>
      <c r="AC72" s="12" t="s">
        <v>323</v>
      </c>
      <c r="AD72" s="12" t="s">
        <v>323</v>
      </c>
      <c r="AE72" s="12" t="s">
        <v>323</v>
      </c>
      <c r="AF72" s="12" t="s">
        <v>323</v>
      </c>
      <c r="AG72" s="12" t="s">
        <v>323</v>
      </c>
      <c r="AH72" s="12" t="s">
        <v>323</v>
      </c>
      <c r="AI72" s="12" t="s">
        <v>323</v>
      </c>
      <c r="AJ72" s="12" t="s">
        <v>323</v>
      </c>
      <c r="AK72" s="12" t="s">
        <v>323</v>
      </c>
      <c r="AL72" s="12" t="s">
        <v>323</v>
      </c>
      <c r="AM72" s="12" t="s">
        <v>323</v>
      </c>
      <c r="AN72" s="12" t="s">
        <v>323</v>
      </c>
      <c r="AO72" s="12" t="s">
        <v>323</v>
      </c>
      <c r="AP72" s="12" t="s">
        <v>323</v>
      </c>
      <c r="AQ72" s="12" t="s">
        <v>323</v>
      </c>
      <c r="AR72" s="12" t="s">
        <v>323</v>
      </c>
      <c r="AS72" s="12" t="s">
        <v>323</v>
      </c>
      <c r="AT72" s="12" t="s">
        <v>323</v>
      </c>
      <c r="AU72" s="12" t="s">
        <v>323</v>
      </c>
      <c r="AV72" s="12" t="s">
        <v>323</v>
      </c>
      <c r="AW72" s="12" t="s">
        <v>323</v>
      </c>
      <c r="AX72" s="12" t="s">
        <v>323</v>
      </c>
      <c r="AY72" s="12" t="s">
        <v>323</v>
      </c>
      <c r="AZ72" s="12" t="s">
        <v>323</v>
      </c>
      <c r="BA72" s="12" t="s">
        <v>323</v>
      </c>
      <c r="BB72" s="12" t="s">
        <v>323</v>
      </c>
      <c r="BC72" s="12" t="s">
        <v>323</v>
      </c>
      <c r="BD72" s="12" t="s">
        <v>323</v>
      </c>
      <c r="BE72" s="12" t="s">
        <v>323</v>
      </c>
      <c r="BF72" s="12" t="s">
        <v>323</v>
      </c>
      <c r="BG72" s="12" t="s">
        <v>282</v>
      </c>
      <c r="BH72" s="12" t="s">
        <v>324</v>
      </c>
      <c r="BI72" s="12" t="s">
        <v>461</v>
      </c>
      <c r="BJ72" s="12" t="s">
        <v>372</v>
      </c>
      <c r="BK72" s="12" t="s">
        <v>372</v>
      </c>
      <c r="BL72" s="12" t="s">
        <v>507</v>
      </c>
      <c r="BM72" s="12" t="s">
        <v>286</v>
      </c>
      <c r="BN72" s="12" t="s">
        <v>286</v>
      </c>
      <c r="BO72" s="12" t="s">
        <v>456</v>
      </c>
      <c r="BP72" s="12" t="s">
        <v>1716</v>
      </c>
      <c r="BQ72" s="12" t="s">
        <v>465</v>
      </c>
      <c r="BR72" s="12" t="s">
        <v>326</v>
      </c>
      <c r="BS72" s="12" t="s">
        <v>376</v>
      </c>
      <c r="BT72" s="12" t="s">
        <v>376</v>
      </c>
      <c r="BU72" s="12" t="s">
        <v>327</v>
      </c>
      <c r="BV72" s="12" t="s">
        <v>745</v>
      </c>
      <c r="BW72" s="12" t="s">
        <v>745</v>
      </c>
      <c r="BX72" s="12" t="s">
        <v>745</v>
      </c>
      <c r="BY72" s="12" t="s">
        <v>958</v>
      </c>
      <c r="BZ72" s="12" t="s">
        <v>958</v>
      </c>
      <c r="CA72" s="12" t="s">
        <v>795</v>
      </c>
      <c r="CB72" s="12" t="s">
        <v>795</v>
      </c>
      <c r="CC72" s="12" t="s">
        <v>795</v>
      </c>
      <c r="CD72" s="12" t="s">
        <v>467</v>
      </c>
      <c r="CE72" s="12" t="s">
        <v>467</v>
      </c>
      <c r="CF72" s="12" t="s">
        <v>467</v>
      </c>
      <c r="CG72" s="12" t="s">
        <v>467</v>
      </c>
      <c r="CH72" s="12" t="s">
        <v>467</v>
      </c>
      <c r="CI72" s="12" t="s">
        <v>467</v>
      </c>
      <c r="CJ72" s="12" t="s">
        <v>467</v>
      </c>
      <c r="CK72" s="12" t="s">
        <v>467</v>
      </c>
      <c r="CL72" s="12" t="s">
        <v>467</v>
      </c>
      <c r="CM72" s="12" t="s">
        <v>467</v>
      </c>
      <c r="CN72" s="12" t="s">
        <v>467</v>
      </c>
      <c r="CO72" s="12" t="s">
        <v>467</v>
      </c>
      <c r="CP72" s="12" t="s">
        <v>467</v>
      </c>
      <c r="CQ72" s="12" t="s">
        <v>467</v>
      </c>
      <c r="CR72" s="12" t="s">
        <v>467</v>
      </c>
      <c r="CS72" s="12" t="s">
        <v>467</v>
      </c>
      <c r="CT72" s="12" t="s">
        <v>467</v>
      </c>
      <c r="CU72" s="12" t="s">
        <v>467</v>
      </c>
      <c r="CV72" s="12" t="s">
        <v>467</v>
      </c>
      <c r="CW72" s="12" t="s">
        <v>467</v>
      </c>
      <c r="CX72" s="12" t="s">
        <v>467</v>
      </c>
    </row>
    <row r="73" spans="1:102" hidden="1" x14ac:dyDescent="0.3">
      <c r="A73" s="12" t="s">
        <v>1717</v>
      </c>
      <c r="B73" s="12" t="s">
        <v>1359</v>
      </c>
      <c r="C73" s="12" t="s">
        <v>1718</v>
      </c>
      <c r="D73" s="12" t="s">
        <v>1719</v>
      </c>
      <c r="E73" s="12" t="s">
        <v>278</v>
      </c>
      <c r="F73" s="12" t="s">
        <v>278</v>
      </c>
      <c r="G73" s="12" t="s">
        <v>322</v>
      </c>
      <c r="H73" s="12" t="s">
        <v>371</v>
      </c>
      <c r="I73" s="12" t="s">
        <v>279</v>
      </c>
      <c r="J73" s="12" t="s">
        <v>281</v>
      </c>
      <c r="K73" s="12" t="s">
        <v>282</v>
      </c>
      <c r="L73" s="12" t="s">
        <v>324</v>
      </c>
      <c r="M73" s="12" t="s">
        <v>372</v>
      </c>
      <c r="N73" s="12" t="s">
        <v>284</v>
      </c>
      <c r="O73" s="12" t="s">
        <v>375</v>
      </c>
      <c r="P73" s="12" t="s">
        <v>568</v>
      </c>
      <c r="Q73" s="12" t="s">
        <v>465</v>
      </c>
      <c r="R73" s="12" t="s">
        <v>466</v>
      </c>
      <c r="S73" s="12" t="s">
        <v>466</v>
      </c>
      <c r="T73" s="12" t="s">
        <v>287</v>
      </c>
      <c r="U73" s="12" t="s">
        <v>958</v>
      </c>
      <c r="V73" s="12" t="s">
        <v>467</v>
      </c>
      <c r="W73" s="12" t="s">
        <v>467</v>
      </c>
      <c r="X73" s="12" t="s">
        <v>690</v>
      </c>
      <c r="Y73" s="12" t="s">
        <v>418</v>
      </c>
      <c r="Z73" s="12" t="s">
        <v>1112</v>
      </c>
      <c r="AA73" s="12" t="s">
        <v>332</v>
      </c>
      <c r="AB73" s="12" t="s">
        <v>654</v>
      </c>
      <c r="AC73" s="12" t="s">
        <v>333</v>
      </c>
      <c r="AD73" s="12" t="s">
        <v>333</v>
      </c>
      <c r="AE73" s="12" t="s">
        <v>333</v>
      </c>
      <c r="AF73" s="12" t="s">
        <v>333</v>
      </c>
      <c r="AG73" s="12" t="s">
        <v>553</v>
      </c>
      <c r="AH73" s="12" t="s">
        <v>553</v>
      </c>
      <c r="AI73" s="12" t="s">
        <v>553</v>
      </c>
      <c r="AJ73" s="12" t="s">
        <v>553</v>
      </c>
      <c r="AK73" s="12" t="s">
        <v>553</v>
      </c>
      <c r="AL73" s="12" t="s">
        <v>553</v>
      </c>
      <c r="AM73" s="12" t="s">
        <v>553</v>
      </c>
      <c r="AN73" s="12" t="s">
        <v>553</v>
      </c>
      <c r="AO73" s="12" t="s">
        <v>674</v>
      </c>
      <c r="AP73" s="12" t="s">
        <v>674</v>
      </c>
      <c r="AQ73" s="12" t="s">
        <v>819</v>
      </c>
      <c r="AR73" s="12" t="s">
        <v>819</v>
      </c>
      <c r="AS73" s="12" t="s">
        <v>288</v>
      </c>
      <c r="AT73" s="12" t="s">
        <v>288</v>
      </c>
      <c r="AU73" s="12" t="s">
        <v>419</v>
      </c>
      <c r="AV73" s="12" t="s">
        <v>419</v>
      </c>
      <c r="AW73" s="12" t="s">
        <v>419</v>
      </c>
      <c r="AX73" s="12" t="s">
        <v>419</v>
      </c>
      <c r="AY73" s="12" t="s">
        <v>419</v>
      </c>
      <c r="AZ73" s="12" t="s">
        <v>419</v>
      </c>
      <c r="BA73" s="12" t="s">
        <v>419</v>
      </c>
      <c r="BB73" s="12" t="s">
        <v>419</v>
      </c>
      <c r="BC73" s="12" t="s">
        <v>419</v>
      </c>
      <c r="BD73" s="12" t="s">
        <v>419</v>
      </c>
      <c r="BE73" s="12" t="s">
        <v>419</v>
      </c>
      <c r="BF73" s="12" t="s">
        <v>419</v>
      </c>
      <c r="BG73" s="12" t="s">
        <v>419</v>
      </c>
      <c r="BH73" s="12" t="s">
        <v>419</v>
      </c>
      <c r="BI73" s="12" t="s">
        <v>419</v>
      </c>
      <c r="BJ73" s="12" t="s">
        <v>419</v>
      </c>
      <c r="BK73" s="12" t="s">
        <v>419</v>
      </c>
      <c r="BL73" s="12" t="s">
        <v>419</v>
      </c>
      <c r="BM73" s="12" t="s">
        <v>419</v>
      </c>
      <c r="BN73" s="12" t="s">
        <v>419</v>
      </c>
      <c r="BO73" s="12" t="s">
        <v>419</v>
      </c>
      <c r="BP73" s="12" t="s">
        <v>419</v>
      </c>
      <c r="BQ73" s="12" t="s">
        <v>419</v>
      </c>
      <c r="BR73" s="12" t="s">
        <v>419</v>
      </c>
      <c r="BS73" s="12" t="s">
        <v>419</v>
      </c>
      <c r="BT73" s="12" t="s">
        <v>419</v>
      </c>
      <c r="BU73" s="12" t="s">
        <v>419</v>
      </c>
      <c r="BV73" s="12" t="s">
        <v>419</v>
      </c>
      <c r="BW73" s="12" t="s">
        <v>419</v>
      </c>
      <c r="BX73" s="12" t="s">
        <v>419</v>
      </c>
      <c r="BY73" s="12" t="s">
        <v>419</v>
      </c>
      <c r="BZ73" s="12" t="s">
        <v>419</v>
      </c>
      <c r="CA73" s="12" t="s">
        <v>419</v>
      </c>
      <c r="CB73" s="12" t="s">
        <v>419</v>
      </c>
      <c r="CC73" s="12" t="s">
        <v>419</v>
      </c>
      <c r="CD73" s="12" t="s">
        <v>419</v>
      </c>
      <c r="CE73" s="12" t="s">
        <v>419</v>
      </c>
      <c r="CF73" s="12" t="s">
        <v>419</v>
      </c>
      <c r="CG73" s="12" t="s">
        <v>419</v>
      </c>
      <c r="CH73" s="12" t="s">
        <v>419</v>
      </c>
      <c r="CI73" s="12" t="s">
        <v>419</v>
      </c>
      <c r="CJ73" s="12" t="s">
        <v>419</v>
      </c>
      <c r="CK73" s="12" t="s">
        <v>419</v>
      </c>
      <c r="CL73" s="12" t="s">
        <v>419</v>
      </c>
      <c r="CM73" s="12" t="s">
        <v>419</v>
      </c>
      <c r="CN73" s="12" t="s">
        <v>419</v>
      </c>
      <c r="CO73" s="12" t="s">
        <v>419</v>
      </c>
      <c r="CP73" s="12" t="s">
        <v>419</v>
      </c>
      <c r="CQ73" s="12" t="s">
        <v>419</v>
      </c>
      <c r="CR73" s="12" t="s">
        <v>419</v>
      </c>
      <c r="CS73" s="12" t="s">
        <v>419</v>
      </c>
      <c r="CT73" s="12" t="s">
        <v>419</v>
      </c>
      <c r="CU73" s="12" t="s">
        <v>419</v>
      </c>
      <c r="CV73" s="12" t="s">
        <v>419</v>
      </c>
      <c r="CW73" s="12" t="s">
        <v>419</v>
      </c>
      <c r="CX73" s="12" t="s">
        <v>419</v>
      </c>
    </row>
    <row r="74" spans="1:102" hidden="1" x14ac:dyDescent="0.3">
      <c r="A74" s="12" t="s">
        <v>1720</v>
      </c>
      <c r="B74" s="12" t="s">
        <v>1359</v>
      </c>
      <c r="C74" s="12" t="s">
        <v>1721</v>
      </c>
      <c r="D74" s="12" t="s">
        <v>1722</v>
      </c>
      <c r="E74" s="12" t="s">
        <v>277</v>
      </c>
      <c r="F74" s="12" t="s">
        <v>277</v>
      </c>
      <c r="G74" s="12" t="s">
        <v>277</v>
      </c>
      <c r="H74" s="12" t="s">
        <v>278</v>
      </c>
      <c r="I74" s="12" t="s">
        <v>278</v>
      </c>
      <c r="J74" s="12" t="s">
        <v>550</v>
      </c>
      <c r="K74" s="12" t="s">
        <v>550</v>
      </c>
      <c r="L74" s="12" t="s">
        <v>550</v>
      </c>
      <c r="M74" s="12" t="s">
        <v>454</v>
      </c>
      <c r="N74" s="12" t="s">
        <v>454</v>
      </c>
      <c r="O74" s="12" t="s">
        <v>460</v>
      </c>
      <c r="P74" s="12" t="s">
        <v>282</v>
      </c>
      <c r="Q74" s="12" t="s">
        <v>567</v>
      </c>
      <c r="R74" s="12" t="s">
        <v>461</v>
      </c>
      <c r="S74" s="12" t="s">
        <v>372</v>
      </c>
      <c r="T74" s="12" t="s">
        <v>507</v>
      </c>
      <c r="U74" s="12" t="s">
        <v>507</v>
      </c>
      <c r="V74" s="12" t="s">
        <v>507</v>
      </c>
      <c r="W74" s="12" t="s">
        <v>507</v>
      </c>
      <c r="X74" s="12" t="s">
        <v>507</v>
      </c>
      <c r="Y74" s="12" t="s">
        <v>507</v>
      </c>
      <c r="Z74" s="12" t="s">
        <v>507</v>
      </c>
      <c r="AA74" s="12" t="s">
        <v>507</v>
      </c>
      <c r="AB74" s="12" t="s">
        <v>507</v>
      </c>
      <c r="AC74" s="12" t="s">
        <v>507</v>
      </c>
      <c r="AD74" s="12" t="s">
        <v>507</v>
      </c>
      <c r="AE74" s="12" t="s">
        <v>507</v>
      </c>
      <c r="AF74" s="12" t="s">
        <v>507</v>
      </c>
      <c r="AG74" s="12" t="s">
        <v>507</v>
      </c>
      <c r="AH74" s="12" t="s">
        <v>507</v>
      </c>
      <c r="AI74" s="12" t="s">
        <v>507</v>
      </c>
      <c r="AJ74" s="12" t="s">
        <v>507</v>
      </c>
      <c r="AK74" s="12" t="s">
        <v>507</v>
      </c>
      <c r="AL74" s="12" t="s">
        <v>507</v>
      </c>
      <c r="AM74" s="12" t="s">
        <v>507</v>
      </c>
      <c r="AN74" s="12" t="s">
        <v>507</v>
      </c>
      <c r="AO74" s="12" t="s">
        <v>507</v>
      </c>
      <c r="AP74" s="12" t="s">
        <v>507</v>
      </c>
      <c r="AQ74" s="12" t="s">
        <v>507</v>
      </c>
      <c r="AR74" s="12" t="s">
        <v>507</v>
      </c>
      <c r="AS74" s="12" t="s">
        <v>507</v>
      </c>
      <c r="AT74" s="12" t="s">
        <v>507</v>
      </c>
      <c r="AU74" s="12" t="s">
        <v>507</v>
      </c>
      <c r="AV74" s="12" t="s">
        <v>507</v>
      </c>
      <c r="AW74" s="12" t="s">
        <v>507</v>
      </c>
      <c r="AX74" s="12" t="s">
        <v>507</v>
      </c>
      <c r="AY74" s="12" t="s">
        <v>507</v>
      </c>
      <c r="AZ74" s="12" t="s">
        <v>507</v>
      </c>
      <c r="BA74" s="12" t="s">
        <v>507</v>
      </c>
      <c r="BB74" s="12" t="s">
        <v>507</v>
      </c>
      <c r="BC74" s="12" t="s">
        <v>507</v>
      </c>
      <c r="BD74" s="12" t="s">
        <v>507</v>
      </c>
      <c r="BE74" s="12" t="s">
        <v>507</v>
      </c>
      <c r="BF74" s="12" t="s">
        <v>507</v>
      </c>
      <c r="BG74" s="12" t="s">
        <v>507</v>
      </c>
      <c r="BH74" s="12" t="s">
        <v>507</v>
      </c>
      <c r="BI74" s="12" t="s">
        <v>507</v>
      </c>
      <c r="BJ74" s="12" t="s">
        <v>507</v>
      </c>
      <c r="BK74" s="12" t="s">
        <v>507</v>
      </c>
      <c r="BL74" s="12" t="s">
        <v>507</v>
      </c>
      <c r="BM74" s="12" t="s">
        <v>507</v>
      </c>
      <c r="BN74" s="12" t="s">
        <v>507</v>
      </c>
      <c r="BO74" s="12" t="s">
        <v>507</v>
      </c>
      <c r="BP74" s="12" t="s">
        <v>507</v>
      </c>
      <c r="BQ74" s="12" t="s">
        <v>507</v>
      </c>
      <c r="BR74" s="12" t="s">
        <v>507</v>
      </c>
      <c r="BS74" s="12" t="s">
        <v>507</v>
      </c>
      <c r="BT74" s="12" t="s">
        <v>507</v>
      </c>
      <c r="BU74" s="12" t="s">
        <v>507</v>
      </c>
      <c r="BV74" s="12" t="s">
        <v>507</v>
      </c>
      <c r="BW74" s="12" t="s">
        <v>507</v>
      </c>
      <c r="BX74" s="12" t="s">
        <v>507</v>
      </c>
      <c r="BY74" s="12" t="s">
        <v>507</v>
      </c>
      <c r="BZ74" s="12" t="s">
        <v>507</v>
      </c>
      <c r="CA74" s="12" t="s">
        <v>507</v>
      </c>
      <c r="CB74" s="12" t="s">
        <v>507</v>
      </c>
      <c r="CC74" s="12" t="s">
        <v>507</v>
      </c>
      <c r="CD74" s="12" t="s">
        <v>507</v>
      </c>
      <c r="CE74" s="12" t="s">
        <v>507</v>
      </c>
      <c r="CF74" s="12" t="s">
        <v>507</v>
      </c>
      <c r="CG74" s="12" t="s">
        <v>507</v>
      </c>
      <c r="CH74" s="12" t="s">
        <v>507</v>
      </c>
      <c r="CI74" s="12" t="s">
        <v>507</v>
      </c>
      <c r="CJ74" s="12" t="s">
        <v>507</v>
      </c>
      <c r="CK74" s="12" t="s">
        <v>507</v>
      </c>
      <c r="CL74" s="12" t="s">
        <v>507</v>
      </c>
      <c r="CM74" s="12" t="s">
        <v>507</v>
      </c>
      <c r="CN74" s="12" t="s">
        <v>507</v>
      </c>
      <c r="CO74" s="12" t="s">
        <v>507</v>
      </c>
      <c r="CP74" s="12" t="s">
        <v>507</v>
      </c>
      <c r="CQ74" s="12" t="s">
        <v>507</v>
      </c>
      <c r="CR74" s="12" t="s">
        <v>507</v>
      </c>
      <c r="CS74" s="12" t="s">
        <v>507</v>
      </c>
      <c r="CT74" s="12" t="s">
        <v>507</v>
      </c>
      <c r="CU74" s="12" t="s">
        <v>507</v>
      </c>
      <c r="CV74" s="12" t="s">
        <v>507</v>
      </c>
      <c r="CW74" s="12" t="s">
        <v>507</v>
      </c>
      <c r="CX74" s="12" t="s">
        <v>507</v>
      </c>
    </row>
    <row r="75" spans="1:102" hidden="1" x14ac:dyDescent="0.3">
      <c r="A75" s="12" t="s">
        <v>1723</v>
      </c>
      <c r="B75" s="12" t="s">
        <v>1359</v>
      </c>
      <c r="C75" s="12" t="s">
        <v>1724</v>
      </c>
      <c r="D75" s="12" t="s">
        <v>1725</v>
      </c>
      <c r="E75" s="12" t="s">
        <v>277</v>
      </c>
      <c r="F75" s="12" t="s">
        <v>371</v>
      </c>
      <c r="G75" s="12" t="s">
        <v>280</v>
      </c>
      <c r="H75" s="12" t="s">
        <v>461</v>
      </c>
      <c r="I75" s="12" t="s">
        <v>285</v>
      </c>
      <c r="J75" s="12" t="s">
        <v>616</v>
      </c>
      <c r="K75" s="12" t="s">
        <v>617</v>
      </c>
      <c r="L75" s="12" t="s">
        <v>468</v>
      </c>
      <c r="M75" s="12" t="s">
        <v>879</v>
      </c>
      <c r="N75" s="12" t="s">
        <v>380</v>
      </c>
      <c r="O75" s="12" t="s">
        <v>1430</v>
      </c>
      <c r="P75" s="12" t="s">
        <v>1198</v>
      </c>
      <c r="Q75" s="12" t="s">
        <v>472</v>
      </c>
      <c r="R75" s="12" t="s">
        <v>1712</v>
      </c>
      <c r="S75" s="12" t="s">
        <v>680</v>
      </c>
      <c r="T75" s="12" t="s">
        <v>1214</v>
      </c>
      <c r="U75" s="12" t="s">
        <v>620</v>
      </c>
      <c r="V75" s="12" t="s">
        <v>683</v>
      </c>
      <c r="W75" s="12" t="s">
        <v>1585</v>
      </c>
      <c r="X75" s="12" t="s">
        <v>1726</v>
      </c>
      <c r="Y75" s="12" t="s">
        <v>1268</v>
      </c>
      <c r="Z75" s="12" t="s">
        <v>1727</v>
      </c>
      <c r="AA75" s="12" t="s">
        <v>693</v>
      </c>
      <c r="AB75" s="12" t="s">
        <v>384</v>
      </c>
      <c r="AC75" s="12" t="s">
        <v>1205</v>
      </c>
      <c r="AD75" s="12" t="s">
        <v>1215</v>
      </c>
      <c r="AE75" s="12" t="s">
        <v>1698</v>
      </c>
      <c r="AF75" s="12" t="s">
        <v>1698</v>
      </c>
      <c r="AG75" s="12" t="s">
        <v>1062</v>
      </c>
      <c r="AH75" s="12" t="s">
        <v>1514</v>
      </c>
      <c r="AI75" s="12" t="s">
        <v>1514</v>
      </c>
      <c r="AJ75" s="12" t="s">
        <v>1514</v>
      </c>
      <c r="AK75" s="12" t="s">
        <v>1514</v>
      </c>
      <c r="AL75" s="12" t="s">
        <v>1514</v>
      </c>
      <c r="AM75" s="12" t="s">
        <v>1514</v>
      </c>
      <c r="AN75" s="12" t="s">
        <v>1514</v>
      </c>
      <c r="AO75" s="12" t="s">
        <v>1514</v>
      </c>
      <c r="AP75" s="12" t="s">
        <v>1514</v>
      </c>
      <c r="AQ75" s="12" t="s">
        <v>1514</v>
      </c>
      <c r="AR75" s="12" t="s">
        <v>1514</v>
      </c>
      <c r="AS75" s="12" t="s">
        <v>1514</v>
      </c>
      <c r="AT75" s="12" t="s">
        <v>1514</v>
      </c>
      <c r="AU75" s="12" t="s">
        <v>1514</v>
      </c>
      <c r="AV75" s="12" t="s">
        <v>1514</v>
      </c>
      <c r="AW75" s="12" t="s">
        <v>1514</v>
      </c>
      <c r="AX75" s="12" t="s">
        <v>1514</v>
      </c>
      <c r="AY75" s="12" t="s">
        <v>1514</v>
      </c>
      <c r="AZ75" s="12" t="s">
        <v>1514</v>
      </c>
      <c r="BA75" s="12" t="s">
        <v>1514</v>
      </c>
      <c r="BB75" s="12" t="s">
        <v>1514</v>
      </c>
      <c r="BC75" s="12" t="s">
        <v>1514</v>
      </c>
      <c r="BD75" s="12" t="s">
        <v>1514</v>
      </c>
      <c r="BE75" s="12" t="s">
        <v>1514</v>
      </c>
      <c r="BF75" s="12" t="s">
        <v>1514</v>
      </c>
      <c r="BG75" s="12" t="s">
        <v>1514</v>
      </c>
      <c r="BH75" s="12" t="s">
        <v>748</v>
      </c>
      <c r="BI75" s="12" t="s">
        <v>748</v>
      </c>
      <c r="BJ75" s="12" t="s">
        <v>748</v>
      </c>
      <c r="BK75" s="12" t="s">
        <v>1208</v>
      </c>
      <c r="BL75" s="12" t="s">
        <v>1728</v>
      </c>
      <c r="BM75" s="12" t="s">
        <v>1728</v>
      </c>
      <c r="BN75" s="12" t="s">
        <v>1728</v>
      </c>
      <c r="BO75" s="12" t="s">
        <v>515</v>
      </c>
      <c r="BP75" s="12" t="s">
        <v>1188</v>
      </c>
      <c r="BQ75" s="12" t="s">
        <v>1189</v>
      </c>
      <c r="BR75" s="12" t="s">
        <v>1189</v>
      </c>
      <c r="BS75" s="12" t="s">
        <v>1189</v>
      </c>
      <c r="BT75" s="12" t="s">
        <v>1189</v>
      </c>
      <c r="BU75" s="12" t="s">
        <v>1189</v>
      </c>
      <c r="BV75" s="12" t="s">
        <v>1189</v>
      </c>
      <c r="BW75" s="12" t="s">
        <v>1191</v>
      </c>
      <c r="BX75" s="12" t="s">
        <v>1191</v>
      </c>
      <c r="BY75" s="12" t="s">
        <v>1191</v>
      </c>
      <c r="BZ75" s="12" t="s">
        <v>827</v>
      </c>
      <c r="CA75" s="12" t="s">
        <v>827</v>
      </c>
      <c r="CB75" s="12" t="s">
        <v>827</v>
      </c>
      <c r="CC75" s="12" t="s">
        <v>827</v>
      </c>
      <c r="CD75" s="12" t="s">
        <v>827</v>
      </c>
      <c r="CE75" s="12" t="s">
        <v>827</v>
      </c>
      <c r="CF75" s="12" t="s">
        <v>827</v>
      </c>
      <c r="CG75" s="12" t="s">
        <v>827</v>
      </c>
      <c r="CH75" s="12" t="s">
        <v>827</v>
      </c>
      <c r="CI75" s="12" t="s">
        <v>827</v>
      </c>
      <c r="CJ75" s="12" t="s">
        <v>827</v>
      </c>
      <c r="CK75" s="12" t="s">
        <v>827</v>
      </c>
      <c r="CL75" s="12" t="s">
        <v>827</v>
      </c>
      <c r="CM75" s="12" t="s">
        <v>827</v>
      </c>
      <c r="CN75" s="12" t="s">
        <v>827</v>
      </c>
      <c r="CO75" s="12" t="s">
        <v>827</v>
      </c>
      <c r="CP75" s="12" t="s">
        <v>827</v>
      </c>
      <c r="CQ75" s="12" t="s">
        <v>345</v>
      </c>
      <c r="CR75" s="12" t="s">
        <v>1435</v>
      </c>
      <c r="CS75" s="12" t="s">
        <v>1435</v>
      </c>
      <c r="CT75" s="12" t="s">
        <v>1699</v>
      </c>
      <c r="CU75" s="12" t="s">
        <v>1699</v>
      </c>
      <c r="CV75" s="12" t="s">
        <v>1699</v>
      </c>
      <c r="CW75" s="12" t="s">
        <v>1699</v>
      </c>
      <c r="CX75" s="12" t="s">
        <v>1123</v>
      </c>
    </row>
    <row r="76" spans="1:102" hidden="1" x14ac:dyDescent="0.3">
      <c r="A76" s="12" t="s">
        <v>1729</v>
      </c>
      <c r="B76" s="12" t="s">
        <v>1359</v>
      </c>
      <c r="C76" s="12" t="s">
        <v>1730</v>
      </c>
      <c r="D76" s="12" t="s">
        <v>1731</v>
      </c>
      <c r="E76" s="12" t="s">
        <v>322</v>
      </c>
      <c r="F76" s="12" t="s">
        <v>550</v>
      </c>
      <c r="G76" s="12" t="s">
        <v>461</v>
      </c>
      <c r="H76" s="12" t="s">
        <v>612</v>
      </c>
      <c r="I76" s="12" t="s">
        <v>617</v>
      </c>
      <c r="J76" s="12" t="s">
        <v>419</v>
      </c>
      <c r="K76" s="12" t="s">
        <v>824</v>
      </c>
      <c r="L76" s="12" t="s">
        <v>1732</v>
      </c>
      <c r="M76" s="12" t="s">
        <v>473</v>
      </c>
      <c r="N76" s="12" t="s">
        <v>620</v>
      </c>
      <c r="O76" s="12" t="s">
        <v>1302</v>
      </c>
      <c r="P76" s="12" t="s">
        <v>384</v>
      </c>
      <c r="Q76" s="12" t="s">
        <v>344</v>
      </c>
      <c r="R76" s="12" t="s">
        <v>964</v>
      </c>
      <c r="S76" s="12" t="s">
        <v>575</v>
      </c>
      <c r="T76" s="12" t="s">
        <v>1733</v>
      </c>
      <c r="U76" s="12" t="s">
        <v>1587</v>
      </c>
      <c r="V76" s="12" t="s">
        <v>353</v>
      </c>
      <c r="W76" s="12" t="s">
        <v>302</v>
      </c>
      <c r="X76" s="12" t="s">
        <v>434</v>
      </c>
      <c r="Y76" s="12" t="s">
        <v>1734</v>
      </c>
      <c r="Z76" s="12" t="s">
        <v>1099</v>
      </c>
      <c r="AA76" s="12" t="s">
        <v>1124</v>
      </c>
      <c r="AB76" s="12" t="s">
        <v>1735</v>
      </c>
      <c r="AC76" s="12" t="s">
        <v>522</v>
      </c>
      <c r="AD76" s="12" t="s">
        <v>1324</v>
      </c>
      <c r="AE76" s="12" t="s">
        <v>739</v>
      </c>
      <c r="AF76" s="12" t="s">
        <v>1681</v>
      </c>
      <c r="AG76" s="12" t="s">
        <v>740</v>
      </c>
      <c r="AH76" s="12" t="s">
        <v>741</v>
      </c>
      <c r="AI76" s="12" t="s">
        <v>1736</v>
      </c>
      <c r="AJ76" s="12" t="s">
        <v>1737</v>
      </c>
      <c r="AK76" s="12" t="s">
        <v>1139</v>
      </c>
      <c r="AL76" s="12" t="s">
        <v>1738</v>
      </c>
      <c r="AM76" s="12" t="s">
        <v>840</v>
      </c>
      <c r="AN76" s="12" t="s">
        <v>840</v>
      </c>
      <c r="AO76" s="12" t="s">
        <v>840</v>
      </c>
      <c r="AP76" s="12" t="s">
        <v>840</v>
      </c>
      <c r="AQ76" s="12" t="s">
        <v>840</v>
      </c>
      <c r="AR76" s="12" t="s">
        <v>1739</v>
      </c>
      <c r="AS76" s="12" t="s">
        <v>1739</v>
      </c>
      <c r="AT76" s="12" t="s">
        <v>1739</v>
      </c>
      <c r="AU76" s="12" t="s">
        <v>1739</v>
      </c>
      <c r="AV76" s="12" t="s">
        <v>1739</v>
      </c>
      <c r="AW76" s="12" t="s">
        <v>1739</v>
      </c>
      <c r="AX76" s="12" t="s">
        <v>1739</v>
      </c>
      <c r="AY76" s="12" t="s">
        <v>1739</v>
      </c>
      <c r="AZ76" s="12" t="s">
        <v>1739</v>
      </c>
      <c r="BA76" s="12" t="s">
        <v>1739</v>
      </c>
      <c r="BB76" s="12" t="s">
        <v>1740</v>
      </c>
      <c r="BC76" s="12" t="s">
        <v>1740</v>
      </c>
      <c r="BD76" s="12" t="s">
        <v>1740</v>
      </c>
      <c r="BE76" s="12" t="s">
        <v>1740</v>
      </c>
      <c r="BF76" s="12" t="s">
        <v>1740</v>
      </c>
      <c r="BG76" s="12" t="s">
        <v>1740</v>
      </c>
      <c r="BH76" s="12" t="s">
        <v>1604</v>
      </c>
      <c r="BI76" s="12" t="s">
        <v>1604</v>
      </c>
      <c r="BJ76" s="12" t="s">
        <v>1604</v>
      </c>
      <c r="BK76" s="12" t="s">
        <v>1741</v>
      </c>
      <c r="BL76" s="12" t="s">
        <v>988</v>
      </c>
      <c r="BM76" s="12" t="s">
        <v>1742</v>
      </c>
      <c r="BN76" s="12" t="s">
        <v>1743</v>
      </c>
      <c r="BO76" s="12" t="s">
        <v>1743</v>
      </c>
      <c r="BP76" s="12" t="s">
        <v>698</v>
      </c>
      <c r="BQ76" s="12" t="s">
        <v>1702</v>
      </c>
      <c r="BR76" s="12" t="s">
        <v>1224</v>
      </c>
      <c r="BS76" s="12" t="s">
        <v>1224</v>
      </c>
      <c r="BT76" s="12" t="s">
        <v>1224</v>
      </c>
      <c r="BU76" s="12" t="s">
        <v>1744</v>
      </c>
      <c r="BV76" s="12" t="s">
        <v>1745</v>
      </c>
      <c r="BW76" s="12" t="s">
        <v>1745</v>
      </c>
      <c r="BX76" s="12" t="s">
        <v>1746</v>
      </c>
      <c r="BY76" s="12" t="s">
        <v>1747</v>
      </c>
      <c r="BZ76" s="12" t="s">
        <v>1747</v>
      </c>
      <c r="CA76" s="12" t="s">
        <v>1370</v>
      </c>
      <c r="CB76" s="12" t="s">
        <v>1748</v>
      </c>
      <c r="CC76" s="12" t="s">
        <v>630</v>
      </c>
      <c r="CD76" s="12" t="s">
        <v>1749</v>
      </c>
      <c r="CE76" s="12" t="s">
        <v>1749</v>
      </c>
      <c r="CF76" s="12" t="s">
        <v>1749</v>
      </c>
      <c r="CG76" s="12" t="s">
        <v>309</v>
      </c>
      <c r="CH76" s="12" t="s">
        <v>309</v>
      </c>
      <c r="CI76" s="12" t="s">
        <v>309</v>
      </c>
      <c r="CJ76" s="12" t="s">
        <v>309</v>
      </c>
      <c r="CK76" s="12" t="s">
        <v>309</v>
      </c>
      <c r="CL76" s="12" t="s">
        <v>309</v>
      </c>
      <c r="CM76" s="12" t="s">
        <v>1750</v>
      </c>
      <c r="CN76" s="12" t="s">
        <v>1750</v>
      </c>
      <c r="CO76" s="12" t="s">
        <v>1750</v>
      </c>
      <c r="CP76" s="12" t="s">
        <v>1750</v>
      </c>
      <c r="CQ76" s="12" t="s">
        <v>1750</v>
      </c>
      <c r="CR76" s="12" t="s">
        <v>1750</v>
      </c>
      <c r="CS76" s="12" t="s">
        <v>1750</v>
      </c>
      <c r="CT76" s="12" t="s">
        <v>1750</v>
      </c>
      <c r="CU76" s="12" t="s">
        <v>1750</v>
      </c>
      <c r="CV76" s="12" t="s">
        <v>1750</v>
      </c>
      <c r="CW76" s="12" t="s">
        <v>1750</v>
      </c>
      <c r="CX76" s="12" t="s">
        <v>1750</v>
      </c>
    </row>
    <row r="77" spans="1:102" hidden="1" x14ac:dyDescent="0.3">
      <c r="A77" s="12" t="s">
        <v>1751</v>
      </c>
      <c r="B77" s="12" t="s">
        <v>1359</v>
      </c>
      <c r="C77" s="12" t="s">
        <v>1752</v>
      </c>
      <c r="D77" s="12" t="s">
        <v>1753</v>
      </c>
      <c r="E77" s="12" t="s">
        <v>460</v>
      </c>
      <c r="F77" s="12" t="s">
        <v>283</v>
      </c>
      <c r="G77" s="12" t="s">
        <v>374</v>
      </c>
      <c r="H77" s="12" t="s">
        <v>326</v>
      </c>
      <c r="I77" s="12" t="s">
        <v>287</v>
      </c>
      <c r="J77" s="12" t="s">
        <v>418</v>
      </c>
      <c r="K77" s="12" t="s">
        <v>672</v>
      </c>
      <c r="L77" s="12" t="s">
        <v>558</v>
      </c>
      <c r="M77" s="12" t="s">
        <v>571</v>
      </c>
      <c r="N77" s="12" t="s">
        <v>1055</v>
      </c>
      <c r="O77" s="12" t="s">
        <v>681</v>
      </c>
      <c r="P77" s="12" t="s">
        <v>747</v>
      </c>
      <c r="Q77" s="12" t="s">
        <v>1186</v>
      </c>
      <c r="R77" s="12" t="s">
        <v>1268</v>
      </c>
      <c r="S77" s="12" t="s">
        <v>343</v>
      </c>
      <c r="T77" s="12" t="s">
        <v>655</v>
      </c>
      <c r="U77" s="12" t="s">
        <v>345</v>
      </c>
      <c r="V77" s="12" t="s">
        <v>1699</v>
      </c>
      <c r="W77" s="12" t="s">
        <v>1063</v>
      </c>
      <c r="X77" s="12" t="s">
        <v>298</v>
      </c>
      <c r="Y77" s="12" t="s">
        <v>1439</v>
      </c>
      <c r="Z77" s="12" t="s">
        <v>728</v>
      </c>
      <c r="AA77" s="12" t="s">
        <v>1307</v>
      </c>
      <c r="AB77" s="12" t="s">
        <v>1095</v>
      </c>
      <c r="AC77" s="12" t="s">
        <v>1310</v>
      </c>
      <c r="AD77" s="12" t="s">
        <v>1441</v>
      </c>
      <c r="AE77" s="12" t="s">
        <v>347</v>
      </c>
      <c r="AF77" s="12" t="s">
        <v>347</v>
      </c>
      <c r="AG77" s="12" t="s">
        <v>347</v>
      </c>
      <c r="AH77" s="12" t="s">
        <v>428</v>
      </c>
      <c r="AI77" s="12" t="s">
        <v>428</v>
      </c>
      <c r="AJ77" s="12" t="s">
        <v>1754</v>
      </c>
      <c r="AK77" s="12" t="s">
        <v>1754</v>
      </c>
      <c r="AL77" s="12" t="s">
        <v>1754</v>
      </c>
      <c r="AM77" s="12" t="s">
        <v>1755</v>
      </c>
      <c r="AN77" s="12" t="s">
        <v>658</v>
      </c>
      <c r="AO77" s="12" t="s">
        <v>658</v>
      </c>
      <c r="AP77" s="12" t="s">
        <v>658</v>
      </c>
      <c r="AQ77" s="12" t="s">
        <v>658</v>
      </c>
      <c r="AR77" s="12" t="s">
        <v>658</v>
      </c>
      <c r="AS77" s="12" t="s">
        <v>658</v>
      </c>
      <c r="AT77" s="12" t="s">
        <v>1442</v>
      </c>
      <c r="AU77" s="12" t="s">
        <v>1442</v>
      </c>
      <c r="AV77" s="12" t="s">
        <v>1756</v>
      </c>
      <c r="AW77" s="12" t="s">
        <v>1217</v>
      </c>
      <c r="AX77" s="12" t="s">
        <v>1217</v>
      </c>
      <c r="AY77" s="12" t="s">
        <v>1217</v>
      </c>
      <c r="AZ77" s="12" t="s">
        <v>1217</v>
      </c>
      <c r="BA77" s="12" t="s">
        <v>1757</v>
      </c>
      <c r="BB77" s="12" t="s">
        <v>1757</v>
      </c>
      <c r="BC77" s="12" t="s">
        <v>1757</v>
      </c>
      <c r="BD77" s="12" t="s">
        <v>1065</v>
      </c>
      <c r="BE77" s="12" t="s">
        <v>576</v>
      </c>
      <c r="BF77" s="12" t="s">
        <v>576</v>
      </c>
      <c r="BG77" s="12" t="s">
        <v>694</v>
      </c>
      <c r="BH77" s="12" t="s">
        <v>1137</v>
      </c>
      <c r="BI77" s="12" t="s">
        <v>348</v>
      </c>
      <c r="BJ77" s="12" t="s">
        <v>1758</v>
      </c>
      <c r="BK77" s="12" t="s">
        <v>1759</v>
      </c>
      <c r="BL77" s="12" t="s">
        <v>1389</v>
      </c>
      <c r="BM77" s="12" t="s">
        <v>1760</v>
      </c>
      <c r="BN77" s="12" t="s">
        <v>1760</v>
      </c>
      <c r="BO77" s="12" t="s">
        <v>1098</v>
      </c>
      <c r="BP77" s="12" t="s">
        <v>354</v>
      </c>
      <c r="BQ77" s="12" t="s">
        <v>1761</v>
      </c>
      <c r="BR77" s="12" t="s">
        <v>1418</v>
      </c>
      <c r="BS77" s="12" t="s">
        <v>1069</v>
      </c>
      <c r="BT77" s="12" t="s">
        <v>1680</v>
      </c>
      <c r="BU77" s="12" t="s">
        <v>1762</v>
      </c>
      <c r="BV77" s="12" t="s">
        <v>1124</v>
      </c>
      <c r="BW77" s="12" t="s">
        <v>1763</v>
      </c>
      <c r="BX77" s="12" t="s">
        <v>1402</v>
      </c>
      <c r="BY77" s="12" t="s">
        <v>1764</v>
      </c>
      <c r="BZ77" s="12" t="s">
        <v>1420</v>
      </c>
      <c r="CA77" s="12" t="s">
        <v>1071</v>
      </c>
      <c r="CB77" s="12" t="s">
        <v>1765</v>
      </c>
      <c r="CC77" s="12" t="s">
        <v>1766</v>
      </c>
      <c r="CD77" s="12" t="s">
        <v>1681</v>
      </c>
      <c r="CE77" s="12" t="s">
        <v>1767</v>
      </c>
      <c r="CF77" s="12" t="s">
        <v>305</v>
      </c>
      <c r="CG77" s="12" t="s">
        <v>305</v>
      </c>
      <c r="CH77" s="12" t="s">
        <v>306</v>
      </c>
      <c r="CI77" s="12" t="s">
        <v>1075</v>
      </c>
      <c r="CJ77" s="12" t="s">
        <v>1075</v>
      </c>
      <c r="CK77" s="12" t="s">
        <v>1768</v>
      </c>
      <c r="CL77" s="12" t="s">
        <v>1269</v>
      </c>
      <c r="CM77" s="12" t="s">
        <v>1269</v>
      </c>
      <c r="CN77" s="12" t="s">
        <v>1269</v>
      </c>
      <c r="CO77" s="12" t="s">
        <v>1076</v>
      </c>
      <c r="CP77" s="12" t="s">
        <v>441</v>
      </c>
      <c r="CQ77" s="12" t="s">
        <v>441</v>
      </c>
      <c r="CR77" s="12" t="s">
        <v>1769</v>
      </c>
      <c r="CS77" s="12" t="s">
        <v>799</v>
      </c>
      <c r="CT77" s="12" t="s">
        <v>799</v>
      </c>
      <c r="CU77" s="12" t="s">
        <v>1871</v>
      </c>
      <c r="CV77" s="12" t="s">
        <v>1871</v>
      </c>
      <c r="CW77" s="12" t="s">
        <v>1689</v>
      </c>
      <c r="CX77" s="12" t="s">
        <v>1690</v>
      </c>
    </row>
    <row r="78" spans="1:102" hidden="1" x14ac:dyDescent="0.3">
      <c r="A78" s="12" t="s">
        <v>1770</v>
      </c>
      <c r="B78" s="12" t="s">
        <v>1359</v>
      </c>
      <c r="C78" s="12" t="s">
        <v>1771</v>
      </c>
      <c r="D78" s="12" t="s">
        <v>1772</v>
      </c>
      <c r="E78" s="12" t="s">
        <v>278</v>
      </c>
      <c r="F78" s="12" t="s">
        <v>278</v>
      </c>
      <c r="G78" s="12" t="s">
        <v>278</v>
      </c>
      <c r="H78" s="12" t="s">
        <v>550</v>
      </c>
      <c r="I78" s="12" t="s">
        <v>460</v>
      </c>
      <c r="J78" s="12" t="s">
        <v>567</v>
      </c>
      <c r="K78" s="12" t="s">
        <v>612</v>
      </c>
      <c r="L78" s="12" t="s">
        <v>612</v>
      </c>
      <c r="M78" s="12" t="s">
        <v>616</v>
      </c>
      <c r="N78" s="12" t="s">
        <v>417</v>
      </c>
      <c r="O78" s="12" t="s">
        <v>671</v>
      </c>
      <c r="P78" s="12" t="s">
        <v>672</v>
      </c>
      <c r="Q78" s="12" t="s">
        <v>288</v>
      </c>
      <c r="R78" s="12" t="s">
        <v>883</v>
      </c>
      <c r="S78" s="12" t="s">
        <v>883</v>
      </c>
      <c r="T78" s="12" t="s">
        <v>558</v>
      </c>
      <c r="U78" s="12" t="s">
        <v>336</v>
      </c>
      <c r="V78" s="12" t="s">
        <v>510</v>
      </c>
      <c r="W78" s="12" t="s">
        <v>1117</v>
      </c>
      <c r="X78" s="12" t="s">
        <v>1117</v>
      </c>
      <c r="Y78" s="12" t="s">
        <v>1448</v>
      </c>
      <c r="Z78" s="12" t="s">
        <v>975</v>
      </c>
      <c r="AA78" s="12" t="s">
        <v>975</v>
      </c>
      <c r="AB78" s="12" t="s">
        <v>1053</v>
      </c>
      <c r="AC78" s="12" t="s">
        <v>472</v>
      </c>
      <c r="AD78" s="12" t="s">
        <v>1054</v>
      </c>
      <c r="AE78" s="12" t="s">
        <v>1732</v>
      </c>
      <c r="AF78" s="12" t="s">
        <v>746</v>
      </c>
      <c r="AG78" s="12" t="s">
        <v>746</v>
      </c>
      <c r="AH78" s="12" t="s">
        <v>960</v>
      </c>
      <c r="AI78" s="12" t="s">
        <v>960</v>
      </c>
      <c r="AJ78" s="12" t="s">
        <v>960</v>
      </c>
      <c r="AK78" s="12" t="s">
        <v>960</v>
      </c>
      <c r="AL78" s="12" t="s">
        <v>422</v>
      </c>
      <c r="AM78" s="12" t="s">
        <v>422</v>
      </c>
      <c r="AN78" s="12" t="s">
        <v>422</v>
      </c>
      <c r="AO78" s="12" t="s">
        <v>422</v>
      </c>
      <c r="AP78" s="12" t="s">
        <v>422</v>
      </c>
      <c r="AQ78" s="12" t="s">
        <v>422</v>
      </c>
      <c r="AR78" s="12" t="s">
        <v>422</v>
      </c>
      <c r="AS78" s="12" t="s">
        <v>422</v>
      </c>
      <c r="AT78" s="12" t="s">
        <v>422</v>
      </c>
      <c r="AU78" s="12" t="s">
        <v>422</v>
      </c>
      <c r="AV78" s="12" t="s">
        <v>422</v>
      </c>
      <c r="AW78" s="12" t="s">
        <v>422</v>
      </c>
      <c r="AX78" s="12" t="s">
        <v>422</v>
      </c>
      <c r="AY78" s="12" t="s">
        <v>422</v>
      </c>
      <c r="AZ78" s="12" t="s">
        <v>422</v>
      </c>
      <c r="BA78" s="12" t="s">
        <v>422</v>
      </c>
      <c r="BB78" s="12" t="s">
        <v>422</v>
      </c>
      <c r="BC78" s="12" t="s">
        <v>422</v>
      </c>
      <c r="BD78" s="12" t="s">
        <v>422</v>
      </c>
      <c r="BE78" s="12" t="s">
        <v>422</v>
      </c>
      <c r="BF78" s="12" t="s">
        <v>422</v>
      </c>
      <c r="BG78" s="12" t="s">
        <v>422</v>
      </c>
      <c r="BH78" s="12" t="s">
        <v>422</v>
      </c>
      <c r="BI78" s="12" t="s">
        <v>422</v>
      </c>
      <c r="BJ78" s="12" t="s">
        <v>422</v>
      </c>
      <c r="BK78" s="12" t="s">
        <v>422</v>
      </c>
      <c r="BL78" s="12" t="s">
        <v>422</v>
      </c>
      <c r="BM78" s="12" t="s">
        <v>422</v>
      </c>
      <c r="BN78" s="12" t="s">
        <v>572</v>
      </c>
      <c r="BO78" s="12" t="s">
        <v>572</v>
      </c>
      <c r="BP78" s="12" t="s">
        <v>572</v>
      </c>
      <c r="BQ78" s="12" t="s">
        <v>1055</v>
      </c>
      <c r="BR78" s="12" t="s">
        <v>1055</v>
      </c>
      <c r="BS78" s="12" t="s">
        <v>1055</v>
      </c>
      <c r="BT78" s="12" t="s">
        <v>511</v>
      </c>
      <c r="BU78" s="12" t="s">
        <v>511</v>
      </c>
      <c r="BV78" s="12" t="s">
        <v>511</v>
      </c>
      <c r="BW78" s="12" t="s">
        <v>1056</v>
      </c>
      <c r="BX78" s="12" t="s">
        <v>1056</v>
      </c>
      <c r="BY78" s="12" t="s">
        <v>1056</v>
      </c>
      <c r="BZ78" s="12" t="s">
        <v>1056</v>
      </c>
      <c r="CA78" s="12" t="s">
        <v>1057</v>
      </c>
      <c r="CB78" s="12" t="s">
        <v>1057</v>
      </c>
      <c r="CC78" s="12" t="s">
        <v>1057</v>
      </c>
      <c r="CD78" s="12" t="s">
        <v>885</v>
      </c>
      <c r="CE78" s="12" t="s">
        <v>976</v>
      </c>
      <c r="CF78" s="12" t="s">
        <v>1384</v>
      </c>
      <c r="CG78" s="12" t="s">
        <v>1513</v>
      </c>
      <c r="CH78" s="12" t="s">
        <v>1513</v>
      </c>
      <c r="CI78" s="12" t="s">
        <v>1214</v>
      </c>
      <c r="CJ78" s="12" t="s">
        <v>1214</v>
      </c>
      <c r="CK78" s="12" t="s">
        <v>339</v>
      </c>
      <c r="CL78" s="12" t="s">
        <v>513</v>
      </c>
      <c r="CM78" s="12" t="s">
        <v>340</v>
      </c>
      <c r="CN78" s="12" t="s">
        <v>340</v>
      </c>
      <c r="CO78" s="12" t="s">
        <v>340</v>
      </c>
      <c r="CP78" s="12" t="s">
        <v>340</v>
      </c>
      <c r="CQ78" s="12" t="s">
        <v>340</v>
      </c>
      <c r="CR78" s="12" t="s">
        <v>340</v>
      </c>
      <c r="CS78" s="12" t="s">
        <v>340</v>
      </c>
      <c r="CT78" s="12" t="s">
        <v>340</v>
      </c>
      <c r="CU78" s="12" t="s">
        <v>340</v>
      </c>
      <c r="CV78" s="12" t="s">
        <v>340</v>
      </c>
      <c r="CW78" s="12" t="s">
        <v>340</v>
      </c>
      <c r="CX78" s="12" t="s">
        <v>340</v>
      </c>
    </row>
    <row r="79" spans="1:102" hidden="1" x14ac:dyDescent="0.3">
      <c r="A79" s="12" t="s">
        <v>1773</v>
      </c>
      <c r="B79" s="12" t="s">
        <v>1359</v>
      </c>
      <c r="C79" s="12" t="s">
        <v>1774</v>
      </c>
      <c r="D79" s="12" t="s">
        <v>1775</v>
      </c>
      <c r="E79" s="12" t="s">
        <v>280</v>
      </c>
      <c r="F79" s="12" t="s">
        <v>454</v>
      </c>
      <c r="G79" s="12" t="s">
        <v>461</v>
      </c>
      <c r="H79" s="12" t="s">
        <v>568</v>
      </c>
      <c r="I79" s="12" t="s">
        <v>795</v>
      </c>
      <c r="J79" s="12" t="s">
        <v>673</v>
      </c>
      <c r="K79" s="12" t="s">
        <v>381</v>
      </c>
      <c r="L79" s="12" t="s">
        <v>1197</v>
      </c>
      <c r="M79" s="12" t="s">
        <v>1712</v>
      </c>
      <c r="N79" s="12" t="s">
        <v>1229</v>
      </c>
      <c r="O79" s="12" t="s">
        <v>686</v>
      </c>
      <c r="P79" s="12" t="s">
        <v>726</v>
      </c>
      <c r="Q79" s="12" t="s">
        <v>1190</v>
      </c>
      <c r="R79" s="12" t="s">
        <v>1093</v>
      </c>
      <c r="S79" s="12" t="s">
        <v>475</v>
      </c>
      <c r="T79" s="12" t="s">
        <v>1010</v>
      </c>
      <c r="U79" s="12" t="s">
        <v>1757</v>
      </c>
      <c r="V79" s="12" t="s">
        <v>729</v>
      </c>
      <c r="W79" s="12" t="s">
        <v>1587</v>
      </c>
      <c r="X79" s="12" t="s">
        <v>1776</v>
      </c>
      <c r="Y79" s="12" t="s">
        <v>1777</v>
      </c>
      <c r="Z79" s="12" t="s">
        <v>577</v>
      </c>
      <c r="AA79" s="12" t="s">
        <v>1761</v>
      </c>
      <c r="AB79" s="12" t="s">
        <v>1661</v>
      </c>
      <c r="AC79" s="12" t="s">
        <v>1542</v>
      </c>
      <c r="AD79" s="12" t="s">
        <v>733</v>
      </c>
      <c r="AE79" s="12" t="s">
        <v>734</v>
      </c>
      <c r="AF79" s="12" t="s">
        <v>1778</v>
      </c>
      <c r="AG79" s="12" t="s">
        <v>736</v>
      </c>
      <c r="AH79" s="12" t="s">
        <v>695</v>
      </c>
      <c r="AI79" s="12" t="s">
        <v>436</v>
      </c>
      <c r="AJ79" s="12" t="s">
        <v>1764</v>
      </c>
      <c r="AK79" s="12" t="s">
        <v>1764</v>
      </c>
      <c r="AL79" s="12" t="s">
        <v>738</v>
      </c>
      <c r="AM79" s="12" t="s">
        <v>1420</v>
      </c>
      <c r="AN79" s="12" t="s">
        <v>1071</v>
      </c>
      <c r="AO79" s="12" t="s">
        <v>1779</v>
      </c>
      <c r="AP79" s="12" t="s">
        <v>1766</v>
      </c>
      <c r="AQ79" s="12" t="s">
        <v>1766</v>
      </c>
      <c r="AR79" s="12" t="s">
        <v>1766</v>
      </c>
      <c r="AS79" s="12" t="s">
        <v>1766</v>
      </c>
      <c r="AT79" s="12" t="s">
        <v>1766</v>
      </c>
      <c r="AU79" s="12" t="s">
        <v>1766</v>
      </c>
      <c r="AV79" s="12" t="s">
        <v>360</v>
      </c>
      <c r="AW79" s="12" t="s">
        <v>360</v>
      </c>
      <c r="AX79" s="12" t="s">
        <v>360</v>
      </c>
      <c r="AY79" s="12" t="s">
        <v>360</v>
      </c>
      <c r="AZ79" s="12" t="s">
        <v>360</v>
      </c>
      <c r="BA79" s="12" t="s">
        <v>360</v>
      </c>
      <c r="BB79" s="12" t="s">
        <v>360</v>
      </c>
      <c r="BC79" s="12" t="s">
        <v>360</v>
      </c>
      <c r="BD79" s="12" t="s">
        <v>360</v>
      </c>
      <c r="BE79" s="12" t="s">
        <v>360</v>
      </c>
      <c r="BF79" s="12" t="s">
        <v>360</v>
      </c>
      <c r="BG79" s="12" t="s">
        <v>360</v>
      </c>
      <c r="BH79" s="12" t="s">
        <v>1780</v>
      </c>
      <c r="BI79" s="12" t="s">
        <v>1780</v>
      </c>
      <c r="BJ79" s="12" t="s">
        <v>1780</v>
      </c>
      <c r="BK79" s="12" t="s">
        <v>739</v>
      </c>
      <c r="BL79" s="12" t="s">
        <v>1101</v>
      </c>
      <c r="BM79" s="12" t="s">
        <v>1681</v>
      </c>
      <c r="BN79" s="12" t="s">
        <v>1681</v>
      </c>
      <c r="BO79" s="12" t="s">
        <v>437</v>
      </c>
      <c r="BP79" s="12" t="s">
        <v>1781</v>
      </c>
      <c r="BQ79" s="12" t="s">
        <v>1781</v>
      </c>
      <c r="BR79" s="12" t="s">
        <v>361</v>
      </c>
      <c r="BS79" s="12" t="s">
        <v>361</v>
      </c>
      <c r="BT79" s="12" t="s">
        <v>1782</v>
      </c>
      <c r="BU79" s="12" t="s">
        <v>1782</v>
      </c>
      <c r="BV79" s="12" t="s">
        <v>1782</v>
      </c>
      <c r="BW79" s="12" t="s">
        <v>1767</v>
      </c>
      <c r="BX79" s="12" t="s">
        <v>1783</v>
      </c>
      <c r="BY79" s="12" t="s">
        <v>305</v>
      </c>
      <c r="BZ79" s="12" t="s">
        <v>1102</v>
      </c>
      <c r="CA79" s="12" t="s">
        <v>1403</v>
      </c>
      <c r="CB79" s="12" t="s">
        <v>910</v>
      </c>
      <c r="CC79" s="12" t="s">
        <v>1423</v>
      </c>
      <c r="CD79" s="12" t="s">
        <v>1423</v>
      </c>
      <c r="CE79" s="12" t="s">
        <v>1423</v>
      </c>
      <c r="CF79" s="12" t="s">
        <v>1423</v>
      </c>
      <c r="CG79" s="12" t="s">
        <v>1423</v>
      </c>
      <c r="CH79" s="12" t="s">
        <v>1423</v>
      </c>
      <c r="CI79" s="12" t="s">
        <v>1423</v>
      </c>
      <c r="CJ79" s="12" t="s">
        <v>1423</v>
      </c>
      <c r="CK79" s="12" t="s">
        <v>1423</v>
      </c>
      <c r="CL79" s="12" t="s">
        <v>1423</v>
      </c>
      <c r="CM79" s="12" t="s">
        <v>1423</v>
      </c>
      <c r="CN79" s="12" t="s">
        <v>1404</v>
      </c>
      <c r="CO79" s="12" t="s">
        <v>1404</v>
      </c>
      <c r="CP79" s="12" t="s">
        <v>1404</v>
      </c>
      <c r="CQ79" s="12" t="s">
        <v>1404</v>
      </c>
      <c r="CR79" s="12" t="s">
        <v>1404</v>
      </c>
      <c r="CS79" s="12" t="s">
        <v>1404</v>
      </c>
      <c r="CT79" s="12" t="s">
        <v>1404</v>
      </c>
      <c r="CU79" s="12" t="s">
        <v>1404</v>
      </c>
      <c r="CV79" s="12" t="s">
        <v>1404</v>
      </c>
      <c r="CW79" s="12" t="s">
        <v>1404</v>
      </c>
      <c r="CX79" s="12" t="s">
        <v>1404</v>
      </c>
    </row>
    <row r="80" spans="1:102" hidden="1" x14ac:dyDescent="0.3">
      <c r="A80" s="12" t="s">
        <v>1784</v>
      </c>
      <c r="B80" s="12" t="s">
        <v>1359</v>
      </c>
      <c r="C80" s="12" t="s">
        <v>1785</v>
      </c>
      <c r="D80" s="12" t="s">
        <v>1786</v>
      </c>
      <c r="E80" s="12" t="s">
        <v>279</v>
      </c>
      <c r="F80" s="12" t="s">
        <v>279</v>
      </c>
      <c r="G80" s="12" t="s">
        <v>454</v>
      </c>
      <c r="H80" s="12" t="s">
        <v>323</v>
      </c>
      <c r="I80" s="12" t="s">
        <v>455</v>
      </c>
      <c r="J80" s="12" t="s">
        <v>325</v>
      </c>
      <c r="K80" s="12" t="s">
        <v>286</v>
      </c>
      <c r="L80" s="12" t="s">
        <v>612</v>
      </c>
      <c r="M80" s="12" t="s">
        <v>465</v>
      </c>
      <c r="N80" s="12" t="s">
        <v>551</v>
      </c>
      <c r="O80" s="12" t="s">
        <v>745</v>
      </c>
      <c r="P80" s="12" t="s">
        <v>377</v>
      </c>
      <c r="Q80" s="12" t="s">
        <v>379</v>
      </c>
      <c r="R80" s="12" t="s">
        <v>654</v>
      </c>
      <c r="S80" s="12" t="s">
        <v>673</v>
      </c>
      <c r="T80" s="12" t="s">
        <v>470</v>
      </c>
      <c r="U80" s="12" t="s">
        <v>883</v>
      </c>
      <c r="V80" s="12" t="s">
        <v>420</v>
      </c>
      <c r="W80" s="12" t="s">
        <v>556</v>
      </c>
      <c r="X80" s="12" t="s">
        <v>824</v>
      </c>
      <c r="Y80" s="12" t="s">
        <v>1362</v>
      </c>
      <c r="Z80" s="12" t="s">
        <v>571</v>
      </c>
      <c r="AA80" s="12" t="s">
        <v>1117</v>
      </c>
      <c r="AB80" s="12" t="s">
        <v>292</v>
      </c>
      <c r="AC80" s="12" t="s">
        <v>679</v>
      </c>
      <c r="AD80" s="12" t="s">
        <v>1448</v>
      </c>
      <c r="AE80" s="12" t="s">
        <v>1449</v>
      </c>
      <c r="AF80" s="12" t="s">
        <v>472</v>
      </c>
      <c r="AG80" s="12" t="s">
        <v>1732</v>
      </c>
      <c r="AH80" s="12" t="s">
        <v>746</v>
      </c>
      <c r="AI80" s="12" t="s">
        <v>960</v>
      </c>
      <c r="AJ80" s="12" t="s">
        <v>1055</v>
      </c>
      <c r="AK80" s="12" t="s">
        <v>1055</v>
      </c>
      <c r="AL80" s="12" t="s">
        <v>1055</v>
      </c>
      <c r="AM80" s="12" t="s">
        <v>1055</v>
      </c>
      <c r="AN80" s="12" t="s">
        <v>1055</v>
      </c>
      <c r="AO80" s="12" t="s">
        <v>511</v>
      </c>
      <c r="AP80" s="12" t="s">
        <v>511</v>
      </c>
      <c r="AQ80" s="12" t="s">
        <v>511</v>
      </c>
      <c r="AR80" s="12" t="s">
        <v>511</v>
      </c>
      <c r="AS80" s="12" t="s">
        <v>511</v>
      </c>
      <c r="AT80" s="12" t="s">
        <v>511</v>
      </c>
      <c r="AU80" s="12" t="s">
        <v>511</v>
      </c>
      <c r="AV80" s="12" t="s">
        <v>511</v>
      </c>
      <c r="AW80" s="12" t="s">
        <v>511</v>
      </c>
      <c r="AX80" s="12" t="s">
        <v>511</v>
      </c>
      <c r="AY80" s="12" t="s">
        <v>511</v>
      </c>
      <c r="AZ80" s="12" t="s">
        <v>511</v>
      </c>
      <c r="BA80" s="12" t="s">
        <v>511</v>
      </c>
      <c r="BB80" s="12" t="s">
        <v>511</v>
      </c>
      <c r="BC80" s="12" t="s">
        <v>511</v>
      </c>
      <c r="BD80" s="12" t="s">
        <v>511</v>
      </c>
      <c r="BE80" s="12" t="s">
        <v>511</v>
      </c>
      <c r="BF80" s="12" t="s">
        <v>511</v>
      </c>
      <c r="BG80" s="12" t="s">
        <v>511</v>
      </c>
      <c r="BH80" s="12" t="s">
        <v>511</v>
      </c>
      <c r="BI80" s="12" t="s">
        <v>511</v>
      </c>
      <c r="BJ80" s="12" t="s">
        <v>1056</v>
      </c>
      <c r="BK80" s="12" t="s">
        <v>1056</v>
      </c>
      <c r="BL80" s="12" t="s">
        <v>1056</v>
      </c>
      <c r="BM80" s="12" t="s">
        <v>1056</v>
      </c>
      <c r="BN80" s="12" t="s">
        <v>1711</v>
      </c>
      <c r="BO80" s="12" t="s">
        <v>1584</v>
      </c>
      <c r="BP80" s="12" t="s">
        <v>1584</v>
      </c>
      <c r="BQ80" s="12" t="s">
        <v>1008</v>
      </c>
      <c r="BR80" s="12" t="s">
        <v>1321</v>
      </c>
      <c r="BS80" s="12" t="s">
        <v>1787</v>
      </c>
      <c r="BT80" s="12" t="s">
        <v>976</v>
      </c>
      <c r="BU80" s="12" t="s">
        <v>294</v>
      </c>
      <c r="BV80" s="12" t="s">
        <v>294</v>
      </c>
      <c r="BW80" s="12" t="s">
        <v>977</v>
      </c>
      <c r="BX80" s="12" t="s">
        <v>977</v>
      </c>
      <c r="BY80" s="12" t="s">
        <v>682</v>
      </c>
      <c r="BZ80" s="12" t="s">
        <v>682</v>
      </c>
      <c r="CA80" s="12" t="s">
        <v>682</v>
      </c>
      <c r="CB80" s="12" t="s">
        <v>682</v>
      </c>
      <c r="CC80" s="12" t="s">
        <v>682</v>
      </c>
      <c r="CD80" s="12" t="s">
        <v>682</v>
      </c>
      <c r="CE80" s="12" t="s">
        <v>747</v>
      </c>
      <c r="CF80" s="12" t="s">
        <v>962</v>
      </c>
      <c r="CG80" s="12" t="s">
        <v>962</v>
      </c>
      <c r="CH80" s="12" t="s">
        <v>962</v>
      </c>
      <c r="CI80" s="12" t="s">
        <v>620</v>
      </c>
      <c r="CJ80" s="12" t="s">
        <v>1230</v>
      </c>
      <c r="CK80" s="12" t="s">
        <v>1230</v>
      </c>
      <c r="CL80" s="12" t="s">
        <v>339</v>
      </c>
      <c r="CM80" s="12" t="s">
        <v>1674</v>
      </c>
      <c r="CN80" s="12" t="s">
        <v>1674</v>
      </c>
      <c r="CO80" s="12" t="s">
        <v>1674</v>
      </c>
      <c r="CP80" s="12" t="s">
        <v>1674</v>
      </c>
      <c r="CQ80" s="12" t="s">
        <v>1674</v>
      </c>
      <c r="CR80" s="12" t="s">
        <v>1674</v>
      </c>
      <c r="CS80" s="12" t="s">
        <v>1674</v>
      </c>
      <c r="CT80" s="12" t="s">
        <v>1536</v>
      </c>
      <c r="CU80" s="12" t="s">
        <v>1536</v>
      </c>
      <c r="CV80" s="12" t="s">
        <v>1536</v>
      </c>
      <c r="CW80" s="12" t="s">
        <v>1536</v>
      </c>
      <c r="CX80" s="12" t="s">
        <v>1536</v>
      </c>
    </row>
    <row r="81" spans="1:102" hidden="1" x14ac:dyDescent="0.3">
      <c r="A81" s="12" t="s">
        <v>1788</v>
      </c>
      <c r="B81" s="12" t="s">
        <v>1359</v>
      </c>
      <c r="C81" s="12" t="s">
        <v>1789</v>
      </c>
      <c r="D81" s="12" t="s">
        <v>1790</v>
      </c>
      <c r="E81" s="12" t="s">
        <v>277</v>
      </c>
      <c r="F81" s="12" t="s">
        <v>277</v>
      </c>
      <c r="G81" s="12" t="s">
        <v>277</v>
      </c>
      <c r="H81" s="12" t="s">
        <v>277</v>
      </c>
      <c r="I81" s="12" t="s">
        <v>277</v>
      </c>
      <c r="J81" s="12" t="s">
        <v>277</v>
      </c>
      <c r="K81" s="12" t="s">
        <v>277</v>
      </c>
      <c r="L81" s="12" t="s">
        <v>277</v>
      </c>
      <c r="M81" s="12" t="s">
        <v>278</v>
      </c>
      <c r="N81" s="12" t="s">
        <v>278</v>
      </c>
      <c r="O81" s="12" t="s">
        <v>278</v>
      </c>
      <c r="P81" s="12" t="s">
        <v>278</v>
      </c>
      <c r="Q81" s="12" t="s">
        <v>278</v>
      </c>
      <c r="R81" s="12" t="s">
        <v>278</v>
      </c>
      <c r="S81" s="12" t="s">
        <v>278</v>
      </c>
      <c r="T81" s="12" t="s">
        <v>278</v>
      </c>
      <c r="U81" s="12" t="s">
        <v>278</v>
      </c>
      <c r="V81" s="12" t="s">
        <v>278</v>
      </c>
      <c r="W81" s="12" t="s">
        <v>278</v>
      </c>
      <c r="X81" s="12" t="s">
        <v>278</v>
      </c>
      <c r="Y81" s="12" t="s">
        <v>278</v>
      </c>
      <c r="Z81" s="12" t="s">
        <v>278</v>
      </c>
      <c r="AA81" s="12" t="s">
        <v>278</v>
      </c>
      <c r="AB81" s="12" t="s">
        <v>278</v>
      </c>
      <c r="AC81" s="12" t="s">
        <v>278</v>
      </c>
      <c r="AD81" s="12" t="s">
        <v>278</v>
      </c>
      <c r="AE81" s="12" t="s">
        <v>278</v>
      </c>
      <c r="AF81" s="12" t="s">
        <v>278</v>
      </c>
      <c r="AG81" s="12" t="s">
        <v>278</v>
      </c>
      <c r="AH81" s="12" t="s">
        <v>278</v>
      </c>
      <c r="AI81" s="12" t="s">
        <v>278</v>
      </c>
      <c r="AJ81" s="12" t="s">
        <v>278</v>
      </c>
      <c r="AK81" s="12" t="s">
        <v>278</v>
      </c>
      <c r="AL81" s="12" t="s">
        <v>278</v>
      </c>
      <c r="AM81" s="12" t="s">
        <v>278</v>
      </c>
      <c r="AN81" s="12" t="s">
        <v>278</v>
      </c>
      <c r="AO81" s="12" t="s">
        <v>278</v>
      </c>
      <c r="AP81" s="12" t="s">
        <v>278</v>
      </c>
      <c r="AQ81" s="12" t="s">
        <v>278</v>
      </c>
      <c r="AR81" s="12" t="s">
        <v>278</v>
      </c>
      <c r="AS81" s="12" t="s">
        <v>278</v>
      </c>
      <c r="AT81" s="12" t="s">
        <v>278</v>
      </c>
      <c r="AU81" s="12" t="s">
        <v>278</v>
      </c>
      <c r="AV81" s="12" t="s">
        <v>278</v>
      </c>
      <c r="AW81" s="12" t="s">
        <v>278</v>
      </c>
      <c r="AX81" s="12" t="s">
        <v>278</v>
      </c>
      <c r="AY81" s="12" t="s">
        <v>278</v>
      </c>
      <c r="AZ81" s="12" t="s">
        <v>278</v>
      </c>
      <c r="BA81" s="12" t="s">
        <v>278</v>
      </c>
      <c r="BB81" s="12" t="s">
        <v>278</v>
      </c>
      <c r="BC81" s="12" t="s">
        <v>278</v>
      </c>
      <c r="BD81" s="12" t="s">
        <v>278</v>
      </c>
      <c r="BE81" s="12" t="s">
        <v>278</v>
      </c>
      <c r="BF81" s="12" t="s">
        <v>278</v>
      </c>
      <c r="BG81" s="12" t="s">
        <v>278</v>
      </c>
      <c r="BH81" s="12" t="s">
        <v>278</v>
      </c>
      <c r="BI81" s="12" t="s">
        <v>278</v>
      </c>
      <c r="BJ81" s="12" t="s">
        <v>278</v>
      </c>
      <c r="BK81" s="12" t="s">
        <v>278</v>
      </c>
      <c r="BL81" s="12" t="s">
        <v>278</v>
      </c>
      <c r="BM81" s="12" t="s">
        <v>278</v>
      </c>
      <c r="BN81" s="12" t="s">
        <v>278</v>
      </c>
      <c r="BO81" s="12" t="s">
        <v>278</v>
      </c>
      <c r="BP81" s="12" t="s">
        <v>278</v>
      </c>
      <c r="BQ81" s="12" t="s">
        <v>278</v>
      </c>
      <c r="BR81" s="12" t="s">
        <v>278</v>
      </c>
      <c r="BS81" s="12" t="s">
        <v>278</v>
      </c>
      <c r="BT81" s="12" t="s">
        <v>278</v>
      </c>
      <c r="BU81" s="12" t="s">
        <v>278</v>
      </c>
      <c r="BV81" s="12" t="s">
        <v>278</v>
      </c>
      <c r="BW81" s="12" t="s">
        <v>278</v>
      </c>
      <c r="BX81" s="12" t="s">
        <v>278</v>
      </c>
      <c r="BY81" s="12" t="s">
        <v>278</v>
      </c>
      <c r="BZ81" s="12" t="s">
        <v>278</v>
      </c>
      <c r="CA81" s="12" t="s">
        <v>278</v>
      </c>
      <c r="CB81" s="12" t="s">
        <v>278</v>
      </c>
      <c r="CC81" s="12" t="s">
        <v>278</v>
      </c>
      <c r="CD81" s="12" t="s">
        <v>278</v>
      </c>
      <c r="CE81" s="12" t="s">
        <v>278</v>
      </c>
      <c r="CF81" s="12" t="s">
        <v>278</v>
      </c>
      <c r="CG81" s="12" t="s">
        <v>278</v>
      </c>
      <c r="CH81" s="12" t="s">
        <v>278</v>
      </c>
      <c r="CI81" s="12" t="s">
        <v>278</v>
      </c>
      <c r="CJ81" s="12" t="s">
        <v>278</v>
      </c>
      <c r="CK81" s="12" t="s">
        <v>278</v>
      </c>
      <c r="CL81" s="12" t="s">
        <v>278</v>
      </c>
      <c r="CM81" s="12" t="s">
        <v>278</v>
      </c>
      <c r="CN81" s="12" t="s">
        <v>278</v>
      </c>
      <c r="CO81" s="12" t="s">
        <v>278</v>
      </c>
      <c r="CP81" s="12" t="s">
        <v>278</v>
      </c>
      <c r="CQ81" s="12" t="s">
        <v>278</v>
      </c>
      <c r="CR81" s="12" t="s">
        <v>278</v>
      </c>
      <c r="CS81" s="12" t="s">
        <v>278</v>
      </c>
      <c r="CT81" s="12" t="s">
        <v>278</v>
      </c>
      <c r="CU81" s="12" t="s">
        <v>278</v>
      </c>
      <c r="CV81" s="12" t="s">
        <v>278</v>
      </c>
      <c r="CW81" s="12" t="s">
        <v>278</v>
      </c>
      <c r="CX81" s="12" t="s">
        <v>278</v>
      </c>
    </row>
    <row r="82" spans="1:102" hidden="1" x14ac:dyDescent="0.3">
      <c r="A82" s="12" t="s">
        <v>1791</v>
      </c>
      <c r="B82" s="12" t="s">
        <v>1359</v>
      </c>
      <c r="C82" s="12" t="s">
        <v>1792</v>
      </c>
      <c r="D82" s="12" t="s">
        <v>1793</v>
      </c>
      <c r="E82" s="12" t="s">
        <v>277</v>
      </c>
      <c r="F82" s="12" t="s">
        <v>322</v>
      </c>
      <c r="G82" s="12" t="s">
        <v>322</v>
      </c>
      <c r="H82" s="12" t="s">
        <v>371</v>
      </c>
      <c r="I82" s="12" t="s">
        <v>279</v>
      </c>
      <c r="J82" s="12" t="s">
        <v>280</v>
      </c>
      <c r="K82" s="12" t="s">
        <v>323</v>
      </c>
      <c r="L82" s="12" t="s">
        <v>567</v>
      </c>
      <c r="M82" s="12" t="s">
        <v>455</v>
      </c>
      <c r="N82" s="12" t="s">
        <v>372</v>
      </c>
      <c r="O82" s="12" t="s">
        <v>507</v>
      </c>
      <c r="P82" s="12" t="s">
        <v>284</v>
      </c>
      <c r="Q82" s="12" t="s">
        <v>286</v>
      </c>
      <c r="R82" s="12" t="s">
        <v>652</v>
      </c>
      <c r="S82" s="12" t="s">
        <v>551</v>
      </c>
      <c r="T82" s="12" t="s">
        <v>670</v>
      </c>
      <c r="U82" s="12" t="s">
        <v>417</v>
      </c>
      <c r="V82" s="12" t="s">
        <v>328</v>
      </c>
      <c r="W82" s="12" t="s">
        <v>467</v>
      </c>
      <c r="X82" s="12" t="s">
        <v>690</v>
      </c>
      <c r="Y82" s="12" t="s">
        <v>330</v>
      </c>
      <c r="Z82" s="12" t="s">
        <v>331</v>
      </c>
      <c r="AA82" s="12" t="s">
        <v>879</v>
      </c>
      <c r="AB82" s="12" t="s">
        <v>569</v>
      </c>
      <c r="AC82" s="12" t="s">
        <v>333</v>
      </c>
      <c r="AD82" s="12" t="s">
        <v>553</v>
      </c>
      <c r="AE82" s="12" t="s">
        <v>419</v>
      </c>
      <c r="AF82" s="12" t="s">
        <v>334</v>
      </c>
      <c r="AG82" s="12" t="s">
        <v>334</v>
      </c>
      <c r="AH82" s="12" t="s">
        <v>334</v>
      </c>
      <c r="AI82" s="12" t="s">
        <v>334</v>
      </c>
      <c r="AJ82" s="12" t="s">
        <v>334</v>
      </c>
      <c r="AK82" s="12" t="s">
        <v>334</v>
      </c>
      <c r="AL82" s="12" t="s">
        <v>334</v>
      </c>
      <c r="AM82" s="12" t="s">
        <v>334</v>
      </c>
      <c r="AN82" s="12" t="s">
        <v>334</v>
      </c>
      <c r="AO82" s="12" t="s">
        <v>334</v>
      </c>
      <c r="AP82" s="12" t="s">
        <v>334</v>
      </c>
      <c r="AQ82" s="12" t="s">
        <v>334</v>
      </c>
      <c r="AR82" s="12" t="s">
        <v>334</v>
      </c>
      <c r="AS82" s="12" t="s">
        <v>334</v>
      </c>
      <c r="AT82" s="12" t="s">
        <v>334</v>
      </c>
      <c r="AU82" s="12" t="s">
        <v>334</v>
      </c>
      <c r="AV82" s="12" t="s">
        <v>334</v>
      </c>
      <c r="AW82" s="12" t="s">
        <v>334</v>
      </c>
      <c r="AX82" s="12" t="s">
        <v>334</v>
      </c>
      <c r="AY82" s="12" t="s">
        <v>334</v>
      </c>
      <c r="AZ82" s="12" t="s">
        <v>334</v>
      </c>
      <c r="BA82" s="12" t="s">
        <v>334</v>
      </c>
      <c r="BB82" s="12" t="s">
        <v>334</v>
      </c>
      <c r="BC82" s="12" t="s">
        <v>334</v>
      </c>
      <c r="BD82" s="12" t="s">
        <v>334</v>
      </c>
      <c r="BE82" s="12" t="s">
        <v>334</v>
      </c>
      <c r="BF82" s="12" t="s">
        <v>334</v>
      </c>
      <c r="BG82" s="12" t="s">
        <v>334</v>
      </c>
      <c r="BH82" s="12" t="s">
        <v>334</v>
      </c>
      <c r="BI82" s="12" t="s">
        <v>334</v>
      </c>
      <c r="BJ82" s="12" t="s">
        <v>334</v>
      </c>
      <c r="BK82" s="12" t="s">
        <v>334</v>
      </c>
      <c r="BL82" s="12" t="s">
        <v>334</v>
      </c>
      <c r="BM82" s="12" t="s">
        <v>334</v>
      </c>
      <c r="BN82" s="12" t="s">
        <v>334</v>
      </c>
      <c r="BO82" s="12" t="s">
        <v>334</v>
      </c>
      <c r="BP82" s="12" t="s">
        <v>334</v>
      </c>
      <c r="BQ82" s="12" t="s">
        <v>334</v>
      </c>
      <c r="BR82" s="12" t="s">
        <v>334</v>
      </c>
      <c r="BS82" s="12" t="s">
        <v>334</v>
      </c>
      <c r="BT82" s="12" t="s">
        <v>334</v>
      </c>
      <c r="BU82" s="12" t="s">
        <v>334</v>
      </c>
      <c r="BV82" s="12" t="s">
        <v>334</v>
      </c>
      <c r="BW82" s="12" t="s">
        <v>334</v>
      </c>
      <c r="BX82" s="12" t="s">
        <v>334</v>
      </c>
      <c r="BY82" s="12" t="s">
        <v>334</v>
      </c>
      <c r="BZ82" s="12" t="s">
        <v>334</v>
      </c>
      <c r="CA82" s="12" t="s">
        <v>334</v>
      </c>
      <c r="CB82" s="12" t="s">
        <v>334</v>
      </c>
      <c r="CC82" s="12" t="s">
        <v>334</v>
      </c>
      <c r="CD82" s="12" t="s">
        <v>334</v>
      </c>
      <c r="CE82" s="12" t="s">
        <v>334</v>
      </c>
      <c r="CF82" s="12" t="s">
        <v>334</v>
      </c>
      <c r="CG82" s="12" t="s">
        <v>334</v>
      </c>
      <c r="CH82" s="12" t="s">
        <v>334</v>
      </c>
      <c r="CI82" s="12" t="s">
        <v>334</v>
      </c>
      <c r="CJ82" s="12" t="s">
        <v>334</v>
      </c>
      <c r="CK82" s="12" t="s">
        <v>334</v>
      </c>
      <c r="CL82" s="12" t="s">
        <v>334</v>
      </c>
      <c r="CM82" s="12" t="s">
        <v>334</v>
      </c>
      <c r="CN82" s="12" t="s">
        <v>334</v>
      </c>
      <c r="CO82" s="12" t="s">
        <v>334</v>
      </c>
      <c r="CP82" s="12" t="s">
        <v>334</v>
      </c>
      <c r="CQ82" s="12" t="s">
        <v>334</v>
      </c>
      <c r="CR82" s="12" t="s">
        <v>334</v>
      </c>
      <c r="CS82" s="12" t="s">
        <v>334</v>
      </c>
      <c r="CT82" s="12" t="s">
        <v>334</v>
      </c>
      <c r="CU82" s="12" t="s">
        <v>334</v>
      </c>
      <c r="CV82" s="12" t="s">
        <v>334</v>
      </c>
      <c r="CW82" s="12" t="s">
        <v>334</v>
      </c>
      <c r="CX82" s="12" t="s">
        <v>334</v>
      </c>
    </row>
    <row r="83" spans="1:102" hidden="1" x14ac:dyDescent="0.3">
      <c r="A83" s="12" t="s">
        <v>1794</v>
      </c>
      <c r="B83" s="12" t="s">
        <v>1359</v>
      </c>
      <c r="C83" s="12" t="s">
        <v>1795</v>
      </c>
      <c r="D83" s="12" t="s">
        <v>1796</v>
      </c>
      <c r="E83" s="12" t="s">
        <v>278</v>
      </c>
      <c r="F83" s="12" t="s">
        <v>322</v>
      </c>
      <c r="G83" s="12" t="s">
        <v>280</v>
      </c>
      <c r="H83" s="12" t="s">
        <v>282</v>
      </c>
      <c r="I83" s="12" t="s">
        <v>283</v>
      </c>
      <c r="J83" s="12" t="s">
        <v>375</v>
      </c>
      <c r="K83" s="12" t="s">
        <v>795</v>
      </c>
      <c r="L83" s="12" t="s">
        <v>330</v>
      </c>
      <c r="M83" s="12" t="s">
        <v>333</v>
      </c>
      <c r="N83" s="12" t="s">
        <v>1051</v>
      </c>
      <c r="O83" s="12" t="s">
        <v>557</v>
      </c>
      <c r="P83" s="12" t="s">
        <v>563</v>
      </c>
      <c r="Q83" s="12" t="s">
        <v>1116</v>
      </c>
      <c r="R83" s="12" t="s">
        <v>679</v>
      </c>
      <c r="S83" s="12" t="s">
        <v>472</v>
      </c>
      <c r="T83" s="12" t="s">
        <v>422</v>
      </c>
      <c r="U83" s="12" t="s">
        <v>1057</v>
      </c>
      <c r="V83" s="12" t="s">
        <v>1057</v>
      </c>
      <c r="W83" s="12" t="s">
        <v>1711</v>
      </c>
      <c r="X83" s="12" t="s">
        <v>1797</v>
      </c>
      <c r="Y83" s="12" t="s">
        <v>1798</v>
      </c>
      <c r="Z83" s="12" t="s">
        <v>1799</v>
      </c>
      <c r="AA83" s="12" t="s">
        <v>1301</v>
      </c>
      <c r="AB83" s="12" t="s">
        <v>1009</v>
      </c>
      <c r="AC83" s="12" t="s">
        <v>1384</v>
      </c>
      <c r="AD83" s="12" t="s">
        <v>573</v>
      </c>
      <c r="AE83" s="12" t="s">
        <v>573</v>
      </c>
      <c r="AF83" s="12" t="s">
        <v>1513</v>
      </c>
      <c r="AG83" s="12" t="s">
        <v>1513</v>
      </c>
      <c r="AH83" s="12" t="s">
        <v>294</v>
      </c>
      <c r="AI83" s="12" t="s">
        <v>294</v>
      </c>
      <c r="AJ83" s="12" t="s">
        <v>294</v>
      </c>
      <c r="AK83" s="12" t="s">
        <v>294</v>
      </c>
      <c r="AL83" s="12" t="s">
        <v>294</v>
      </c>
      <c r="AM83" s="12" t="s">
        <v>294</v>
      </c>
      <c r="AN83" s="12" t="s">
        <v>294</v>
      </c>
      <c r="AO83" s="12" t="s">
        <v>294</v>
      </c>
      <c r="AP83" s="12" t="s">
        <v>294</v>
      </c>
      <c r="AQ83" s="12" t="s">
        <v>294</v>
      </c>
      <c r="AR83" s="12" t="s">
        <v>294</v>
      </c>
      <c r="AS83" s="12" t="s">
        <v>294</v>
      </c>
      <c r="AT83" s="12" t="s">
        <v>294</v>
      </c>
      <c r="AU83" s="12" t="s">
        <v>294</v>
      </c>
      <c r="AV83" s="12" t="s">
        <v>294</v>
      </c>
      <c r="AW83" s="12" t="s">
        <v>294</v>
      </c>
      <c r="AX83" s="12" t="s">
        <v>294</v>
      </c>
      <c r="AY83" s="12" t="s">
        <v>294</v>
      </c>
      <c r="AZ83" s="12" t="s">
        <v>294</v>
      </c>
      <c r="BA83" s="12" t="s">
        <v>294</v>
      </c>
      <c r="BB83" s="12" t="s">
        <v>294</v>
      </c>
      <c r="BC83" s="12" t="s">
        <v>294</v>
      </c>
      <c r="BD83" s="12" t="s">
        <v>294</v>
      </c>
      <c r="BE83" s="12" t="s">
        <v>294</v>
      </c>
      <c r="BF83" s="12" t="s">
        <v>294</v>
      </c>
      <c r="BG83" s="12" t="s">
        <v>977</v>
      </c>
      <c r="BH83" s="12" t="s">
        <v>977</v>
      </c>
      <c r="BI83" s="12" t="s">
        <v>977</v>
      </c>
      <c r="BJ83" s="12" t="s">
        <v>977</v>
      </c>
      <c r="BK83" s="12" t="s">
        <v>977</v>
      </c>
      <c r="BL83" s="12" t="s">
        <v>977</v>
      </c>
      <c r="BM83" s="12" t="s">
        <v>977</v>
      </c>
      <c r="BN83" s="12" t="s">
        <v>977</v>
      </c>
      <c r="BO83" s="12" t="s">
        <v>977</v>
      </c>
      <c r="BP83" s="12" t="s">
        <v>977</v>
      </c>
      <c r="BQ83" s="12" t="s">
        <v>1800</v>
      </c>
      <c r="BR83" s="12" t="s">
        <v>682</v>
      </c>
      <c r="BS83" s="12" t="s">
        <v>682</v>
      </c>
      <c r="BT83" s="12" t="s">
        <v>682</v>
      </c>
      <c r="BU83" s="12" t="s">
        <v>682</v>
      </c>
      <c r="BV83" s="12" t="s">
        <v>747</v>
      </c>
      <c r="BW83" s="12" t="s">
        <v>747</v>
      </c>
      <c r="BX83" s="12" t="s">
        <v>962</v>
      </c>
      <c r="BY83" s="12" t="s">
        <v>620</v>
      </c>
      <c r="BZ83" s="12" t="s">
        <v>620</v>
      </c>
      <c r="CA83" s="12" t="s">
        <v>620</v>
      </c>
      <c r="CB83" s="12" t="s">
        <v>620</v>
      </c>
      <c r="CC83" s="12" t="s">
        <v>620</v>
      </c>
      <c r="CD83" s="12" t="s">
        <v>620</v>
      </c>
      <c r="CE83" s="12" t="s">
        <v>620</v>
      </c>
      <c r="CF83" s="12" t="s">
        <v>620</v>
      </c>
      <c r="CG83" s="12" t="s">
        <v>620</v>
      </c>
      <c r="CH83" s="12" t="s">
        <v>620</v>
      </c>
      <c r="CI83" s="12" t="s">
        <v>620</v>
      </c>
      <c r="CJ83" s="12" t="s">
        <v>620</v>
      </c>
      <c r="CK83" s="12" t="s">
        <v>620</v>
      </c>
      <c r="CL83" s="12" t="s">
        <v>620</v>
      </c>
      <c r="CM83" s="12" t="s">
        <v>620</v>
      </c>
      <c r="CN83" s="12" t="s">
        <v>620</v>
      </c>
      <c r="CO83" s="12" t="s">
        <v>620</v>
      </c>
      <c r="CP83" s="12" t="s">
        <v>620</v>
      </c>
      <c r="CQ83" s="12" t="s">
        <v>620</v>
      </c>
      <c r="CR83" s="12" t="s">
        <v>620</v>
      </c>
      <c r="CS83" s="12" t="s">
        <v>620</v>
      </c>
      <c r="CT83" s="12" t="s">
        <v>1230</v>
      </c>
      <c r="CU83" s="12" t="s">
        <v>1230</v>
      </c>
      <c r="CV83" s="12" t="s">
        <v>1230</v>
      </c>
      <c r="CW83" s="12" t="s">
        <v>1230</v>
      </c>
      <c r="CX83" s="12" t="s">
        <v>1230</v>
      </c>
    </row>
    <row r="84" spans="1:102" hidden="1" x14ac:dyDescent="0.3">
      <c r="A84" s="12" t="s">
        <v>1801</v>
      </c>
      <c r="B84" s="12" t="s">
        <v>1359</v>
      </c>
      <c r="C84" s="12" t="s">
        <v>1802</v>
      </c>
      <c r="D84" s="12" t="s">
        <v>1803</v>
      </c>
      <c r="E84" s="12" t="s">
        <v>323</v>
      </c>
      <c r="F84" s="12" t="s">
        <v>612</v>
      </c>
      <c r="G84" s="12" t="s">
        <v>958</v>
      </c>
      <c r="H84" s="12" t="s">
        <v>552</v>
      </c>
      <c r="I84" s="12" t="s">
        <v>336</v>
      </c>
      <c r="J84" s="12" t="s">
        <v>472</v>
      </c>
      <c r="K84" s="12" t="s">
        <v>1214</v>
      </c>
      <c r="L84" s="12" t="s">
        <v>1438</v>
      </c>
      <c r="M84" s="12" t="s">
        <v>432</v>
      </c>
      <c r="N84" s="12" t="s">
        <v>1766</v>
      </c>
      <c r="O84" s="12" t="s">
        <v>1804</v>
      </c>
      <c r="P84" s="12" t="s">
        <v>1077</v>
      </c>
      <c r="Q84" s="12" t="s">
        <v>1805</v>
      </c>
      <c r="R84" s="12" t="s">
        <v>1806</v>
      </c>
      <c r="S84" s="12" t="s">
        <v>1455</v>
      </c>
      <c r="T84" s="12" t="s">
        <v>1807</v>
      </c>
      <c r="U84" s="12" t="s">
        <v>1666</v>
      </c>
      <c r="V84" s="12" t="s">
        <v>1808</v>
      </c>
      <c r="W84" s="12" t="s">
        <v>1141</v>
      </c>
      <c r="X84" s="12" t="s">
        <v>315</v>
      </c>
      <c r="Y84" s="12" t="s">
        <v>1809</v>
      </c>
      <c r="Z84" s="12" t="s">
        <v>1458</v>
      </c>
      <c r="AA84" s="12" t="s">
        <v>1810</v>
      </c>
      <c r="AB84" s="12" t="s">
        <v>1811</v>
      </c>
      <c r="AC84" s="12" t="s">
        <v>1812</v>
      </c>
      <c r="AD84" s="12" t="s">
        <v>997</v>
      </c>
      <c r="AE84" s="12" t="s">
        <v>392</v>
      </c>
      <c r="AF84" s="12" t="s">
        <v>1813</v>
      </c>
      <c r="AG84" s="12" t="s">
        <v>1165</v>
      </c>
      <c r="AH84" s="12" t="s">
        <v>1814</v>
      </c>
      <c r="AI84" s="12" t="s">
        <v>1166</v>
      </c>
      <c r="AJ84" s="12" t="s">
        <v>1815</v>
      </c>
      <c r="AK84" s="12" t="s">
        <v>1815</v>
      </c>
      <c r="AL84" s="12" t="s">
        <v>1815</v>
      </c>
      <c r="AM84" s="12" t="s">
        <v>1815</v>
      </c>
      <c r="AN84" s="12" t="s">
        <v>1815</v>
      </c>
      <c r="AO84" s="12" t="s">
        <v>1815</v>
      </c>
      <c r="AP84" s="12" t="s">
        <v>1815</v>
      </c>
      <c r="AQ84" s="12" t="s">
        <v>1815</v>
      </c>
      <c r="AR84" s="12" t="s">
        <v>1815</v>
      </c>
      <c r="AS84" s="12" t="s">
        <v>1816</v>
      </c>
      <c r="AT84" s="12" t="s">
        <v>1817</v>
      </c>
      <c r="AU84" s="12" t="s">
        <v>1817</v>
      </c>
      <c r="AV84" s="12" t="s">
        <v>1818</v>
      </c>
      <c r="AW84" s="12" t="s">
        <v>1818</v>
      </c>
      <c r="AX84" s="12" t="s">
        <v>1818</v>
      </c>
      <c r="AY84" s="12" t="s">
        <v>1818</v>
      </c>
      <c r="AZ84" s="12" t="s">
        <v>1818</v>
      </c>
      <c r="BA84" s="12" t="s">
        <v>1818</v>
      </c>
      <c r="BB84" s="12" t="s">
        <v>1818</v>
      </c>
      <c r="BC84" s="12" t="s">
        <v>1818</v>
      </c>
      <c r="BD84" s="12" t="s">
        <v>1818</v>
      </c>
      <c r="BE84" s="12" t="s">
        <v>1819</v>
      </c>
      <c r="BF84" s="12" t="s">
        <v>867</v>
      </c>
      <c r="BG84" s="12" t="s">
        <v>867</v>
      </c>
      <c r="BH84" s="12" t="s">
        <v>1820</v>
      </c>
      <c r="BI84" s="12" t="s">
        <v>1820</v>
      </c>
      <c r="BJ84" s="12" t="s">
        <v>1821</v>
      </c>
      <c r="BK84" s="12" t="s">
        <v>1087</v>
      </c>
      <c r="BL84" s="12" t="s">
        <v>1822</v>
      </c>
      <c r="BM84" s="12" t="s">
        <v>1823</v>
      </c>
      <c r="BN84" s="12" t="s">
        <v>1823</v>
      </c>
      <c r="BO84" s="12" t="s">
        <v>1824</v>
      </c>
      <c r="BP84" s="12" t="s">
        <v>710</v>
      </c>
      <c r="BQ84" s="12" t="s">
        <v>912</v>
      </c>
      <c r="BR84" s="12" t="s">
        <v>1825</v>
      </c>
      <c r="BS84" s="12" t="s">
        <v>393</v>
      </c>
      <c r="BT84" s="12" t="s">
        <v>1826</v>
      </c>
      <c r="BU84" s="12" t="s">
        <v>1827</v>
      </c>
      <c r="BV84" s="12" t="s">
        <v>1571</v>
      </c>
      <c r="BW84" s="12" t="s">
        <v>1571</v>
      </c>
      <c r="BX84" s="12" t="s">
        <v>1828</v>
      </c>
      <c r="BY84" s="12" t="s">
        <v>1829</v>
      </c>
      <c r="BZ84" s="12" t="s">
        <v>1572</v>
      </c>
      <c r="CA84" s="12" t="s">
        <v>1830</v>
      </c>
      <c r="CB84" s="12" t="s">
        <v>1831</v>
      </c>
      <c r="CC84" s="12" t="s">
        <v>484</v>
      </c>
      <c r="CD84" s="12" t="s">
        <v>1167</v>
      </c>
      <c r="CE84" s="12" t="s">
        <v>1573</v>
      </c>
      <c r="CF84" s="12" t="s">
        <v>1573</v>
      </c>
      <c r="CG84" s="12" t="s">
        <v>1573</v>
      </c>
      <c r="CH84" s="12" t="s">
        <v>1573</v>
      </c>
      <c r="CI84" s="12" t="s">
        <v>1573</v>
      </c>
      <c r="CJ84" s="12" t="s">
        <v>1573</v>
      </c>
      <c r="CK84" s="12" t="s">
        <v>711</v>
      </c>
      <c r="CL84" s="12" t="s">
        <v>711</v>
      </c>
      <c r="CM84" s="12" t="s">
        <v>711</v>
      </c>
      <c r="CN84" s="12" t="s">
        <v>711</v>
      </c>
      <c r="CO84" s="12" t="s">
        <v>711</v>
      </c>
      <c r="CP84" s="12" t="s">
        <v>711</v>
      </c>
      <c r="CQ84" s="12" t="s">
        <v>711</v>
      </c>
      <c r="CR84" s="12" t="s">
        <v>711</v>
      </c>
      <c r="CS84" s="12" t="s">
        <v>711</v>
      </c>
      <c r="CT84" s="12" t="s">
        <v>711</v>
      </c>
      <c r="CU84" s="12" t="s">
        <v>711</v>
      </c>
      <c r="CV84" s="12" t="s">
        <v>711</v>
      </c>
      <c r="CW84" s="12" t="s">
        <v>711</v>
      </c>
      <c r="CX84" s="12" t="s">
        <v>711</v>
      </c>
    </row>
    <row r="85" spans="1:102" hidden="1" x14ac:dyDescent="0.3">
      <c r="A85" s="12" t="s">
        <v>12</v>
      </c>
      <c r="B85" s="12" t="s">
        <v>1832</v>
      </c>
      <c r="C85" s="12" t="s">
        <v>1833</v>
      </c>
      <c r="D85" s="12" t="s">
        <v>1834</v>
      </c>
      <c r="E85" s="12" t="s">
        <v>277</v>
      </c>
      <c r="F85" s="12" t="s">
        <v>277</v>
      </c>
      <c r="G85" s="12" t="s">
        <v>277</v>
      </c>
      <c r="H85" s="12" t="s">
        <v>277</v>
      </c>
      <c r="I85" s="12" t="s">
        <v>277</v>
      </c>
      <c r="J85" s="12" t="s">
        <v>277</v>
      </c>
      <c r="K85" s="12" t="s">
        <v>277</v>
      </c>
      <c r="L85" s="12" t="s">
        <v>277</v>
      </c>
      <c r="M85" s="12" t="s">
        <v>277</v>
      </c>
      <c r="N85" s="12" t="s">
        <v>277</v>
      </c>
      <c r="O85" s="12" t="s">
        <v>277</v>
      </c>
      <c r="P85" s="12" t="s">
        <v>277</v>
      </c>
      <c r="Q85" s="12" t="s">
        <v>277</v>
      </c>
      <c r="R85" s="12" t="s">
        <v>277</v>
      </c>
      <c r="S85" s="12" t="s">
        <v>277</v>
      </c>
      <c r="T85" s="12" t="s">
        <v>277</v>
      </c>
      <c r="U85" s="12" t="s">
        <v>277</v>
      </c>
      <c r="V85" s="12" t="s">
        <v>277</v>
      </c>
      <c r="W85" s="12" t="s">
        <v>277</v>
      </c>
      <c r="X85" s="12" t="s">
        <v>277</v>
      </c>
      <c r="Y85" s="12" t="s">
        <v>277</v>
      </c>
      <c r="Z85" s="12" t="s">
        <v>277</v>
      </c>
      <c r="AA85" s="12" t="s">
        <v>277</v>
      </c>
      <c r="AB85" s="12" t="s">
        <v>277</v>
      </c>
      <c r="AC85" s="12" t="s">
        <v>277</v>
      </c>
      <c r="AD85" s="12" t="s">
        <v>277</v>
      </c>
      <c r="AE85" s="12" t="s">
        <v>277</v>
      </c>
      <c r="AF85" s="12" t="s">
        <v>277</v>
      </c>
      <c r="AG85" s="12" t="s">
        <v>277</v>
      </c>
      <c r="AH85" s="12" t="s">
        <v>277</v>
      </c>
      <c r="AI85" s="12" t="s">
        <v>277</v>
      </c>
      <c r="AJ85" s="12" t="s">
        <v>277</v>
      </c>
      <c r="AK85" s="12" t="s">
        <v>277</v>
      </c>
      <c r="AL85" s="12" t="s">
        <v>277</v>
      </c>
      <c r="AM85" s="12" t="s">
        <v>277</v>
      </c>
      <c r="AN85" s="12" t="s">
        <v>277</v>
      </c>
      <c r="AO85" s="12" t="s">
        <v>277</v>
      </c>
      <c r="AP85" s="12" t="s">
        <v>277</v>
      </c>
      <c r="AQ85" s="12" t="s">
        <v>277</v>
      </c>
      <c r="AR85" s="12" t="s">
        <v>277</v>
      </c>
      <c r="AS85" s="12" t="s">
        <v>277</v>
      </c>
      <c r="AT85" s="12" t="s">
        <v>277</v>
      </c>
      <c r="AU85" s="12" t="s">
        <v>277</v>
      </c>
      <c r="AV85" s="12" t="s">
        <v>277</v>
      </c>
      <c r="AW85" s="12" t="s">
        <v>278</v>
      </c>
      <c r="AX85" s="12" t="s">
        <v>278</v>
      </c>
      <c r="AY85" s="12" t="s">
        <v>278</v>
      </c>
      <c r="AZ85" s="12" t="s">
        <v>278</v>
      </c>
      <c r="BA85" s="12" t="s">
        <v>371</v>
      </c>
      <c r="BB85" s="12" t="s">
        <v>460</v>
      </c>
      <c r="BC85" s="12" t="s">
        <v>460</v>
      </c>
      <c r="BD85" s="12" t="s">
        <v>567</v>
      </c>
      <c r="BE85" s="12" t="s">
        <v>285</v>
      </c>
      <c r="BF85" s="12" t="s">
        <v>466</v>
      </c>
      <c r="BG85" s="12" t="s">
        <v>378</v>
      </c>
      <c r="BH85" s="12" t="s">
        <v>569</v>
      </c>
      <c r="BI85" s="12" t="s">
        <v>557</v>
      </c>
      <c r="BJ85" s="12" t="s">
        <v>562</v>
      </c>
      <c r="BK85" s="12" t="s">
        <v>472</v>
      </c>
      <c r="BL85" s="12" t="s">
        <v>1835</v>
      </c>
      <c r="BM85" s="12" t="s">
        <v>726</v>
      </c>
      <c r="BN85" s="12" t="s">
        <v>345</v>
      </c>
      <c r="BO85" s="12" t="s">
        <v>1540</v>
      </c>
      <c r="BP85" s="12" t="s">
        <v>1542</v>
      </c>
      <c r="BQ85" s="12" t="s">
        <v>1401</v>
      </c>
      <c r="BR85" s="12" t="s">
        <v>360</v>
      </c>
      <c r="BS85" s="12" t="s">
        <v>1836</v>
      </c>
      <c r="BT85" s="12" t="s">
        <v>1837</v>
      </c>
      <c r="BU85" s="12" t="s">
        <v>1838</v>
      </c>
      <c r="BV85" s="12" t="s">
        <v>311</v>
      </c>
      <c r="BW85" s="12" t="s">
        <v>1839</v>
      </c>
      <c r="BX85" s="12" t="s">
        <v>1840</v>
      </c>
      <c r="BY85" s="12" t="s">
        <v>1573</v>
      </c>
      <c r="BZ85" s="12" t="s">
        <v>1841</v>
      </c>
      <c r="CA85" s="12" t="s">
        <v>1842</v>
      </c>
      <c r="CB85" s="12" t="s">
        <v>1504</v>
      </c>
      <c r="CC85" s="12" t="s">
        <v>1843</v>
      </c>
      <c r="CD85" s="12" t="s">
        <v>1844</v>
      </c>
      <c r="CE85" s="12" t="s">
        <v>1845</v>
      </c>
      <c r="CF85" s="12" t="s">
        <v>1846</v>
      </c>
      <c r="CG85" s="12" t="s">
        <v>1847</v>
      </c>
      <c r="CH85" s="12" t="s">
        <v>1848</v>
      </c>
      <c r="CI85" s="12" t="s">
        <v>1849</v>
      </c>
      <c r="CJ85" s="12" t="s">
        <v>1850</v>
      </c>
      <c r="CK85" s="12" t="s">
        <v>1851</v>
      </c>
      <c r="CL85" s="12" t="s">
        <v>1852</v>
      </c>
      <c r="CM85" s="12" t="s">
        <v>1853</v>
      </c>
      <c r="CN85" s="12" t="s">
        <v>1853</v>
      </c>
      <c r="CO85" s="12" t="s">
        <v>1854</v>
      </c>
      <c r="CP85" s="12" t="s">
        <v>1855</v>
      </c>
      <c r="CQ85" s="12" t="s">
        <v>1856</v>
      </c>
      <c r="CR85" s="12" t="s">
        <v>1857</v>
      </c>
      <c r="CS85" s="12" t="s">
        <v>1858</v>
      </c>
      <c r="CT85" s="12" t="s">
        <v>1859</v>
      </c>
      <c r="CU85" s="12" t="s">
        <v>4124</v>
      </c>
      <c r="CV85" s="12" t="s">
        <v>4125</v>
      </c>
      <c r="CW85" s="12" t="s">
        <v>4126</v>
      </c>
      <c r="CX85" s="12" t="s">
        <v>4127</v>
      </c>
    </row>
    <row r="86" spans="1:102" hidden="1" x14ac:dyDescent="0.3">
      <c r="A86" s="12" t="s">
        <v>12</v>
      </c>
      <c r="B86" s="12" t="s">
        <v>1860</v>
      </c>
      <c r="C86" s="12" t="s">
        <v>1861</v>
      </c>
      <c r="D86" s="12" t="s">
        <v>1862</v>
      </c>
      <c r="E86" s="12" t="s">
        <v>277</v>
      </c>
      <c r="F86" s="12" t="s">
        <v>277</v>
      </c>
      <c r="G86" s="12" t="s">
        <v>277</v>
      </c>
      <c r="H86" s="12" t="s">
        <v>277</v>
      </c>
      <c r="I86" s="12" t="s">
        <v>277</v>
      </c>
      <c r="J86" s="12" t="s">
        <v>277</v>
      </c>
      <c r="K86" s="12" t="s">
        <v>277</v>
      </c>
      <c r="L86" s="12" t="s">
        <v>277</v>
      </c>
      <c r="M86" s="12" t="s">
        <v>277</v>
      </c>
      <c r="N86" s="12" t="s">
        <v>277</v>
      </c>
      <c r="O86" s="12" t="s">
        <v>277</v>
      </c>
      <c r="P86" s="12" t="s">
        <v>277</v>
      </c>
      <c r="Q86" s="12" t="s">
        <v>277</v>
      </c>
      <c r="R86" s="12" t="s">
        <v>277</v>
      </c>
      <c r="S86" s="12" t="s">
        <v>277</v>
      </c>
      <c r="T86" s="12" t="s">
        <v>277</v>
      </c>
      <c r="U86" s="12" t="s">
        <v>277</v>
      </c>
      <c r="V86" s="12" t="s">
        <v>277</v>
      </c>
      <c r="W86" s="12" t="s">
        <v>277</v>
      </c>
      <c r="X86" s="12" t="s">
        <v>277</v>
      </c>
      <c r="Y86" s="12" t="s">
        <v>277</v>
      </c>
      <c r="Z86" s="12" t="s">
        <v>277</v>
      </c>
      <c r="AA86" s="12" t="s">
        <v>277</v>
      </c>
      <c r="AB86" s="12" t="s">
        <v>277</v>
      </c>
      <c r="AC86" s="12" t="s">
        <v>277</v>
      </c>
      <c r="AD86" s="12" t="s">
        <v>277</v>
      </c>
      <c r="AE86" s="12" t="s">
        <v>277</v>
      </c>
      <c r="AF86" s="12" t="s">
        <v>277</v>
      </c>
      <c r="AG86" s="12" t="s">
        <v>277</v>
      </c>
      <c r="AH86" s="12" t="s">
        <v>277</v>
      </c>
      <c r="AI86" s="12" t="s">
        <v>277</v>
      </c>
      <c r="AJ86" s="12" t="s">
        <v>277</v>
      </c>
      <c r="AK86" s="12" t="s">
        <v>277</v>
      </c>
      <c r="AL86" s="12" t="s">
        <v>277</v>
      </c>
      <c r="AM86" s="12" t="s">
        <v>277</v>
      </c>
      <c r="AN86" s="12" t="s">
        <v>277</v>
      </c>
      <c r="AO86" s="12" t="s">
        <v>277</v>
      </c>
      <c r="AP86" s="12" t="s">
        <v>277</v>
      </c>
      <c r="AQ86" s="12" t="s">
        <v>277</v>
      </c>
      <c r="AR86" s="12" t="s">
        <v>277</v>
      </c>
      <c r="AS86" s="12" t="s">
        <v>277</v>
      </c>
      <c r="AT86" s="12" t="s">
        <v>277</v>
      </c>
      <c r="AU86" s="12" t="s">
        <v>277</v>
      </c>
      <c r="AV86" s="12" t="s">
        <v>277</v>
      </c>
      <c r="AW86" s="12" t="s">
        <v>277</v>
      </c>
      <c r="AX86" s="12" t="s">
        <v>277</v>
      </c>
      <c r="AY86" s="12" t="s">
        <v>277</v>
      </c>
      <c r="AZ86" s="12" t="s">
        <v>277</v>
      </c>
      <c r="BA86" s="12" t="s">
        <v>277</v>
      </c>
      <c r="BB86" s="12" t="s">
        <v>277</v>
      </c>
      <c r="BC86" s="12" t="s">
        <v>277</v>
      </c>
      <c r="BD86" s="12" t="s">
        <v>277</v>
      </c>
      <c r="BE86" s="12" t="s">
        <v>277</v>
      </c>
      <c r="BF86" s="12" t="s">
        <v>278</v>
      </c>
      <c r="BG86" s="12" t="s">
        <v>278</v>
      </c>
      <c r="BH86" s="12" t="s">
        <v>278</v>
      </c>
      <c r="BI86" s="12" t="s">
        <v>278</v>
      </c>
      <c r="BJ86" s="12" t="s">
        <v>371</v>
      </c>
      <c r="BK86" s="12" t="s">
        <v>371</v>
      </c>
      <c r="BL86" s="12" t="s">
        <v>371</v>
      </c>
      <c r="BM86" s="12" t="s">
        <v>371</v>
      </c>
      <c r="BN86" s="12" t="s">
        <v>279</v>
      </c>
      <c r="BO86" s="12" t="s">
        <v>279</v>
      </c>
      <c r="BP86" s="12" t="s">
        <v>279</v>
      </c>
      <c r="BQ86" s="12" t="s">
        <v>279</v>
      </c>
      <c r="BR86" s="12" t="s">
        <v>279</v>
      </c>
      <c r="BS86" s="12" t="s">
        <v>279</v>
      </c>
      <c r="BT86" s="12" t="s">
        <v>373</v>
      </c>
      <c r="BU86" s="12" t="s">
        <v>373</v>
      </c>
      <c r="BV86" s="12" t="s">
        <v>373</v>
      </c>
      <c r="BW86" s="12" t="s">
        <v>373</v>
      </c>
      <c r="BX86" s="12" t="s">
        <v>285</v>
      </c>
      <c r="BY86" s="12" t="s">
        <v>285</v>
      </c>
      <c r="BZ86" s="12" t="s">
        <v>285</v>
      </c>
      <c r="CA86" s="12" t="s">
        <v>467</v>
      </c>
      <c r="CB86" s="12" t="s">
        <v>467</v>
      </c>
      <c r="CC86" s="12" t="s">
        <v>467</v>
      </c>
      <c r="CD86" s="12" t="s">
        <v>467</v>
      </c>
      <c r="CE86" s="12" t="s">
        <v>379</v>
      </c>
      <c r="CF86" s="12" t="s">
        <v>379</v>
      </c>
      <c r="CG86" s="12" t="s">
        <v>379</v>
      </c>
      <c r="CH86" s="12" t="s">
        <v>379</v>
      </c>
      <c r="CI86" s="12" t="s">
        <v>379</v>
      </c>
      <c r="CJ86" s="12" t="s">
        <v>379</v>
      </c>
      <c r="CK86" s="12" t="s">
        <v>1116</v>
      </c>
      <c r="CL86" s="12" t="s">
        <v>1116</v>
      </c>
      <c r="CM86" s="12" t="s">
        <v>1519</v>
      </c>
      <c r="CN86" s="12" t="s">
        <v>1519</v>
      </c>
      <c r="CO86" s="12" t="s">
        <v>1519</v>
      </c>
      <c r="CP86" s="12" t="s">
        <v>512</v>
      </c>
      <c r="CQ86" s="12" t="s">
        <v>680</v>
      </c>
      <c r="CR86" s="12" t="s">
        <v>339</v>
      </c>
      <c r="CS86" s="12" t="s">
        <v>339</v>
      </c>
      <c r="CT86" s="12" t="s">
        <v>684</v>
      </c>
      <c r="CU86" s="12" t="s">
        <v>684</v>
      </c>
      <c r="CV86" s="12" t="s">
        <v>684</v>
      </c>
      <c r="CW86" s="12" t="s">
        <v>684</v>
      </c>
      <c r="CX86" s="12" t="s">
        <v>686</v>
      </c>
    </row>
    <row r="87" spans="1:102" hidden="1" x14ac:dyDescent="0.3">
      <c r="A87" s="12" t="s">
        <v>12</v>
      </c>
      <c r="B87" s="12" t="s">
        <v>1863</v>
      </c>
      <c r="C87" s="12" t="s">
        <v>1861</v>
      </c>
      <c r="D87" s="12" t="s">
        <v>1862</v>
      </c>
      <c r="E87" s="12" t="s">
        <v>277</v>
      </c>
      <c r="F87" s="12" t="s">
        <v>277</v>
      </c>
      <c r="G87" s="12" t="s">
        <v>277</v>
      </c>
      <c r="H87" s="12" t="s">
        <v>277</v>
      </c>
      <c r="I87" s="12" t="s">
        <v>277</v>
      </c>
      <c r="J87" s="12" t="s">
        <v>277</v>
      </c>
      <c r="K87" s="12" t="s">
        <v>277</v>
      </c>
      <c r="L87" s="12" t="s">
        <v>277</v>
      </c>
      <c r="M87" s="12" t="s">
        <v>277</v>
      </c>
      <c r="N87" s="12" t="s">
        <v>277</v>
      </c>
      <c r="O87" s="12" t="s">
        <v>277</v>
      </c>
      <c r="P87" s="12" t="s">
        <v>277</v>
      </c>
      <c r="Q87" s="12" t="s">
        <v>277</v>
      </c>
      <c r="R87" s="12" t="s">
        <v>277</v>
      </c>
      <c r="S87" s="12" t="s">
        <v>277</v>
      </c>
      <c r="T87" s="12" t="s">
        <v>277</v>
      </c>
      <c r="U87" s="12" t="s">
        <v>277</v>
      </c>
      <c r="V87" s="12" t="s">
        <v>277</v>
      </c>
      <c r="W87" s="12" t="s">
        <v>277</v>
      </c>
      <c r="X87" s="12" t="s">
        <v>277</v>
      </c>
      <c r="Y87" s="12" t="s">
        <v>277</v>
      </c>
      <c r="Z87" s="12" t="s">
        <v>277</v>
      </c>
      <c r="AA87" s="12" t="s">
        <v>277</v>
      </c>
      <c r="AB87" s="12" t="s">
        <v>277</v>
      </c>
      <c r="AC87" s="12" t="s">
        <v>277</v>
      </c>
      <c r="AD87" s="12" t="s">
        <v>277</v>
      </c>
      <c r="AE87" s="12" t="s">
        <v>277</v>
      </c>
      <c r="AF87" s="12" t="s">
        <v>277</v>
      </c>
      <c r="AG87" s="12" t="s">
        <v>277</v>
      </c>
      <c r="AH87" s="12" t="s">
        <v>277</v>
      </c>
      <c r="AI87" s="12" t="s">
        <v>277</v>
      </c>
      <c r="AJ87" s="12" t="s">
        <v>277</v>
      </c>
      <c r="AK87" s="12" t="s">
        <v>277</v>
      </c>
      <c r="AL87" s="12" t="s">
        <v>277</v>
      </c>
      <c r="AM87" s="12" t="s">
        <v>277</v>
      </c>
      <c r="AN87" s="12" t="s">
        <v>277</v>
      </c>
      <c r="AO87" s="12" t="s">
        <v>277</v>
      </c>
      <c r="AP87" s="12" t="s">
        <v>277</v>
      </c>
      <c r="AQ87" s="12" t="s">
        <v>277</v>
      </c>
      <c r="AR87" s="12" t="s">
        <v>277</v>
      </c>
      <c r="AS87" s="12" t="s">
        <v>277</v>
      </c>
      <c r="AT87" s="12" t="s">
        <v>277</v>
      </c>
      <c r="AU87" s="12" t="s">
        <v>277</v>
      </c>
      <c r="AV87" s="12" t="s">
        <v>277</v>
      </c>
      <c r="AW87" s="12" t="s">
        <v>277</v>
      </c>
      <c r="AX87" s="12" t="s">
        <v>277</v>
      </c>
      <c r="AY87" s="12" t="s">
        <v>277</v>
      </c>
      <c r="AZ87" s="12" t="s">
        <v>277</v>
      </c>
      <c r="BA87" s="12" t="s">
        <v>277</v>
      </c>
      <c r="BB87" s="12" t="s">
        <v>278</v>
      </c>
      <c r="BC87" s="12" t="s">
        <v>278</v>
      </c>
      <c r="BD87" s="12" t="s">
        <v>322</v>
      </c>
      <c r="BE87" s="12" t="s">
        <v>322</v>
      </c>
      <c r="BF87" s="12" t="s">
        <v>322</v>
      </c>
      <c r="BG87" s="12" t="s">
        <v>322</v>
      </c>
      <c r="BH87" s="12" t="s">
        <v>371</v>
      </c>
      <c r="BI87" s="12" t="s">
        <v>279</v>
      </c>
      <c r="BJ87" s="12" t="s">
        <v>455</v>
      </c>
      <c r="BK87" s="12" t="s">
        <v>507</v>
      </c>
      <c r="BL87" s="12" t="s">
        <v>325</v>
      </c>
      <c r="BM87" s="12" t="s">
        <v>1716</v>
      </c>
      <c r="BN87" s="12" t="s">
        <v>670</v>
      </c>
      <c r="BO87" s="12" t="s">
        <v>467</v>
      </c>
      <c r="BP87" s="12" t="s">
        <v>377</v>
      </c>
      <c r="BQ87" s="12" t="s">
        <v>329</v>
      </c>
      <c r="BR87" s="12" t="s">
        <v>329</v>
      </c>
      <c r="BS87" s="12" t="s">
        <v>569</v>
      </c>
      <c r="BT87" s="12" t="s">
        <v>569</v>
      </c>
      <c r="BU87" s="12" t="s">
        <v>883</v>
      </c>
      <c r="BV87" s="12" t="s">
        <v>677</v>
      </c>
      <c r="BW87" s="12" t="s">
        <v>907</v>
      </c>
      <c r="BX87" s="12" t="s">
        <v>572</v>
      </c>
      <c r="BY87" s="12" t="s">
        <v>572</v>
      </c>
      <c r="BZ87" s="12" t="s">
        <v>1799</v>
      </c>
      <c r="CA87" s="12" t="s">
        <v>1799</v>
      </c>
      <c r="CB87" s="12" t="s">
        <v>1787</v>
      </c>
      <c r="CC87" s="12" t="s">
        <v>682</v>
      </c>
      <c r="CD87" s="12" t="s">
        <v>682</v>
      </c>
      <c r="CE87" s="12" t="s">
        <v>682</v>
      </c>
      <c r="CF87" s="12" t="s">
        <v>1433</v>
      </c>
      <c r="CG87" s="12" t="s">
        <v>342</v>
      </c>
      <c r="CH87" s="12" t="s">
        <v>1864</v>
      </c>
      <c r="CI87" s="12" t="s">
        <v>514</v>
      </c>
      <c r="CJ87" s="12" t="s">
        <v>1206</v>
      </c>
      <c r="CK87" s="12" t="s">
        <v>1190</v>
      </c>
      <c r="CL87" s="12" t="s">
        <v>426</v>
      </c>
      <c r="CM87" s="12" t="s">
        <v>656</v>
      </c>
      <c r="CN87" s="12" t="s">
        <v>575</v>
      </c>
      <c r="CO87" s="12" t="s">
        <v>1532</v>
      </c>
      <c r="CP87" s="12" t="s">
        <v>1660</v>
      </c>
      <c r="CQ87" s="12" t="s">
        <v>1444</v>
      </c>
      <c r="CR87" s="12" t="s">
        <v>798</v>
      </c>
      <c r="CS87" s="12" t="s">
        <v>349</v>
      </c>
      <c r="CT87" s="12" t="s">
        <v>1865</v>
      </c>
      <c r="CU87" s="12" t="s">
        <v>353</v>
      </c>
      <c r="CV87" s="12" t="s">
        <v>1397</v>
      </c>
      <c r="CW87" s="12" t="s">
        <v>982</v>
      </c>
      <c r="CX87" s="12" t="s">
        <v>3490</v>
      </c>
    </row>
    <row r="88" spans="1:102" hidden="1" x14ac:dyDescent="0.3">
      <c r="A88" s="12" t="s">
        <v>12</v>
      </c>
      <c r="B88" s="12" t="s">
        <v>1866</v>
      </c>
      <c r="C88" s="12" t="s">
        <v>1867</v>
      </c>
      <c r="D88" s="12" t="s">
        <v>1868</v>
      </c>
      <c r="E88" s="12" t="s">
        <v>277</v>
      </c>
      <c r="F88" s="12" t="s">
        <v>277</v>
      </c>
      <c r="G88" s="12" t="s">
        <v>277</v>
      </c>
      <c r="H88" s="12" t="s">
        <v>277</v>
      </c>
      <c r="I88" s="12" t="s">
        <v>277</v>
      </c>
      <c r="J88" s="12" t="s">
        <v>277</v>
      </c>
      <c r="K88" s="12" t="s">
        <v>277</v>
      </c>
      <c r="L88" s="12" t="s">
        <v>277</v>
      </c>
      <c r="M88" s="12" t="s">
        <v>277</v>
      </c>
      <c r="N88" s="12" t="s">
        <v>277</v>
      </c>
      <c r="O88" s="12" t="s">
        <v>277</v>
      </c>
      <c r="P88" s="12" t="s">
        <v>277</v>
      </c>
      <c r="Q88" s="12" t="s">
        <v>277</v>
      </c>
      <c r="R88" s="12" t="s">
        <v>277</v>
      </c>
      <c r="S88" s="12" t="s">
        <v>277</v>
      </c>
      <c r="T88" s="12" t="s">
        <v>277</v>
      </c>
      <c r="U88" s="12" t="s">
        <v>277</v>
      </c>
      <c r="V88" s="12" t="s">
        <v>277</v>
      </c>
      <c r="W88" s="12" t="s">
        <v>277</v>
      </c>
      <c r="X88" s="12" t="s">
        <v>277</v>
      </c>
      <c r="Y88" s="12" t="s">
        <v>277</v>
      </c>
      <c r="Z88" s="12" t="s">
        <v>277</v>
      </c>
      <c r="AA88" s="12" t="s">
        <v>277</v>
      </c>
      <c r="AB88" s="12" t="s">
        <v>277</v>
      </c>
      <c r="AC88" s="12" t="s">
        <v>277</v>
      </c>
      <c r="AD88" s="12" t="s">
        <v>277</v>
      </c>
      <c r="AE88" s="12" t="s">
        <v>277</v>
      </c>
      <c r="AF88" s="12" t="s">
        <v>277</v>
      </c>
      <c r="AG88" s="12" t="s">
        <v>277</v>
      </c>
      <c r="AH88" s="12" t="s">
        <v>277</v>
      </c>
      <c r="AI88" s="12" t="s">
        <v>277</v>
      </c>
      <c r="AJ88" s="12" t="s">
        <v>277</v>
      </c>
      <c r="AK88" s="12" t="s">
        <v>277</v>
      </c>
      <c r="AL88" s="12" t="s">
        <v>277</v>
      </c>
      <c r="AM88" s="12" t="s">
        <v>277</v>
      </c>
      <c r="AN88" s="12" t="s">
        <v>277</v>
      </c>
      <c r="AO88" s="12" t="s">
        <v>277</v>
      </c>
      <c r="AP88" s="12" t="s">
        <v>277</v>
      </c>
      <c r="AQ88" s="12" t="s">
        <v>277</v>
      </c>
      <c r="AR88" s="12" t="s">
        <v>277</v>
      </c>
      <c r="AS88" s="12" t="s">
        <v>277</v>
      </c>
      <c r="AT88" s="12" t="s">
        <v>277</v>
      </c>
      <c r="AU88" s="12" t="s">
        <v>277</v>
      </c>
      <c r="AV88" s="12" t="s">
        <v>277</v>
      </c>
      <c r="AW88" s="12" t="s">
        <v>278</v>
      </c>
      <c r="AX88" s="12" t="s">
        <v>278</v>
      </c>
      <c r="AY88" s="12" t="s">
        <v>280</v>
      </c>
      <c r="AZ88" s="12" t="s">
        <v>460</v>
      </c>
      <c r="BA88" s="12" t="s">
        <v>460</v>
      </c>
      <c r="BB88" s="12" t="s">
        <v>567</v>
      </c>
      <c r="BC88" s="12" t="s">
        <v>285</v>
      </c>
      <c r="BD88" s="12" t="s">
        <v>325</v>
      </c>
      <c r="BE88" s="12" t="s">
        <v>375</v>
      </c>
      <c r="BF88" s="12" t="s">
        <v>612</v>
      </c>
      <c r="BG88" s="12" t="s">
        <v>616</v>
      </c>
      <c r="BH88" s="12" t="s">
        <v>745</v>
      </c>
      <c r="BI88" s="12" t="s">
        <v>653</v>
      </c>
      <c r="BJ88" s="12" t="s">
        <v>673</v>
      </c>
      <c r="BK88" s="12" t="s">
        <v>335</v>
      </c>
      <c r="BL88" s="12" t="s">
        <v>1116</v>
      </c>
      <c r="BM88" s="12" t="s">
        <v>572</v>
      </c>
      <c r="BN88" s="12" t="s">
        <v>473</v>
      </c>
      <c r="BO88" s="12" t="s">
        <v>1229</v>
      </c>
      <c r="BP88" s="12" t="s">
        <v>383</v>
      </c>
      <c r="BQ88" s="12" t="s">
        <v>726</v>
      </c>
      <c r="BR88" s="12" t="s">
        <v>1193</v>
      </c>
      <c r="BS88" s="12" t="s">
        <v>1538</v>
      </c>
      <c r="BT88" s="12" t="s">
        <v>909</v>
      </c>
      <c r="BU88" s="12" t="s">
        <v>863</v>
      </c>
      <c r="BV88" s="12" t="s">
        <v>1733</v>
      </c>
      <c r="BW88" s="12" t="s">
        <v>1388</v>
      </c>
      <c r="BX88" s="12" t="s">
        <v>659</v>
      </c>
      <c r="BY88" s="12" t="s">
        <v>353</v>
      </c>
      <c r="BZ88" s="12" t="s">
        <v>664</v>
      </c>
      <c r="CA88" s="12" t="s">
        <v>387</v>
      </c>
      <c r="CB88" s="12" t="s">
        <v>356</v>
      </c>
      <c r="CC88" s="12" t="s">
        <v>1544</v>
      </c>
      <c r="CD88" s="12" t="s">
        <v>477</v>
      </c>
      <c r="CE88" s="12" t="s">
        <v>360</v>
      </c>
      <c r="CF88" s="12" t="s">
        <v>1403</v>
      </c>
      <c r="CG88" s="12" t="s">
        <v>1073</v>
      </c>
      <c r="CH88" s="12" t="s">
        <v>1869</v>
      </c>
      <c r="CI88" s="12" t="s">
        <v>1870</v>
      </c>
      <c r="CJ88" s="12" t="s">
        <v>1075</v>
      </c>
      <c r="CK88" s="12" t="s">
        <v>1684</v>
      </c>
      <c r="CL88" s="12" t="s">
        <v>1871</v>
      </c>
      <c r="CM88" s="12" t="s">
        <v>1221</v>
      </c>
      <c r="CN88" s="12" t="s">
        <v>750</v>
      </c>
      <c r="CO88" s="12" t="s">
        <v>1872</v>
      </c>
      <c r="CP88" s="12" t="s">
        <v>1873</v>
      </c>
      <c r="CQ88" s="12" t="s">
        <v>578</v>
      </c>
      <c r="CR88" s="12" t="s">
        <v>1874</v>
      </c>
      <c r="CS88" s="12" t="s">
        <v>1875</v>
      </c>
      <c r="CT88" s="12" t="s">
        <v>1876</v>
      </c>
      <c r="CU88" s="12" t="s">
        <v>3324</v>
      </c>
      <c r="CV88" s="12" t="s">
        <v>1932</v>
      </c>
      <c r="CW88" s="12" t="s">
        <v>2726</v>
      </c>
      <c r="CX88" s="12" t="s">
        <v>1913</v>
      </c>
    </row>
    <row r="89" spans="1:102" hidden="1" x14ac:dyDescent="0.3">
      <c r="A89" s="12" t="s">
        <v>12</v>
      </c>
      <c r="B89" s="12" t="s">
        <v>1877</v>
      </c>
      <c r="C89" s="12" t="s">
        <v>1878</v>
      </c>
      <c r="D89" s="12" t="s">
        <v>1879</v>
      </c>
      <c r="E89" s="12" t="s">
        <v>277</v>
      </c>
      <c r="F89" s="12" t="s">
        <v>277</v>
      </c>
      <c r="G89" s="12" t="s">
        <v>277</v>
      </c>
      <c r="H89" s="12" t="s">
        <v>277</v>
      </c>
      <c r="I89" s="12" t="s">
        <v>277</v>
      </c>
      <c r="J89" s="12" t="s">
        <v>277</v>
      </c>
      <c r="K89" s="12" t="s">
        <v>277</v>
      </c>
      <c r="L89" s="12" t="s">
        <v>277</v>
      </c>
      <c r="M89" s="12" t="s">
        <v>277</v>
      </c>
      <c r="N89" s="12" t="s">
        <v>277</v>
      </c>
      <c r="O89" s="12" t="s">
        <v>277</v>
      </c>
      <c r="P89" s="12" t="s">
        <v>277</v>
      </c>
      <c r="Q89" s="12" t="s">
        <v>277</v>
      </c>
      <c r="R89" s="12" t="s">
        <v>277</v>
      </c>
      <c r="S89" s="12" t="s">
        <v>277</v>
      </c>
      <c r="T89" s="12" t="s">
        <v>277</v>
      </c>
      <c r="U89" s="12" t="s">
        <v>277</v>
      </c>
      <c r="V89" s="12" t="s">
        <v>277</v>
      </c>
      <c r="W89" s="12" t="s">
        <v>277</v>
      </c>
      <c r="X89" s="12" t="s">
        <v>277</v>
      </c>
      <c r="Y89" s="12" t="s">
        <v>277</v>
      </c>
      <c r="Z89" s="12" t="s">
        <v>277</v>
      </c>
      <c r="AA89" s="12" t="s">
        <v>277</v>
      </c>
      <c r="AB89" s="12" t="s">
        <v>277</v>
      </c>
      <c r="AC89" s="12" t="s">
        <v>277</v>
      </c>
      <c r="AD89" s="12" t="s">
        <v>277</v>
      </c>
      <c r="AE89" s="12" t="s">
        <v>277</v>
      </c>
      <c r="AF89" s="12" t="s">
        <v>277</v>
      </c>
      <c r="AG89" s="12" t="s">
        <v>277</v>
      </c>
      <c r="AH89" s="12" t="s">
        <v>277</v>
      </c>
      <c r="AI89" s="12" t="s">
        <v>277</v>
      </c>
      <c r="AJ89" s="12" t="s">
        <v>277</v>
      </c>
      <c r="AK89" s="12" t="s">
        <v>277</v>
      </c>
      <c r="AL89" s="12" t="s">
        <v>277</v>
      </c>
      <c r="AM89" s="12" t="s">
        <v>277</v>
      </c>
      <c r="AN89" s="12" t="s">
        <v>277</v>
      </c>
      <c r="AO89" s="12" t="s">
        <v>277</v>
      </c>
      <c r="AP89" s="12" t="s">
        <v>277</v>
      </c>
      <c r="AQ89" s="12" t="s">
        <v>277</v>
      </c>
      <c r="AR89" s="12" t="s">
        <v>277</v>
      </c>
      <c r="AS89" s="12" t="s">
        <v>277</v>
      </c>
      <c r="AT89" s="12" t="s">
        <v>277</v>
      </c>
      <c r="AU89" s="12" t="s">
        <v>277</v>
      </c>
      <c r="AV89" s="12" t="s">
        <v>277</v>
      </c>
      <c r="AW89" s="12" t="s">
        <v>277</v>
      </c>
      <c r="AX89" s="12" t="s">
        <v>277</v>
      </c>
      <c r="AY89" s="12" t="s">
        <v>277</v>
      </c>
      <c r="AZ89" s="12" t="s">
        <v>277</v>
      </c>
      <c r="BA89" s="12" t="s">
        <v>277</v>
      </c>
      <c r="BB89" s="12" t="s">
        <v>278</v>
      </c>
      <c r="BC89" s="12" t="s">
        <v>278</v>
      </c>
      <c r="BD89" s="12" t="s">
        <v>278</v>
      </c>
      <c r="BE89" s="12" t="s">
        <v>278</v>
      </c>
      <c r="BF89" s="12" t="s">
        <v>278</v>
      </c>
      <c r="BG89" s="12" t="s">
        <v>278</v>
      </c>
      <c r="BH89" s="12" t="s">
        <v>280</v>
      </c>
      <c r="BI89" s="12" t="s">
        <v>550</v>
      </c>
      <c r="BJ89" s="12" t="s">
        <v>460</v>
      </c>
      <c r="BK89" s="12" t="s">
        <v>460</v>
      </c>
      <c r="BL89" s="12" t="s">
        <v>455</v>
      </c>
      <c r="BM89" s="12" t="s">
        <v>455</v>
      </c>
      <c r="BN89" s="12" t="s">
        <v>456</v>
      </c>
      <c r="BO89" s="12" t="s">
        <v>819</v>
      </c>
      <c r="BP89" s="12" t="s">
        <v>555</v>
      </c>
      <c r="BQ89" s="12" t="s">
        <v>558</v>
      </c>
      <c r="BR89" s="12" t="s">
        <v>1430</v>
      </c>
      <c r="BS89" s="12" t="s">
        <v>1430</v>
      </c>
      <c r="BT89" s="12" t="s">
        <v>680</v>
      </c>
      <c r="BU89" s="12" t="s">
        <v>1384</v>
      </c>
      <c r="BV89" s="12" t="s">
        <v>1432</v>
      </c>
      <c r="BW89" s="12" t="s">
        <v>1536</v>
      </c>
      <c r="BX89" s="12" t="s">
        <v>513</v>
      </c>
      <c r="BY89" s="12" t="s">
        <v>862</v>
      </c>
      <c r="BZ89" s="12" t="s">
        <v>1514</v>
      </c>
      <c r="CA89" s="12" t="s">
        <v>1092</v>
      </c>
      <c r="CB89" s="12" t="s">
        <v>980</v>
      </c>
      <c r="CC89" s="12" t="s">
        <v>299</v>
      </c>
      <c r="CD89" s="12" t="s">
        <v>1097</v>
      </c>
      <c r="CE89" s="12" t="s">
        <v>302</v>
      </c>
      <c r="CF89" s="12" t="s">
        <v>302</v>
      </c>
      <c r="CG89" s="12" t="s">
        <v>983</v>
      </c>
      <c r="CH89" s="12" t="s">
        <v>696</v>
      </c>
      <c r="CI89" s="12" t="s">
        <v>1684</v>
      </c>
      <c r="CJ89" s="12" t="s">
        <v>441</v>
      </c>
      <c r="CK89" s="12" t="s">
        <v>441</v>
      </c>
      <c r="CL89" s="12" t="s">
        <v>986</v>
      </c>
      <c r="CM89" s="12" t="s">
        <v>838</v>
      </c>
      <c r="CN89" s="12" t="s">
        <v>1880</v>
      </c>
      <c r="CO89" s="12" t="s">
        <v>390</v>
      </c>
      <c r="CP89" s="12" t="s">
        <v>390</v>
      </c>
      <c r="CQ89" s="12" t="s">
        <v>1881</v>
      </c>
      <c r="CR89" s="12" t="s">
        <v>1882</v>
      </c>
      <c r="CS89" s="12" t="s">
        <v>1598</v>
      </c>
      <c r="CT89" s="12" t="s">
        <v>1883</v>
      </c>
      <c r="CU89" s="12" t="s">
        <v>1883</v>
      </c>
      <c r="CV89" s="12" t="s">
        <v>4128</v>
      </c>
      <c r="CW89" s="12" t="s">
        <v>4129</v>
      </c>
      <c r="CX89" s="12" t="s">
        <v>2885</v>
      </c>
    </row>
    <row r="90" spans="1:102" hidden="1" x14ac:dyDescent="0.3">
      <c r="A90" s="12" t="s">
        <v>12</v>
      </c>
      <c r="B90" s="12" t="s">
        <v>1884</v>
      </c>
      <c r="C90" s="12" t="s">
        <v>1885</v>
      </c>
      <c r="D90" s="12" t="s">
        <v>1886</v>
      </c>
      <c r="E90" s="12" t="s">
        <v>277</v>
      </c>
      <c r="F90" s="12" t="s">
        <v>277</v>
      </c>
      <c r="G90" s="12" t="s">
        <v>277</v>
      </c>
      <c r="H90" s="12" t="s">
        <v>277</v>
      </c>
      <c r="I90" s="12" t="s">
        <v>277</v>
      </c>
      <c r="J90" s="12" t="s">
        <v>277</v>
      </c>
      <c r="K90" s="12" t="s">
        <v>277</v>
      </c>
      <c r="L90" s="12" t="s">
        <v>277</v>
      </c>
      <c r="M90" s="12" t="s">
        <v>277</v>
      </c>
      <c r="N90" s="12" t="s">
        <v>277</v>
      </c>
      <c r="O90" s="12" t="s">
        <v>277</v>
      </c>
      <c r="P90" s="12" t="s">
        <v>277</v>
      </c>
      <c r="Q90" s="12" t="s">
        <v>277</v>
      </c>
      <c r="R90" s="12" t="s">
        <v>277</v>
      </c>
      <c r="S90" s="12" t="s">
        <v>277</v>
      </c>
      <c r="T90" s="12" t="s">
        <v>277</v>
      </c>
      <c r="U90" s="12" t="s">
        <v>277</v>
      </c>
      <c r="V90" s="12" t="s">
        <v>277</v>
      </c>
      <c r="W90" s="12" t="s">
        <v>277</v>
      </c>
      <c r="X90" s="12" t="s">
        <v>277</v>
      </c>
      <c r="Y90" s="12" t="s">
        <v>277</v>
      </c>
      <c r="Z90" s="12" t="s">
        <v>277</v>
      </c>
      <c r="AA90" s="12" t="s">
        <v>277</v>
      </c>
      <c r="AB90" s="12" t="s">
        <v>277</v>
      </c>
      <c r="AC90" s="12" t="s">
        <v>277</v>
      </c>
      <c r="AD90" s="12" t="s">
        <v>277</v>
      </c>
      <c r="AE90" s="12" t="s">
        <v>277</v>
      </c>
      <c r="AF90" s="12" t="s">
        <v>277</v>
      </c>
      <c r="AG90" s="12" t="s">
        <v>277</v>
      </c>
      <c r="AH90" s="12" t="s">
        <v>277</v>
      </c>
      <c r="AI90" s="12" t="s">
        <v>277</v>
      </c>
      <c r="AJ90" s="12" t="s">
        <v>277</v>
      </c>
      <c r="AK90" s="12" t="s">
        <v>277</v>
      </c>
      <c r="AL90" s="12" t="s">
        <v>277</v>
      </c>
      <c r="AM90" s="12" t="s">
        <v>278</v>
      </c>
      <c r="AN90" s="12" t="s">
        <v>371</v>
      </c>
      <c r="AO90" s="12" t="s">
        <v>371</v>
      </c>
      <c r="AP90" s="12" t="s">
        <v>280</v>
      </c>
      <c r="AQ90" s="12" t="s">
        <v>550</v>
      </c>
      <c r="AR90" s="12" t="s">
        <v>281</v>
      </c>
      <c r="AS90" s="12" t="s">
        <v>281</v>
      </c>
      <c r="AT90" s="12" t="s">
        <v>460</v>
      </c>
      <c r="AU90" s="12" t="s">
        <v>323</v>
      </c>
      <c r="AV90" s="12" t="s">
        <v>323</v>
      </c>
      <c r="AW90" s="12" t="s">
        <v>282</v>
      </c>
      <c r="AX90" s="12" t="s">
        <v>324</v>
      </c>
      <c r="AY90" s="12" t="s">
        <v>324</v>
      </c>
      <c r="AZ90" s="12" t="s">
        <v>324</v>
      </c>
      <c r="BA90" s="12" t="s">
        <v>455</v>
      </c>
      <c r="BB90" s="12" t="s">
        <v>373</v>
      </c>
      <c r="BC90" s="12" t="s">
        <v>373</v>
      </c>
      <c r="BD90" s="12" t="s">
        <v>551</v>
      </c>
      <c r="BE90" s="12" t="s">
        <v>327</v>
      </c>
      <c r="BF90" s="12" t="s">
        <v>690</v>
      </c>
      <c r="BG90" s="12" t="s">
        <v>691</v>
      </c>
      <c r="BH90" s="12" t="s">
        <v>569</v>
      </c>
      <c r="BI90" s="12" t="s">
        <v>883</v>
      </c>
      <c r="BJ90" s="12" t="s">
        <v>563</v>
      </c>
      <c r="BK90" s="12" t="s">
        <v>472</v>
      </c>
      <c r="BL90" s="12" t="s">
        <v>1302</v>
      </c>
      <c r="BM90" s="12" t="s">
        <v>1190</v>
      </c>
      <c r="BN90" s="12" t="s">
        <v>1307</v>
      </c>
      <c r="BO90" s="12" t="s">
        <v>1887</v>
      </c>
      <c r="BP90" s="12" t="s">
        <v>1397</v>
      </c>
      <c r="BQ90" s="12" t="s">
        <v>734</v>
      </c>
      <c r="BR90" s="12" t="s">
        <v>1410</v>
      </c>
      <c r="BS90" s="12" t="s">
        <v>1888</v>
      </c>
      <c r="BT90" s="12" t="s">
        <v>447</v>
      </c>
      <c r="BU90" s="12" t="s">
        <v>1889</v>
      </c>
      <c r="BV90" s="12" t="s">
        <v>1890</v>
      </c>
      <c r="BW90" s="12" t="s">
        <v>1891</v>
      </c>
      <c r="BX90" s="12" t="s">
        <v>1669</v>
      </c>
      <c r="BY90" s="12" t="s">
        <v>1892</v>
      </c>
      <c r="BZ90" s="12" t="s">
        <v>1893</v>
      </c>
      <c r="CA90" s="12" t="s">
        <v>1894</v>
      </c>
      <c r="CB90" s="12" t="s">
        <v>1895</v>
      </c>
      <c r="CC90" s="12" t="s">
        <v>1896</v>
      </c>
      <c r="CD90" s="12" t="s">
        <v>720</v>
      </c>
      <c r="CE90" s="12" t="s">
        <v>1897</v>
      </c>
      <c r="CF90" s="12" t="s">
        <v>1898</v>
      </c>
      <c r="CG90" s="12" t="s">
        <v>1899</v>
      </c>
      <c r="CH90" s="12" t="s">
        <v>1900</v>
      </c>
      <c r="CI90" s="12" t="s">
        <v>1901</v>
      </c>
      <c r="CJ90" s="12" t="s">
        <v>1902</v>
      </c>
      <c r="CK90" s="12" t="s">
        <v>1903</v>
      </c>
      <c r="CL90" s="12" t="s">
        <v>584</v>
      </c>
      <c r="CM90" s="12" t="s">
        <v>1904</v>
      </c>
      <c r="CN90" s="12" t="s">
        <v>1905</v>
      </c>
      <c r="CO90" s="12" t="s">
        <v>1906</v>
      </c>
      <c r="CP90" s="12" t="s">
        <v>853</v>
      </c>
      <c r="CQ90" s="12" t="s">
        <v>1907</v>
      </c>
      <c r="CR90" s="12" t="s">
        <v>1908</v>
      </c>
      <c r="CS90" s="12" t="s">
        <v>891</v>
      </c>
      <c r="CT90" s="12" t="s">
        <v>1909</v>
      </c>
      <c r="CU90" s="12" t="s">
        <v>4130</v>
      </c>
      <c r="CV90" s="12" t="s">
        <v>4131</v>
      </c>
      <c r="CW90" s="12" t="s">
        <v>3416</v>
      </c>
      <c r="CX90" s="12" t="s">
        <v>4132</v>
      </c>
    </row>
    <row r="91" spans="1:102" hidden="1" x14ac:dyDescent="0.3">
      <c r="A91" s="12" t="s">
        <v>12</v>
      </c>
      <c r="B91" s="12" t="s">
        <v>1910</v>
      </c>
      <c r="C91" s="12" t="s">
        <v>1911</v>
      </c>
      <c r="D91" s="12" t="s">
        <v>1911</v>
      </c>
      <c r="E91" s="12" t="s">
        <v>277</v>
      </c>
      <c r="F91" s="12" t="s">
        <v>277</v>
      </c>
      <c r="G91" s="12" t="s">
        <v>277</v>
      </c>
      <c r="H91" s="12" t="s">
        <v>277</v>
      </c>
      <c r="I91" s="12" t="s">
        <v>277</v>
      </c>
      <c r="J91" s="12" t="s">
        <v>277</v>
      </c>
      <c r="K91" s="12" t="s">
        <v>277</v>
      </c>
      <c r="L91" s="12" t="s">
        <v>277</v>
      </c>
      <c r="M91" s="12" t="s">
        <v>277</v>
      </c>
      <c r="N91" s="12" t="s">
        <v>277</v>
      </c>
      <c r="O91" s="12" t="s">
        <v>277</v>
      </c>
      <c r="P91" s="12" t="s">
        <v>277</v>
      </c>
      <c r="Q91" s="12" t="s">
        <v>277</v>
      </c>
      <c r="R91" s="12" t="s">
        <v>277</v>
      </c>
      <c r="S91" s="12" t="s">
        <v>277</v>
      </c>
      <c r="T91" s="12" t="s">
        <v>277</v>
      </c>
      <c r="U91" s="12" t="s">
        <v>618</v>
      </c>
      <c r="V91" s="12" t="s">
        <v>618</v>
      </c>
      <c r="W91" s="12" t="s">
        <v>332</v>
      </c>
      <c r="X91" s="12" t="s">
        <v>1055</v>
      </c>
      <c r="Y91" s="12" t="s">
        <v>1055</v>
      </c>
      <c r="Z91" s="12" t="s">
        <v>725</v>
      </c>
      <c r="AA91" s="12" t="s">
        <v>725</v>
      </c>
      <c r="AB91" s="12" t="s">
        <v>862</v>
      </c>
      <c r="AC91" s="12" t="s">
        <v>828</v>
      </c>
      <c r="AD91" s="12" t="s">
        <v>694</v>
      </c>
      <c r="AE91" s="12" t="s">
        <v>387</v>
      </c>
      <c r="AF91" s="12" t="s">
        <v>1101</v>
      </c>
      <c r="AG91" s="12" t="s">
        <v>864</v>
      </c>
      <c r="AH91" s="12" t="s">
        <v>365</v>
      </c>
      <c r="AI91" s="12" t="s">
        <v>365</v>
      </c>
      <c r="AJ91" s="12" t="s">
        <v>365</v>
      </c>
      <c r="AK91" s="12" t="s">
        <v>1912</v>
      </c>
      <c r="AL91" s="12" t="s">
        <v>1912</v>
      </c>
      <c r="AM91" s="12" t="s">
        <v>1912</v>
      </c>
      <c r="AN91" s="12" t="s">
        <v>1913</v>
      </c>
      <c r="AO91" s="12" t="s">
        <v>1913</v>
      </c>
      <c r="AP91" s="12" t="s">
        <v>1913</v>
      </c>
      <c r="AQ91" s="12" t="s">
        <v>1913</v>
      </c>
      <c r="AR91" s="12" t="s">
        <v>1913</v>
      </c>
      <c r="AS91" s="12" t="s">
        <v>1913</v>
      </c>
      <c r="AT91" s="12" t="s">
        <v>1914</v>
      </c>
      <c r="AU91" s="12" t="s">
        <v>1914</v>
      </c>
      <c r="AV91" s="12" t="s">
        <v>1914</v>
      </c>
      <c r="AW91" s="12" t="s">
        <v>1914</v>
      </c>
      <c r="AX91" s="12" t="s">
        <v>1914</v>
      </c>
      <c r="AY91" s="12" t="s">
        <v>1914</v>
      </c>
      <c r="AZ91" s="12" t="s">
        <v>1914</v>
      </c>
      <c r="BA91" s="12" t="s">
        <v>1914</v>
      </c>
      <c r="BB91" s="12" t="s">
        <v>1914</v>
      </c>
      <c r="BC91" s="12" t="s">
        <v>1914</v>
      </c>
      <c r="BD91" s="12" t="s">
        <v>1914</v>
      </c>
      <c r="BE91" s="12" t="s">
        <v>1914</v>
      </c>
      <c r="BF91" s="12" t="s">
        <v>1914</v>
      </c>
      <c r="BG91" s="12" t="s">
        <v>1914</v>
      </c>
      <c r="BH91" s="12" t="s">
        <v>1914</v>
      </c>
      <c r="BI91" s="12" t="s">
        <v>1915</v>
      </c>
      <c r="BJ91" s="12" t="s">
        <v>1915</v>
      </c>
      <c r="BK91" s="12" t="s">
        <v>1915</v>
      </c>
      <c r="BL91" s="12" t="s">
        <v>1915</v>
      </c>
      <c r="BM91" s="12" t="s">
        <v>1915</v>
      </c>
      <c r="BN91" s="12" t="s">
        <v>1915</v>
      </c>
      <c r="BO91" s="12" t="s">
        <v>1915</v>
      </c>
      <c r="BP91" s="12" t="s">
        <v>1915</v>
      </c>
      <c r="BQ91" s="12" t="s">
        <v>1915</v>
      </c>
      <c r="BR91" s="12" t="s">
        <v>1915</v>
      </c>
      <c r="BS91" s="12" t="s">
        <v>1915</v>
      </c>
      <c r="BT91" s="12" t="s">
        <v>1915</v>
      </c>
      <c r="BU91" s="12" t="s">
        <v>1915</v>
      </c>
      <c r="BV91" s="12" t="s">
        <v>1915</v>
      </c>
      <c r="BW91" s="12" t="s">
        <v>1915</v>
      </c>
      <c r="BX91" s="12" t="s">
        <v>1915</v>
      </c>
      <c r="BY91" s="12" t="s">
        <v>1915</v>
      </c>
      <c r="BZ91" s="12" t="s">
        <v>1915</v>
      </c>
      <c r="CA91" s="12" t="s">
        <v>1915</v>
      </c>
      <c r="CB91" s="12" t="s">
        <v>1915</v>
      </c>
      <c r="CC91" s="12" t="s">
        <v>1915</v>
      </c>
      <c r="CD91" s="12" t="s">
        <v>1915</v>
      </c>
      <c r="CE91" s="12" t="s">
        <v>1915</v>
      </c>
      <c r="CF91" s="12" t="s">
        <v>1915</v>
      </c>
      <c r="CG91" s="12" t="s">
        <v>1915</v>
      </c>
      <c r="CH91" s="12" t="s">
        <v>1915</v>
      </c>
      <c r="CI91" s="12" t="s">
        <v>1915</v>
      </c>
      <c r="CJ91" s="12" t="s">
        <v>1915</v>
      </c>
      <c r="CK91" s="12" t="s">
        <v>1915</v>
      </c>
      <c r="CL91" s="12" t="s">
        <v>1915</v>
      </c>
      <c r="CM91" s="12" t="s">
        <v>1915</v>
      </c>
      <c r="CN91" s="12" t="s">
        <v>1915</v>
      </c>
      <c r="CO91" s="12" t="s">
        <v>1915</v>
      </c>
      <c r="CP91" s="12" t="s">
        <v>1915</v>
      </c>
      <c r="CQ91" s="12" t="s">
        <v>1915</v>
      </c>
      <c r="CR91" s="12" t="s">
        <v>1915</v>
      </c>
      <c r="CS91" s="12" t="s">
        <v>1915</v>
      </c>
      <c r="CT91" s="12" t="s">
        <v>1915</v>
      </c>
      <c r="CU91" s="12" t="s">
        <v>1915</v>
      </c>
      <c r="CV91" s="12" t="s">
        <v>1915</v>
      </c>
      <c r="CW91" s="12" t="s">
        <v>1915</v>
      </c>
      <c r="CX91" s="12" t="s">
        <v>1915</v>
      </c>
    </row>
    <row r="92" spans="1:102" hidden="1" x14ac:dyDescent="0.3">
      <c r="A92" s="12" t="s">
        <v>12</v>
      </c>
      <c r="B92" s="12" t="s">
        <v>1916</v>
      </c>
      <c r="C92" s="12" t="s">
        <v>1917</v>
      </c>
      <c r="D92" s="12" t="s">
        <v>1918</v>
      </c>
      <c r="E92" s="12" t="s">
        <v>277</v>
      </c>
      <c r="F92" s="12" t="s">
        <v>277</v>
      </c>
      <c r="G92" s="12" t="s">
        <v>277</v>
      </c>
      <c r="H92" s="12" t="s">
        <v>277</v>
      </c>
      <c r="I92" s="12" t="s">
        <v>277</v>
      </c>
      <c r="J92" s="12" t="s">
        <v>277</v>
      </c>
      <c r="K92" s="12" t="s">
        <v>277</v>
      </c>
      <c r="L92" s="12" t="s">
        <v>277</v>
      </c>
      <c r="M92" s="12" t="s">
        <v>277</v>
      </c>
      <c r="N92" s="12" t="s">
        <v>277</v>
      </c>
      <c r="O92" s="12" t="s">
        <v>277</v>
      </c>
      <c r="P92" s="12" t="s">
        <v>277</v>
      </c>
      <c r="Q92" s="12" t="s">
        <v>277</v>
      </c>
      <c r="R92" s="12" t="s">
        <v>277</v>
      </c>
      <c r="S92" s="12" t="s">
        <v>277</v>
      </c>
      <c r="T92" s="12" t="s">
        <v>277</v>
      </c>
      <c r="U92" s="12" t="s">
        <v>277</v>
      </c>
      <c r="V92" s="12" t="s">
        <v>277</v>
      </c>
      <c r="W92" s="12" t="s">
        <v>277</v>
      </c>
      <c r="X92" s="12" t="s">
        <v>277</v>
      </c>
      <c r="Y92" s="12" t="s">
        <v>277</v>
      </c>
      <c r="Z92" s="12" t="s">
        <v>277</v>
      </c>
      <c r="AA92" s="12" t="s">
        <v>277</v>
      </c>
      <c r="AB92" s="12" t="s">
        <v>277</v>
      </c>
      <c r="AC92" s="12" t="s">
        <v>277</v>
      </c>
      <c r="AD92" s="12" t="s">
        <v>277</v>
      </c>
      <c r="AE92" s="12" t="s">
        <v>277</v>
      </c>
      <c r="AF92" s="12" t="s">
        <v>277</v>
      </c>
      <c r="AG92" s="12" t="s">
        <v>277</v>
      </c>
      <c r="AH92" s="12" t="s">
        <v>277</v>
      </c>
      <c r="AI92" s="12" t="s">
        <v>277</v>
      </c>
      <c r="AJ92" s="12" t="s">
        <v>277</v>
      </c>
      <c r="AK92" s="12" t="s">
        <v>277</v>
      </c>
      <c r="AL92" s="12" t="s">
        <v>277</v>
      </c>
      <c r="AM92" s="12" t="s">
        <v>277</v>
      </c>
      <c r="AN92" s="12" t="s">
        <v>277</v>
      </c>
      <c r="AO92" s="12" t="s">
        <v>277</v>
      </c>
      <c r="AP92" s="12" t="s">
        <v>277</v>
      </c>
      <c r="AQ92" s="12" t="s">
        <v>277</v>
      </c>
      <c r="AR92" s="12" t="s">
        <v>277</v>
      </c>
      <c r="AS92" s="12" t="s">
        <v>277</v>
      </c>
      <c r="AT92" s="12" t="s">
        <v>277</v>
      </c>
      <c r="AU92" s="12" t="s">
        <v>277</v>
      </c>
      <c r="AV92" s="12" t="s">
        <v>277</v>
      </c>
      <c r="AW92" s="12" t="s">
        <v>277</v>
      </c>
      <c r="AX92" s="12" t="s">
        <v>277</v>
      </c>
      <c r="AY92" s="12" t="s">
        <v>277</v>
      </c>
      <c r="AZ92" s="12" t="s">
        <v>277</v>
      </c>
      <c r="BA92" s="12" t="s">
        <v>277</v>
      </c>
      <c r="BB92" s="12" t="s">
        <v>277</v>
      </c>
      <c r="BC92" s="12" t="s">
        <v>371</v>
      </c>
      <c r="BD92" s="12" t="s">
        <v>279</v>
      </c>
      <c r="BE92" s="12" t="s">
        <v>279</v>
      </c>
      <c r="BF92" s="12" t="s">
        <v>279</v>
      </c>
      <c r="BG92" s="12" t="s">
        <v>279</v>
      </c>
      <c r="BH92" s="12" t="s">
        <v>280</v>
      </c>
      <c r="BI92" s="12" t="s">
        <v>281</v>
      </c>
      <c r="BJ92" s="12" t="s">
        <v>282</v>
      </c>
      <c r="BK92" s="12" t="s">
        <v>283</v>
      </c>
      <c r="BL92" s="12" t="s">
        <v>284</v>
      </c>
      <c r="BM92" s="12" t="s">
        <v>616</v>
      </c>
      <c r="BN92" s="12" t="s">
        <v>287</v>
      </c>
      <c r="BO92" s="12" t="s">
        <v>377</v>
      </c>
      <c r="BP92" s="12" t="s">
        <v>691</v>
      </c>
      <c r="BQ92" s="12" t="s">
        <v>654</v>
      </c>
      <c r="BR92" s="12" t="s">
        <v>555</v>
      </c>
      <c r="BS92" s="12" t="s">
        <v>1117</v>
      </c>
      <c r="BT92" s="12" t="s">
        <v>382</v>
      </c>
      <c r="BU92" s="12" t="s">
        <v>293</v>
      </c>
      <c r="BV92" s="12" t="s">
        <v>339</v>
      </c>
      <c r="BW92" s="12" t="s">
        <v>341</v>
      </c>
      <c r="BX92" s="12" t="s">
        <v>1122</v>
      </c>
      <c r="BY92" s="12" t="s">
        <v>1919</v>
      </c>
      <c r="BZ92" s="12" t="s">
        <v>1094</v>
      </c>
      <c r="CA92" s="12" t="s">
        <v>1309</v>
      </c>
      <c r="CB92" s="12" t="s">
        <v>1444</v>
      </c>
      <c r="CC92" s="12" t="s">
        <v>659</v>
      </c>
      <c r="CD92" s="12" t="s">
        <v>1068</v>
      </c>
      <c r="CE92" s="12" t="s">
        <v>833</v>
      </c>
      <c r="CF92" s="12" t="s">
        <v>438</v>
      </c>
      <c r="CG92" s="12" t="s">
        <v>1920</v>
      </c>
      <c r="CH92" s="12" t="s">
        <v>578</v>
      </c>
      <c r="CI92" s="12" t="s">
        <v>1921</v>
      </c>
      <c r="CJ92" s="12" t="s">
        <v>1922</v>
      </c>
      <c r="CK92" s="12" t="s">
        <v>1923</v>
      </c>
      <c r="CL92" s="12" t="s">
        <v>1593</v>
      </c>
      <c r="CM92" s="12" t="s">
        <v>1924</v>
      </c>
      <c r="CN92" s="12" t="s">
        <v>391</v>
      </c>
      <c r="CO92" s="12" t="s">
        <v>1600</v>
      </c>
      <c r="CP92" s="12" t="s">
        <v>1925</v>
      </c>
      <c r="CQ92" s="12" t="s">
        <v>1926</v>
      </c>
      <c r="CR92" s="12" t="s">
        <v>1927</v>
      </c>
      <c r="CS92" s="12" t="s">
        <v>1928</v>
      </c>
      <c r="CT92" s="12" t="s">
        <v>999</v>
      </c>
      <c r="CU92" s="12" t="s">
        <v>719</v>
      </c>
      <c r="CV92" s="12" t="s">
        <v>4133</v>
      </c>
      <c r="CW92" s="12" t="s">
        <v>3256</v>
      </c>
      <c r="CX92" s="12" t="s">
        <v>4134</v>
      </c>
    </row>
    <row r="93" spans="1:102" hidden="1" x14ac:dyDescent="0.3">
      <c r="A93" s="12" t="s">
        <v>12</v>
      </c>
      <c r="B93" s="12" t="s">
        <v>1929</v>
      </c>
      <c r="C93" s="12" t="s">
        <v>1930</v>
      </c>
      <c r="D93" s="12" t="s">
        <v>1931</v>
      </c>
      <c r="E93" s="12" t="s">
        <v>277</v>
      </c>
      <c r="F93" s="12" t="s">
        <v>277</v>
      </c>
      <c r="G93" s="12" t="s">
        <v>277</v>
      </c>
      <c r="H93" s="12" t="s">
        <v>277</v>
      </c>
      <c r="I93" s="12" t="s">
        <v>277</v>
      </c>
      <c r="J93" s="12" t="s">
        <v>277</v>
      </c>
      <c r="K93" s="12" t="s">
        <v>277</v>
      </c>
      <c r="L93" s="12" t="s">
        <v>277</v>
      </c>
      <c r="M93" s="12" t="s">
        <v>277</v>
      </c>
      <c r="N93" s="12" t="s">
        <v>277</v>
      </c>
      <c r="O93" s="12" t="s">
        <v>277</v>
      </c>
      <c r="P93" s="12" t="s">
        <v>277</v>
      </c>
      <c r="Q93" s="12" t="s">
        <v>277</v>
      </c>
      <c r="R93" s="12" t="s">
        <v>277</v>
      </c>
      <c r="S93" s="12" t="s">
        <v>277</v>
      </c>
      <c r="T93" s="12" t="s">
        <v>277</v>
      </c>
      <c r="U93" s="12" t="s">
        <v>277</v>
      </c>
      <c r="V93" s="12" t="s">
        <v>277</v>
      </c>
      <c r="W93" s="12" t="s">
        <v>277</v>
      </c>
      <c r="X93" s="12" t="s">
        <v>277</v>
      </c>
      <c r="Y93" s="12" t="s">
        <v>277</v>
      </c>
      <c r="Z93" s="12" t="s">
        <v>277</v>
      </c>
      <c r="AA93" s="12" t="s">
        <v>277</v>
      </c>
      <c r="AB93" s="12" t="s">
        <v>277</v>
      </c>
      <c r="AC93" s="12" t="s">
        <v>277</v>
      </c>
      <c r="AD93" s="12" t="s">
        <v>277</v>
      </c>
      <c r="AE93" s="12" t="s">
        <v>277</v>
      </c>
      <c r="AF93" s="12" t="s">
        <v>277</v>
      </c>
      <c r="AG93" s="12" t="s">
        <v>277</v>
      </c>
      <c r="AH93" s="12" t="s">
        <v>277</v>
      </c>
      <c r="AI93" s="12" t="s">
        <v>277</v>
      </c>
      <c r="AJ93" s="12" t="s">
        <v>277</v>
      </c>
      <c r="AK93" s="12" t="s">
        <v>277</v>
      </c>
      <c r="AL93" s="12" t="s">
        <v>277</v>
      </c>
      <c r="AM93" s="12" t="s">
        <v>277</v>
      </c>
      <c r="AN93" s="12" t="s">
        <v>277</v>
      </c>
      <c r="AO93" s="12" t="s">
        <v>277</v>
      </c>
      <c r="AP93" s="12" t="s">
        <v>277</v>
      </c>
      <c r="AQ93" s="12" t="s">
        <v>277</v>
      </c>
      <c r="AR93" s="12" t="s">
        <v>277</v>
      </c>
      <c r="AS93" s="12" t="s">
        <v>277</v>
      </c>
      <c r="AT93" s="12" t="s">
        <v>277</v>
      </c>
      <c r="AU93" s="12" t="s">
        <v>277</v>
      </c>
      <c r="AV93" s="12" t="s">
        <v>277</v>
      </c>
      <c r="AW93" s="12" t="s">
        <v>277</v>
      </c>
      <c r="AX93" s="12" t="s">
        <v>277</v>
      </c>
      <c r="AY93" s="12" t="s">
        <v>277</v>
      </c>
      <c r="AZ93" s="12" t="s">
        <v>322</v>
      </c>
      <c r="BA93" s="12" t="s">
        <v>371</v>
      </c>
      <c r="BB93" s="12" t="s">
        <v>550</v>
      </c>
      <c r="BC93" s="12" t="s">
        <v>550</v>
      </c>
      <c r="BD93" s="12" t="s">
        <v>455</v>
      </c>
      <c r="BE93" s="12" t="s">
        <v>375</v>
      </c>
      <c r="BF93" s="12" t="s">
        <v>375</v>
      </c>
      <c r="BG93" s="12" t="s">
        <v>326</v>
      </c>
      <c r="BH93" s="12" t="s">
        <v>617</v>
      </c>
      <c r="BI93" s="12" t="s">
        <v>690</v>
      </c>
      <c r="BJ93" s="12" t="s">
        <v>654</v>
      </c>
      <c r="BK93" s="12" t="s">
        <v>654</v>
      </c>
      <c r="BL93" s="12" t="s">
        <v>289</v>
      </c>
      <c r="BM93" s="12" t="s">
        <v>824</v>
      </c>
      <c r="BN93" s="12" t="s">
        <v>1198</v>
      </c>
      <c r="BO93" s="12" t="s">
        <v>1448</v>
      </c>
      <c r="BP93" s="12" t="s">
        <v>960</v>
      </c>
      <c r="BQ93" s="12" t="s">
        <v>338</v>
      </c>
      <c r="BR93" s="12" t="s">
        <v>1009</v>
      </c>
      <c r="BS93" s="12" t="s">
        <v>1432</v>
      </c>
      <c r="BT93" s="12" t="s">
        <v>825</v>
      </c>
      <c r="BU93" s="12" t="s">
        <v>384</v>
      </c>
      <c r="BV93" s="12" t="s">
        <v>1192</v>
      </c>
      <c r="BW93" s="12" t="s">
        <v>1309</v>
      </c>
      <c r="BX93" s="12" t="s">
        <v>1586</v>
      </c>
      <c r="BY93" s="12" t="s">
        <v>659</v>
      </c>
      <c r="BZ93" s="12" t="s">
        <v>1396</v>
      </c>
      <c r="CA93" s="12" t="s">
        <v>355</v>
      </c>
      <c r="CB93" s="12" t="s">
        <v>968</v>
      </c>
      <c r="CC93" s="12" t="s">
        <v>358</v>
      </c>
      <c r="CD93" s="12" t="s">
        <v>1764</v>
      </c>
      <c r="CE93" s="12" t="s">
        <v>438</v>
      </c>
      <c r="CF93" s="12" t="s">
        <v>1869</v>
      </c>
      <c r="CG93" s="12" t="s">
        <v>1107</v>
      </c>
      <c r="CH93" s="12" t="s">
        <v>1686</v>
      </c>
      <c r="CI93" s="12" t="s">
        <v>1873</v>
      </c>
      <c r="CJ93" s="12" t="s">
        <v>1932</v>
      </c>
      <c r="CK93" s="12" t="s">
        <v>1933</v>
      </c>
      <c r="CL93" s="12" t="s">
        <v>1934</v>
      </c>
      <c r="CM93" s="12" t="s">
        <v>1737</v>
      </c>
      <c r="CN93" s="12" t="s">
        <v>1604</v>
      </c>
      <c r="CO93" s="12" t="s">
        <v>1742</v>
      </c>
      <c r="CP93" s="12" t="s">
        <v>1224</v>
      </c>
      <c r="CQ93" s="12" t="s">
        <v>309</v>
      </c>
      <c r="CR93" s="12" t="s">
        <v>1889</v>
      </c>
      <c r="CS93" s="12" t="s">
        <v>1935</v>
      </c>
      <c r="CT93" s="12" t="s">
        <v>989</v>
      </c>
      <c r="CU93" s="12" t="s">
        <v>4135</v>
      </c>
      <c r="CV93" s="12" t="s">
        <v>2380</v>
      </c>
      <c r="CW93" s="12" t="s">
        <v>526</v>
      </c>
      <c r="CX93" s="12" t="s">
        <v>4136</v>
      </c>
    </row>
    <row r="94" spans="1:102" hidden="1" x14ac:dyDescent="0.3">
      <c r="A94" s="12" t="s">
        <v>12</v>
      </c>
      <c r="B94" s="12" t="s">
        <v>1936</v>
      </c>
      <c r="C94" s="12" t="s">
        <v>1937</v>
      </c>
      <c r="D94" s="12" t="s">
        <v>1938</v>
      </c>
      <c r="E94" s="12" t="s">
        <v>277</v>
      </c>
      <c r="F94" s="12" t="s">
        <v>277</v>
      </c>
      <c r="G94" s="12" t="s">
        <v>277</v>
      </c>
      <c r="H94" s="12" t="s">
        <v>277</v>
      </c>
      <c r="I94" s="12" t="s">
        <v>277</v>
      </c>
      <c r="J94" s="12" t="s">
        <v>277</v>
      </c>
      <c r="K94" s="12" t="s">
        <v>277</v>
      </c>
      <c r="L94" s="12" t="s">
        <v>277</v>
      </c>
      <c r="M94" s="12" t="s">
        <v>277</v>
      </c>
      <c r="N94" s="12" t="s">
        <v>277</v>
      </c>
      <c r="O94" s="12" t="s">
        <v>277</v>
      </c>
      <c r="P94" s="12" t="s">
        <v>277</v>
      </c>
      <c r="Q94" s="12" t="s">
        <v>277</v>
      </c>
      <c r="R94" s="12" t="s">
        <v>277</v>
      </c>
      <c r="S94" s="12" t="s">
        <v>277</v>
      </c>
      <c r="T94" s="12" t="s">
        <v>277</v>
      </c>
      <c r="U94" s="12" t="s">
        <v>277</v>
      </c>
      <c r="V94" s="12" t="s">
        <v>277</v>
      </c>
      <c r="W94" s="12" t="s">
        <v>277</v>
      </c>
      <c r="X94" s="12" t="s">
        <v>277</v>
      </c>
      <c r="Y94" s="12" t="s">
        <v>277</v>
      </c>
      <c r="Z94" s="12" t="s">
        <v>277</v>
      </c>
      <c r="AA94" s="12" t="s">
        <v>277</v>
      </c>
      <c r="AB94" s="12" t="s">
        <v>277</v>
      </c>
      <c r="AC94" s="12" t="s">
        <v>277</v>
      </c>
      <c r="AD94" s="12" t="s">
        <v>277</v>
      </c>
      <c r="AE94" s="12" t="s">
        <v>277</v>
      </c>
      <c r="AF94" s="12" t="s">
        <v>277</v>
      </c>
      <c r="AG94" s="12" t="s">
        <v>277</v>
      </c>
      <c r="AH94" s="12" t="s">
        <v>277</v>
      </c>
      <c r="AI94" s="12" t="s">
        <v>277</v>
      </c>
      <c r="AJ94" s="12" t="s">
        <v>277</v>
      </c>
      <c r="AK94" s="12" t="s">
        <v>277</v>
      </c>
      <c r="AL94" s="12" t="s">
        <v>277</v>
      </c>
      <c r="AM94" s="12" t="s">
        <v>277</v>
      </c>
      <c r="AN94" s="12" t="s">
        <v>277</v>
      </c>
      <c r="AO94" s="12" t="s">
        <v>277</v>
      </c>
      <c r="AP94" s="12" t="s">
        <v>277</v>
      </c>
      <c r="AQ94" s="12" t="s">
        <v>277</v>
      </c>
      <c r="AR94" s="12" t="s">
        <v>371</v>
      </c>
      <c r="AS94" s="12" t="s">
        <v>371</v>
      </c>
      <c r="AT94" s="12" t="s">
        <v>280</v>
      </c>
      <c r="AU94" s="12" t="s">
        <v>454</v>
      </c>
      <c r="AV94" s="12" t="s">
        <v>324</v>
      </c>
      <c r="AW94" s="12" t="s">
        <v>507</v>
      </c>
      <c r="AX94" s="12" t="s">
        <v>373</v>
      </c>
      <c r="AY94" s="12" t="s">
        <v>465</v>
      </c>
      <c r="AZ94" s="12" t="s">
        <v>465</v>
      </c>
      <c r="BA94" s="12" t="s">
        <v>745</v>
      </c>
      <c r="BB94" s="12" t="s">
        <v>556</v>
      </c>
      <c r="BC94" s="12" t="s">
        <v>290</v>
      </c>
      <c r="BD94" s="12" t="s">
        <v>1711</v>
      </c>
      <c r="BE94" s="12" t="s">
        <v>1674</v>
      </c>
      <c r="BF94" s="12" t="s">
        <v>1189</v>
      </c>
      <c r="BG94" s="12" t="s">
        <v>797</v>
      </c>
      <c r="BH94" s="12" t="s">
        <v>659</v>
      </c>
      <c r="BI94" s="12" t="s">
        <v>1541</v>
      </c>
      <c r="BJ94" s="12" t="s">
        <v>1939</v>
      </c>
      <c r="BK94" s="12" t="s">
        <v>527</v>
      </c>
      <c r="BL94" s="12" t="s">
        <v>1940</v>
      </c>
      <c r="BM94" s="12" t="s">
        <v>1941</v>
      </c>
      <c r="BN94" s="12" t="s">
        <v>1822</v>
      </c>
      <c r="BO94" s="12" t="s">
        <v>1942</v>
      </c>
      <c r="BP94" s="12" t="s">
        <v>1943</v>
      </c>
      <c r="BQ94" s="12" t="s">
        <v>1944</v>
      </c>
      <c r="BR94" s="12" t="s">
        <v>1945</v>
      </c>
      <c r="BS94" s="12" t="s">
        <v>1946</v>
      </c>
      <c r="BT94" s="12" t="s">
        <v>1947</v>
      </c>
      <c r="BU94" s="12" t="s">
        <v>1948</v>
      </c>
      <c r="BV94" s="12" t="s">
        <v>1949</v>
      </c>
      <c r="BW94" s="12" t="s">
        <v>1950</v>
      </c>
      <c r="BX94" s="12" t="s">
        <v>1951</v>
      </c>
      <c r="BY94" s="12" t="s">
        <v>1952</v>
      </c>
      <c r="BZ94" s="12" t="s">
        <v>1953</v>
      </c>
      <c r="CA94" s="12" t="s">
        <v>1954</v>
      </c>
      <c r="CB94" s="12" t="s">
        <v>1955</v>
      </c>
      <c r="CC94" s="12" t="s">
        <v>1956</v>
      </c>
      <c r="CD94" s="12" t="s">
        <v>1957</v>
      </c>
      <c r="CE94" s="12" t="s">
        <v>1958</v>
      </c>
      <c r="CF94" s="12" t="s">
        <v>1959</v>
      </c>
      <c r="CG94" s="12" t="s">
        <v>1960</v>
      </c>
      <c r="CH94" s="12" t="s">
        <v>1961</v>
      </c>
      <c r="CI94" s="12" t="s">
        <v>1962</v>
      </c>
      <c r="CJ94" s="12" t="s">
        <v>1963</v>
      </c>
      <c r="CK94" s="12" t="s">
        <v>1964</v>
      </c>
      <c r="CL94" s="12" t="s">
        <v>1965</v>
      </c>
      <c r="CM94" s="12" t="s">
        <v>1966</v>
      </c>
      <c r="CN94" s="12" t="s">
        <v>1967</v>
      </c>
      <c r="CO94" s="12" t="s">
        <v>1968</v>
      </c>
      <c r="CP94" s="12" t="s">
        <v>1969</v>
      </c>
      <c r="CQ94" s="12" t="s">
        <v>1970</v>
      </c>
      <c r="CR94" s="12" t="s">
        <v>1971</v>
      </c>
      <c r="CS94" s="12" t="s">
        <v>1972</v>
      </c>
      <c r="CT94" s="12" t="s">
        <v>1973</v>
      </c>
      <c r="CU94" s="12" t="s">
        <v>4137</v>
      </c>
      <c r="CV94" s="12" t="s">
        <v>4138</v>
      </c>
      <c r="CW94" s="12" t="s">
        <v>4139</v>
      </c>
      <c r="CX94" s="12" t="s">
        <v>4140</v>
      </c>
    </row>
    <row r="95" spans="1:102" hidden="1" x14ac:dyDescent="0.3">
      <c r="A95" s="12" t="s">
        <v>1974</v>
      </c>
      <c r="B95" s="12" t="s">
        <v>1975</v>
      </c>
      <c r="C95" s="12" t="s">
        <v>1976</v>
      </c>
      <c r="D95" s="12" t="s">
        <v>1977</v>
      </c>
      <c r="E95" s="12" t="s">
        <v>277</v>
      </c>
      <c r="F95" s="12" t="s">
        <v>277</v>
      </c>
      <c r="G95" s="12" t="s">
        <v>277</v>
      </c>
      <c r="H95" s="12" t="s">
        <v>277</v>
      </c>
      <c r="I95" s="12" t="s">
        <v>277</v>
      </c>
      <c r="J95" s="12" t="s">
        <v>277</v>
      </c>
      <c r="K95" s="12" t="s">
        <v>277</v>
      </c>
      <c r="L95" s="12" t="s">
        <v>277</v>
      </c>
      <c r="M95" s="12" t="s">
        <v>277</v>
      </c>
      <c r="N95" s="12" t="s">
        <v>277</v>
      </c>
      <c r="O95" s="12" t="s">
        <v>277</v>
      </c>
      <c r="P95" s="12" t="s">
        <v>277</v>
      </c>
      <c r="Q95" s="12" t="s">
        <v>277</v>
      </c>
      <c r="R95" s="12" t="s">
        <v>277</v>
      </c>
      <c r="S95" s="12" t="s">
        <v>277</v>
      </c>
      <c r="T95" s="12" t="s">
        <v>277</v>
      </c>
      <c r="U95" s="12" t="s">
        <v>277</v>
      </c>
      <c r="V95" s="12" t="s">
        <v>277</v>
      </c>
      <c r="W95" s="12" t="s">
        <v>277</v>
      </c>
      <c r="X95" s="12" t="s">
        <v>277</v>
      </c>
      <c r="Y95" s="12" t="s">
        <v>277</v>
      </c>
      <c r="Z95" s="12" t="s">
        <v>277</v>
      </c>
      <c r="AA95" s="12" t="s">
        <v>277</v>
      </c>
      <c r="AB95" s="12" t="s">
        <v>277</v>
      </c>
      <c r="AC95" s="12" t="s">
        <v>277</v>
      </c>
      <c r="AD95" s="12" t="s">
        <v>277</v>
      </c>
      <c r="AE95" s="12" t="s">
        <v>277</v>
      </c>
      <c r="AF95" s="12" t="s">
        <v>277</v>
      </c>
      <c r="AG95" s="12" t="s">
        <v>277</v>
      </c>
      <c r="AH95" s="12" t="s">
        <v>277</v>
      </c>
      <c r="AI95" s="12" t="s">
        <v>277</v>
      </c>
      <c r="AJ95" s="12" t="s">
        <v>277</v>
      </c>
      <c r="AK95" s="12" t="s">
        <v>277</v>
      </c>
      <c r="AL95" s="12" t="s">
        <v>277</v>
      </c>
      <c r="AM95" s="12" t="s">
        <v>277</v>
      </c>
      <c r="AN95" s="12" t="s">
        <v>277</v>
      </c>
      <c r="AO95" s="12" t="s">
        <v>277</v>
      </c>
      <c r="AP95" s="12" t="s">
        <v>277</v>
      </c>
      <c r="AQ95" s="12" t="s">
        <v>277</v>
      </c>
      <c r="AR95" s="12" t="s">
        <v>277</v>
      </c>
      <c r="AS95" s="12" t="s">
        <v>277</v>
      </c>
      <c r="AT95" s="12" t="s">
        <v>277</v>
      </c>
      <c r="AU95" s="12" t="s">
        <v>278</v>
      </c>
      <c r="AV95" s="12" t="s">
        <v>278</v>
      </c>
      <c r="AW95" s="12" t="s">
        <v>278</v>
      </c>
      <c r="AX95" s="12" t="s">
        <v>278</v>
      </c>
      <c r="AY95" s="12" t="s">
        <v>322</v>
      </c>
      <c r="AZ95" s="12" t="s">
        <v>322</v>
      </c>
      <c r="BA95" s="12" t="s">
        <v>322</v>
      </c>
      <c r="BB95" s="12" t="s">
        <v>322</v>
      </c>
      <c r="BC95" s="12" t="s">
        <v>322</v>
      </c>
      <c r="BD95" s="12" t="s">
        <v>371</v>
      </c>
      <c r="BE95" s="12" t="s">
        <v>460</v>
      </c>
      <c r="BF95" s="12" t="s">
        <v>282</v>
      </c>
      <c r="BG95" s="12" t="s">
        <v>507</v>
      </c>
      <c r="BH95" s="12" t="s">
        <v>671</v>
      </c>
      <c r="BI95" s="12" t="s">
        <v>1112</v>
      </c>
      <c r="BJ95" s="12" t="s">
        <v>674</v>
      </c>
      <c r="BK95" s="12" t="s">
        <v>555</v>
      </c>
      <c r="BL95" s="12" t="s">
        <v>570</v>
      </c>
      <c r="BM95" s="12" t="s">
        <v>510</v>
      </c>
      <c r="BN95" s="12" t="s">
        <v>1199</v>
      </c>
      <c r="BO95" s="12" t="s">
        <v>679</v>
      </c>
      <c r="BP95" s="12" t="s">
        <v>960</v>
      </c>
      <c r="BQ95" s="12" t="s">
        <v>724</v>
      </c>
      <c r="BR95" s="12" t="s">
        <v>619</v>
      </c>
      <c r="BS95" s="12" t="s">
        <v>1321</v>
      </c>
      <c r="BT95" s="12" t="s">
        <v>1431</v>
      </c>
      <c r="BU95" s="12" t="s">
        <v>1384</v>
      </c>
      <c r="BV95" s="12" t="s">
        <v>681</v>
      </c>
      <c r="BW95" s="12" t="s">
        <v>1214</v>
      </c>
      <c r="BX95" s="12" t="s">
        <v>1229</v>
      </c>
      <c r="BY95" s="12" t="s">
        <v>1432</v>
      </c>
      <c r="BZ95" s="12" t="s">
        <v>1267</v>
      </c>
      <c r="CA95" s="12" t="s">
        <v>1267</v>
      </c>
      <c r="CB95" s="12" t="s">
        <v>962</v>
      </c>
      <c r="CC95" s="12" t="s">
        <v>620</v>
      </c>
      <c r="CD95" s="12" t="s">
        <v>620</v>
      </c>
      <c r="CE95" s="12" t="s">
        <v>620</v>
      </c>
      <c r="CF95" s="12" t="s">
        <v>620</v>
      </c>
      <c r="CG95" s="12" t="s">
        <v>620</v>
      </c>
      <c r="CH95" s="12" t="s">
        <v>620</v>
      </c>
      <c r="CI95" s="12" t="s">
        <v>620</v>
      </c>
      <c r="CJ95" s="12" t="s">
        <v>620</v>
      </c>
      <c r="CK95" s="12" t="s">
        <v>620</v>
      </c>
      <c r="CL95" s="12" t="s">
        <v>620</v>
      </c>
      <c r="CM95" s="12" t="s">
        <v>620</v>
      </c>
      <c r="CN95" s="12" t="s">
        <v>620</v>
      </c>
      <c r="CO95" s="12" t="s">
        <v>1230</v>
      </c>
      <c r="CP95" s="12" t="s">
        <v>1230</v>
      </c>
      <c r="CQ95" s="12" t="s">
        <v>1230</v>
      </c>
      <c r="CR95" s="12" t="s">
        <v>1230</v>
      </c>
      <c r="CS95" s="12" t="s">
        <v>1061</v>
      </c>
      <c r="CT95" s="12" t="s">
        <v>1061</v>
      </c>
      <c r="CU95" s="12" t="s">
        <v>1061</v>
      </c>
      <c r="CV95" s="12" t="s">
        <v>1061</v>
      </c>
      <c r="CW95" s="12" t="s">
        <v>1061</v>
      </c>
      <c r="CX95" s="12" t="s">
        <v>1061</v>
      </c>
    </row>
    <row r="96" spans="1:102" hidden="1" x14ac:dyDescent="0.3">
      <c r="A96" s="12" t="s">
        <v>1978</v>
      </c>
      <c r="B96" s="12" t="s">
        <v>1975</v>
      </c>
      <c r="C96" s="12" t="s">
        <v>1979</v>
      </c>
      <c r="D96" s="12" t="s">
        <v>1980</v>
      </c>
      <c r="E96" s="12" t="s">
        <v>277</v>
      </c>
      <c r="F96" s="12" t="s">
        <v>277</v>
      </c>
      <c r="G96" s="12" t="s">
        <v>277</v>
      </c>
      <c r="H96" s="12" t="s">
        <v>277</v>
      </c>
      <c r="I96" s="12" t="s">
        <v>277</v>
      </c>
      <c r="J96" s="12" t="s">
        <v>277</v>
      </c>
      <c r="K96" s="12" t="s">
        <v>277</v>
      </c>
      <c r="L96" s="12" t="s">
        <v>277</v>
      </c>
      <c r="M96" s="12" t="s">
        <v>277</v>
      </c>
      <c r="N96" s="12" t="s">
        <v>277</v>
      </c>
      <c r="O96" s="12" t="s">
        <v>277</v>
      </c>
      <c r="P96" s="12" t="s">
        <v>277</v>
      </c>
      <c r="Q96" s="12" t="s">
        <v>277</v>
      </c>
      <c r="R96" s="12" t="s">
        <v>277</v>
      </c>
      <c r="S96" s="12" t="s">
        <v>277</v>
      </c>
      <c r="T96" s="12" t="s">
        <v>277</v>
      </c>
      <c r="U96" s="12" t="s">
        <v>277</v>
      </c>
      <c r="V96" s="12" t="s">
        <v>277</v>
      </c>
      <c r="W96" s="12" t="s">
        <v>277</v>
      </c>
      <c r="X96" s="12" t="s">
        <v>277</v>
      </c>
      <c r="Y96" s="12" t="s">
        <v>277</v>
      </c>
      <c r="Z96" s="12" t="s">
        <v>277</v>
      </c>
      <c r="AA96" s="12" t="s">
        <v>277</v>
      </c>
      <c r="AB96" s="12" t="s">
        <v>277</v>
      </c>
      <c r="AC96" s="12" t="s">
        <v>277</v>
      </c>
      <c r="AD96" s="12" t="s">
        <v>277</v>
      </c>
      <c r="AE96" s="12" t="s">
        <v>277</v>
      </c>
      <c r="AF96" s="12" t="s">
        <v>277</v>
      </c>
      <c r="AG96" s="12" t="s">
        <v>277</v>
      </c>
      <c r="AH96" s="12" t="s">
        <v>277</v>
      </c>
      <c r="AI96" s="12" t="s">
        <v>277</v>
      </c>
      <c r="AJ96" s="12" t="s">
        <v>277</v>
      </c>
      <c r="AK96" s="12" t="s">
        <v>277</v>
      </c>
      <c r="AL96" s="12" t="s">
        <v>277</v>
      </c>
      <c r="AM96" s="12" t="s">
        <v>277</v>
      </c>
      <c r="AN96" s="12" t="s">
        <v>277</v>
      </c>
      <c r="AO96" s="12" t="s">
        <v>277</v>
      </c>
      <c r="AP96" s="12" t="s">
        <v>277</v>
      </c>
      <c r="AQ96" s="12" t="s">
        <v>277</v>
      </c>
      <c r="AR96" s="12" t="s">
        <v>277</v>
      </c>
      <c r="AS96" s="12" t="s">
        <v>277</v>
      </c>
      <c r="AT96" s="12" t="s">
        <v>277</v>
      </c>
      <c r="AU96" s="12" t="s">
        <v>277</v>
      </c>
      <c r="AV96" s="12" t="s">
        <v>277</v>
      </c>
      <c r="AW96" s="12" t="s">
        <v>277</v>
      </c>
      <c r="AX96" s="12" t="s">
        <v>277</v>
      </c>
      <c r="AY96" s="12" t="s">
        <v>277</v>
      </c>
      <c r="AZ96" s="12" t="s">
        <v>277</v>
      </c>
      <c r="BA96" s="12" t="s">
        <v>277</v>
      </c>
      <c r="BB96" s="12" t="s">
        <v>277</v>
      </c>
      <c r="BC96" s="12" t="s">
        <v>277</v>
      </c>
      <c r="BD96" s="12" t="s">
        <v>277</v>
      </c>
      <c r="BE96" s="12" t="s">
        <v>277</v>
      </c>
      <c r="BF96" s="12" t="s">
        <v>277</v>
      </c>
      <c r="BG96" s="12" t="s">
        <v>278</v>
      </c>
      <c r="BH96" s="12" t="s">
        <v>278</v>
      </c>
      <c r="BI96" s="12" t="s">
        <v>278</v>
      </c>
      <c r="BJ96" s="12" t="s">
        <v>322</v>
      </c>
      <c r="BK96" s="12" t="s">
        <v>322</v>
      </c>
      <c r="BL96" s="12" t="s">
        <v>322</v>
      </c>
      <c r="BM96" s="12" t="s">
        <v>279</v>
      </c>
      <c r="BN96" s="12" t="s">
        <v>279</v>
      </c>
      <c r="BO96" s="12" t="s">
        <v>280</v>
      </c>
      <c r="BP96" s="12" t="s">
        <v>550</v>
      </c>
      <c r="BQ96" s="12" t="s">
        <v>550</v>
      </c>
      <c r="BR96" s="12" t="s">
        <v>323</v>
      </c>
      <c r="BS96" s="12" t="s">
        <v>323</v>
      </c>
      <c r="BT96" s="12" t="s">
        <v>323</v>
      </c>
      <c r="BU96" s="12" t="s">
        <v>323</v>
      </c>
      <c r="BV96" s="12" t="s">
        <v>323</v>
      </c>
      <c r="BW96" s="12" t="s">
        <v>323</v>
      </c>
      <c r="BX96" s="12" t="s">
        <v>323</v>
      </c>
      <c r="BY96" s="12" t="s">
        <v>323</v>
      </c>
      <c r="BZ96" s="12" t="s">
        <v>282</v>
      </c>
      <c r="CA96" s="12" t="s">
        <v>282</v>
      </c>
      <c r="CB96" s="12" t="s">
        <v>282</v>
      </c>
      <c r="CC96" s="12" t="s">
        <v>282</v>
      </c>
      <c r="CD96" s="12" t="s">
        <v>282</v>
      </c>
      <c r="CE96" s="12" t="s">
        <v>282</v>
      </c>
      <c r="CF96" s="12" t="s">
        <v>282</v>
      </c>
      <c r="CG96" s="12" t="s">
        <v>282</v>
      </c>
      <c r="CH96" s="12" t="s">
        <v>282</v>
      </c>
      <c r="CI96" s="12" t="s">
        <v>282</v>
      </c>
      <c r="CJ96" s="12" t="s">
        <v>282</v>
      </c>
      <c r="CK96" s="12" t="s">
        <v>282</v>
      </c>
      <c r="CL96" s="12" t="s">
        <v>282</v>
      </c>
      <c r="CM96" s="12" t="s">
        <v>282</v>
      </c>
      <c r="CN96" s="12" t="s">
        <v>282</v>
      </c>
      <c r="CO96" s="12" t="s">
        <v>282</v>
      </c>
      <c r="CP96" s="12" t="s">
        <v>282</v>
      </c>
      <c r="CQ96" s="12" t="s">
        <v>282</v>
      </c>
      <c r="CR96" s="12" t="s">
        <v>282</v>
      </c>
      <c r="CS96" s="12" t="s">
        <v>282</v>
      </c>
      <c r="CT96" s="12" t="s">
        <v>282</v>
      </c>
      <c r="CU96" s="12" t="s">
        <v>282</v>
      </c>
      <c r="CV96" s="12" t="s">
        <v>282</v>
      </c>
      <c r="CW96" s="12" t="s">
        <v>282</v>
      </c>
      <c r="CX96" s="12" t="s">
        <v>282</v>
      </c>
    </row>
    <row r="97" spans="1:102" hidden="1" x14ac:dyDescent="0.3">
      <c r="A97" s="12" t="s">
        <v>12</v>
      </c>
      <c r="B97" s="12" t="s">
        <v>1975</v>
      </c>
      <c r="C97" s="12" t="s">
        <v>1981</v>
      </c>
      <c r="D97" s="12" t="s">
        <v>1982</v>
      </c>
      <c r="E97" s="12" t="s">
        <v>277</v>
      </c>
      <c r="F97" s="12" t="s">
        <v>277</v>
      </c>
      <c r="G97" s="12" t="s">
        <v>277</v>
      </c>
      <c r="H97" s="12" t="s">
        <v>277</v>
      </c>
      <c r="I97" s="12" t="s">
        <v>277</v>
      </c>
      <c r="J97" s="12" t="s">
        <v>277</v>
      </c>
      <c r="K97" s="12" t="s">
        <v>277</v>
      </c>
      <c r="L97" s="12" t="s">
        <v>277</v>
      </c>
      <c r="M97" s="12" t="s">
        <v>277</v>
      </c>
      <c r="N97" s="12" t="s">
        <v>277</v>
      </c>
      <c r="O97" s="12" t="s">
        <v>277</v>
      </c>
      <c r="P97" s="12" t="s">
        <v>277</v>
      </c>
      <c r="Q97" s="12" t="s">
        <v>277</v>
      </c>
      <c r="R97" s="12" t="s">
        <v>277</v>
      </c>
      <c r="S97" s="12" t="s">
        <v>277</v>
      </c>
      <c r="T97" s="12" t="s">
        <v>277</v>
      </c>
      <c r="U97" s="12" t="s">
        <v>277</v>
      </c>
      <c r="V97" s="12" t="s">
        <v>277</v>
      </c>
      <c r="W97" s="12" t="s">
        <v>277</v>
      </c>
      <c r="X97" s="12" t="s">
        <v>277</v>
      </c>
      <c r="Y97" s="12" t="s">
        <v>277</v>
      </c>
      <c r="Z97" s="12" t="s">
        <v>277</v>
      </c>
      <c r="AA97" s="12" t="s">
        <v>277</v>
      </c>
      <c r="AB97" s="12" t="s">
        <v>277</v>
      </c>
      <c r="AC97" s="12" t="s">
        <v>277</v>
      </c>
      <c r="AD97" s="12" t="s">
        <v>277</v>
      </c>
      <c r="AE97" s="12" t="s">
        <v>277</v>
      </c>
      <c r="AF97" s="12" t="s">
        <v>277</v>
      </c>
      <c r="AG97" s="12" t="s">
        <v>277</v>
      </c>
      <c r="AH97" s="12" t="s">
        <v>277</v>
      </c>
      <c r="AI97" s="12" t="s">
        <v>277</v>
      </c>
      <c r="AJ97" s="12" t="s">
        <v>277</v>
      </c>
      <c r="AK97" s="12" t="s">
        <v>277</v>
      </c>
      <c r="AL97" s="12" t="s">
        <v>277</v>
      </c>
      <c r="AM97" s="12" t="s">
        <v>277</v>
      </c>
      <c r="AN97" s="12" t="s">
        <v>277</v>
      </c>
      <c r="AO97" s="12" t="s">
        <v>278</v>
      </c>
      <c r="AP97" s="12" t="s">
        <v>278</v>
      </c>
      <c r="AQ97" s="12" t="s">
        <v>371</v>
      </c>
      <c r="AR97" s="12" t="s">
        <v>279</v>
      </c>
      <c r="AS97" s="12" t="s">
        <v>279</v>
      </c>
      <c r="AT97" s="12" t="s">
        <v>550</v>
      </c>
      <c r="AU97" s="12" t="s">
        <v>323</v>
      </c>
      <c r="AV97" s="12" t="s">
        <v>323</v>
      </c>
      <c r="AW97" s="12" t="s">
        <v>325</v>
      </c>
      <c r="AX97" s="12" t="s">
        <v>325</v>
      </c>
      <c r="AY97" s="12" t="s">
        <v>616</v>
      </c>
      <c r="AZ97" s="12" t="s">
        <v>381</v>
      </c>
      <c r="BA97" s="12" t="s">
        <v>1192</v>
      </c>
      <c r="BB97" s="12" t="s">
        <v>1397</v>
      </c>
      <c r="BC97" s="12" t="s">
        <v>1983</v>
      </c>
      <c r="BD97" s="12" t="s">
        <v>1880</v>
      </c>
      <c r="BE97" s="12" t="s">
        <v>1225</v>
      </c>
      <c r="BF97" s="12" t="s">
        <v>1984</v>
      </c>
      <c r="BG97" s="12" t="s">
        <v>1563</v>
      </c>
      <c r="BH97" s="12" t="s">
        <v>1985</v>
      </c>
      <c r="BI97" s="12" t="s">
        <v>1986</v>
      </c>
      <c r="BJ97" s="12" t="s">
        <v>1987</v>
      </c>
      <c r="BK97" s="12" t="s">
        <v>1827</v>
      </c>
      <c r="BL97" s="12" t="s">
        <v>1988</v>
      </c>
      <c r="BM97" s="12" t="s">
        <v>1477</v>
      </c>
      <c r="BN97" s="12" t="s">
        <v>1989</v>
      </c>
      <c r="BO97" s="12" t="s">
        <v>1990</v>
      </c>
      <c r="BP97" s="12" t="s">
        <v>1176</v>
      </c>
      <c r="BQ97" s="12" t="s">
        <v>1991</v>
      </c>
      <c r="BR97" s="12" t="s">
        <v>1992</v>
      </c>
      <c r="BS97" s="12" t="s">
        <v>1993</v>
      </c>
      <c r="BT97" s="12" t="s">
        <v>1994</v>
      </c>
      <c r="BU97" s="12" t="s">
        <v>1995</v>
      </c>
      <c r="BV97" s="12" t="s">
        <v>1996</v>
      </c>
      <c r="BW97" s="12" t="s">
        <v>1997</v>
      </c>
      <c r="BX97" s="12" t="s">
        <v>1998</v>
      </c>
      <c r="BY97" s="12" t="s">
        <v>1999</v>
      </c>
      <c r="BZ97" s="12" t="s">
        <v>2000</v>
      </c>
      <c r="CA97" s="12" t="s">
        <v>2001</v>
      </c>
      <c r="CB97" s="12" t="s">
        <v>2002</v>
      </c>
      <c r="CC97" s="12" t="s">
        <v>2003</v>
      </c>
      <c r="CD97" s="12" t="s">
        <v>2004</v>
      </c>
      <c r="CE97" s="12" t="s">
        <v>2005</v>
      </c>
      <c r="CF97" s="12" t="s">
        <v>2006</v>
      </c>
      <c r="CG97" s="12" t="s">
        <v>2007</v>
      </c>
      <c r="CH97" s="12" t="s">
        <v>2008</v>
      </c>
      <c r="CI97" s="12" t="s">
        <v>2009</v>
      </c>
      <c r="CJ97" s="12" t="s">
        <v>2010</v>
      </c>
      <c r="CK97" s="12" t="s">
        <v>2011</v>
      </c>
      <c r="CL97" s="12" t="s">
        <v>2012</v>
      </c>
      <c r="CM97" s="12" t="s">
        <v>2013</v>
      </c>
      <c r="CN97" s="12" t="s">
        <v>2014</v>
      </c>
      <c r="CO97" s="12" t="s">
        <v>2015</v>
      </c>
      <c r="CP97" s="12" t="s">
        <v>2016</v>
      </c>
      <c r="CQ97" s="12" t="s">
        <v>2017</v>
      </c>
      <c r="CR97" s="12" t="s">
        <v>2018</v>
      </c>
      <c r="CS97" s="12" t="s">
        <v>2019</v>
      </c>
      <c r="CT97" s="12" t="s">
        <v>2020</v>
      </c>
      <c r="CU97" s="12" t="s">
        <v>4141</v>
      </c>
      <c r="CV97" s="12" t="s">
        <v>4142</v>
      </c>
      <c r="CW97" s="12" t="s">
        <v>4143</v>
      </c>
      <c r="CX97" s="12" t="s">
        <v>4144</v>
      </c>
    </row>
    <row r="98" spans="1:102" hidden="1" x14ac:dyDescent="0.3">
      <c r="A98" s="12" t="s">
        <v>12</v>
      </c>
      <c r="B98" s="12" t="s">
        <v>2021</v>
      </c>
      <c r="C98" s="12" t="s">
        <v>2022</v>
      </c>
      <c r="D98" s="12" t="s">
        <v>2023</v>
      </c>
      <c r="E98" s="12" t="s">
        <v>277</v>
      </c>
      <c r="F98" s="12" t="s">
        <v>277</v>
      </c>
      <c r="G98" s="12" t="s">
        <v>277</v>
      </c>
      <c r="H98" s="12" t="s">
        <v>277</v>
      </c>
      <c r="I98" s="12" t="s">
        <v>277</v>
      </c>
      <c r="J98" s="12" t="s">
        <v>277</v>
      </c>
      <c r="K98" s="12" t="s">
        <v>277</v>
      </c>
      <c r="L98" s="12" t="s">
        <v>277</v>
      </c>
      <c r="M98" s="12" t="s">
        <v>277</v>
      </c>
      <c r="N98" s="12" t="s">
        <v>277</v>
      </c>
      <c r="O98" s="12" t="s">
        <v>277</v>
      </c>
      <c r="P98" s="12" t="s">
        <v>277</v>
      </c>
      <c r="Q98" s="12" t="s">
        <v>277</v>
      </c>
      <c r="R98" s="12" t="s">
        <v>277</v>
      </c>
      <c r="S98" s="12" t="s">
        <v>277</v>
      </c>
      <c r="T98" s="12" t="s">
        <v>277</v>
      </c>
      <c r="U98" s="12" t="s">
        <v>277</v>
      </c>
      <c r="V98" s="12" t="s">
        <v>277</v>
      </c>
      <c r="W98" s="12" t="s">
        <v>277</v>
      </c>
      <c r="X98" s="12" t="s">
        <v>277</v>
      </c>
      <c r="Y98" s="12" t="s">
        <v>277</v>
      </c>
      <c r="Z98" s="12" t="s">
        <v>277</v>
      </c>
      <c r="AA98" s="12" t="s">
        <v>277</v>
      </c>
      <c r="AB98" s="12" t="s">
        <v>277</v>
      </c>
      <c r="AC98" s="12" t="s">
        <v>277</v>
      </c>
      <c r="AD98" s="12" t="s">
        <v>277</v>
      </c>
      <c r="AE98" s="12" t="s">
        <v>277</v>
      </c>
      <c r="AF98" s="12" t="s">
        <v>277</v>
      </c>
      <c r="AG98" s="12" t="s">
        <v>277</v>
      </c>
      <c r="AH98" s="12" t="s">
        <v>277</v>
      </c>
      <c r="AI98" s="12" t="s">
        <v>277</v>
      </c>
      <c r="AJ98" s="12" t="s">
        <v>277</v>
      </c>
      <c r="AK98" s="12" t="s">
        <v>277</v>
      </c>
      <c r="AL98" s="12" t="s">
        <v>277</v>
      </c>
      <c r="AM98" s="12" t="s">
        <v>277</v>
      </c>
      <c r="AN98" s="12" t="s">
        <v>277</v>
      </c>
      <c r="AO98" s="12" t="s">
        <v>277</v>
      </c>
      <c r="AP98" s="12" t="s">
        <v>277</v>
      </c>
      <c r="AQ98" s="12" t="s">
        <v>277</v>
      </c>
      <c r="AR98" s="12" t="s">
        <v>277</v>
      </c>
      <c r="AS98" s="12" t="s">
        <v>277</v>
      </c>
      <c r="AT98" s="12" t="s">
        <v>277</v>
      </c>
      <c r="AU98" s="12" t="s">
        <v>277</v>
      </c>
      <c r="AV98" s="12" t="s">
        <v>277</v>
      </c>
      <c r="AW98" s="12" t="s">
        <v>277</v>
      </c>
      <c r="AX98" s="12" t="s">
        <v>277</v>
      </c>
      <c r="AY98" s="12" t="s">
        <v>277</v>
      </c>
      <c r="AZ98" s="12" t="s">
        <v>277</v>
      </c>
      <c r="BA98" s="12" t="s">
        <v>277</v>
      </c>
      <c r="BB98" s="12" t="s">
        <v>277</v>
      </c>
      <c r="BC98" s="12" t="s">
        <v>277</v>
      </c>
      <c r="BD98" s="12" t="s">
        <v>277</v>
      </c>
      <c r="BE98" s="12" t="s">
        <v>277</v>
      </c>
      <c r="BF98" s="12" t="s">
        <v>277</v>
      </c>
      <c r="BG98" s="12" t="s">
        <v>277</v>
      </c>
      <c r="BH98" s="12" t="s">
        <v>277</v>
      </c>
      <c r="BI98" s="12" t="s">
        <v>278</v>
      </c>
      <c r="BJ98" s="12" t="s">
        <v>278</v>
      </c>
      <c r="BK98" s="12" t="s">
        <v>278</v>
      </c>
      <c r="BL98" s="12" t="s">
        <v>278</v>
      </c>
      <c r="BM98" s="12" t="s">
        <v>278</v>
      </c>
      <c r="BN98" s="12" t="s">
        <v>371</v>
      </c>
      <c r="BO98" s="12" t="s">
        <v>371</v>
      </c>
      <c r="BP98" s="12" t="s">
        <v>282</v>
      </c>
      <c r="BQ98" s="12" t="s">
        <v>282</v>
      </c>
      <c r="BR98" s="12" t="s">
        <v>324</v>
      </c>
      <c r="BS98" s="12" t="s">
        <v>455</v>
      </c>
      <c r="BT98" s="12" t="s">
        <v>507</v>
      </c>
      <c r="BU98" s="12" t="s">
        <v>507</v>
      </c>
      <c r="BV98" s="12" t="s">
        <v>1716</v>
      </c>
      <c r="BW98" s="12" t="s">
        <v>326</v>
      </c>
      <c r="BX98" s="12" t="s">
        <v>287</v>
      </c>
      <c r="BY98" s="12" t="s">
        <v>690</v>
      </c>
      <c r="BZ98" s="12" t="s">
        <v>653</v>
      </c>
      <c r="CA98" s="12" t="s">
        <v>331</v>
      </c>
      <c r="CB98" s="12" t="s">
        <v>381</v>
      </c>
      <c r="CC98" s="12" t="s">
        <v>381</v>
      </c>
      <c r="CD98" s="12" t="s">
        <v>1055</v>
      </c>
      <c r="CE98" s="12" t="s">
        <v>1055</v>
      </c>
      <c r="CF98" s="12" t="s">
        <v>1512</v>
      </c>
      <c r="CG98" s="12" t="s">
        <v>1061</v>
      </c>
      <c r="CH98" s="12" t="s">
        <v>825</v>
      </c>
      <c r="CI98" s="12" t="s">
        <v>797</v>
      </c>
      <c r="CJ98" s="12" t="s">
        <v>1758</v>
      </c>
      <c r="CK98" s="12" t="s">
        <v>664</v>
      </c>
      <c r="CL98" s="12" t="s">
        <v>1368</v>
      </c>
      <c r="CM98" s="12" t="s">
        <v>2024</v>
      </c>
      <c r="CN98" s="12" t="s">
        <v>2024</v>
      </c>
      <c r="CO98" s="12" t="s">
        <v>1081</v>
      </c>
      <c r="CP98" s="12" t="s">
        <v>1081</v>
      </c>
      <c r="CQ98" s="12" t="s">
        <v>2025</v>
      </c>
      <c r="CR98" s="12" t="s">
        <v>639</v>
      </c>
      <c r="CS98" s="12" t="s">
        <v>391</v>
      </c>
      <c r="CT98" s="12" t="s">
        <v>643</v>
      </c>
      <c r="CU98" s="12" t="s">
        <v>1667</v>
      </c>
      <c r="CV98" s="12" t="s">
        <v>4145</v>
      </c>
      <c r="CW98" s="12" t="s">
        <v>1600</v>
      </c>
      <c r="CX98" s="12" t="s">
        <v>3754</v>
      </c>
    </row>
    <row r="99" spans="1:102" hidden="1" x14ac:dyDescent="0.3">
      <c r="A99" s="12" t="s">
        <v>12</v>
      </c>
      <c r="B99" s="12" t="s">
        <v>2026</v>
      </c>
      <c r="C99" s="12" t="s">
        <v>2027</v>
      </c>
      <c r="D99" s="12" t="s">
        <v>2028</v>
      </c>
      <c r="E99" s="12" t="s">
        <v>277</v>
      </c>
      <c r="F99" s="12" t="s">
        <v>277</v>
      </c>
      <c r="G99" s="12" t="s">
        <v>277</v>
      </c>
      <c r="H99" s="12" t="s">
        <v>277</v>
      </c>
      <c r="I99" s="12" t="s">
        <v>277</v>
      </c>
      <c r="J99" s="12" t="s">
        <v>277</v>
      </c>
      <c r="K99" s="12" t="s">
        <v>277</v>
      </c>
      <c r="L99" s="12" t="s">
        <v>277</v>
      </c>
      <c r="M99" s="12" t="s">
        <v>277</v>
      </c>
      <c r="N99" s="12" t="s">
        <v>277</v>
      </c>
      <c r="O99" s="12" t="s">
        <v>277</v>
      </c>
      <c r="P99" s="12" t="s">
        <v>277</v>
      </c>
      <c r="Q99" s="12" t="s">
        <v>277</v>
      </c>
      <c r="R99" s="12" t="s">
        <v>277</v>
      </c>
      <c r="S99" s="12" t="s">
        <v>277</v>
      </c>
      <c r="T99" s="12" t="s">
        <v>277</v>
      </c>
      <c r="U99" s="12" t="s">
        <v>277</v>
      </c>
      <c r="V99" s="12" t="s">
        <v>277</v>
      </c>
      <c r="W99" s="12" t="s">
        <v>277</v>
      </c>
      <c r="X99" s="12" t="s">
        <v>277</v>
      </c>
      <c r="Y99" s="12" t="s">
        <v>277</v>
      </c>
      <c r="Z99" s="12" t="s">
        <v>277</v>
      </c>
      <c r="AA99" s="12" t="s">
        <v>277</v>
      </c>
      <c r="AB99" s="12" t="s">
        <v>277</v>
      </c>
      <c r="AC99" s="12" t="s">
        <v>277</v>
      </c>
      <c r="AD99" s="12" t="s">
        <v>277</v>
      </c>
      <c r="AE99" s="12" t="s">
        <v>277</v>
      </c>
      <c r="AF99" s="12" t="s">
        <v>277</v>
      </c>
      <c r="AG99" s="12" t="s">
        <v>277</v>
      </c>
      <c r="AH99" s="12" t="s">
        <v>277</v>
      </c>
      <c r="AI99" s="12" t="s">
        <v>277</v>
      </c>
      <c r="AJ99" s="12" t="s">
        <v>277</v>
      </c>
      <c r="AK99" s="12" t="s">
        <v>277</v>
      </c>
      <c r="AL99" s="12" t="s">
        <v>277</v>
      </c>
      <c r="AM99" s="12" t="s">
        <v>277</v>
      </c>
      <c r="AN99" s="12" t="s">
        <v>277</v>
      </c>
      <c r="AO99" s="12" t="s">
        <v>277</v>
      </c>
      <c r="AP99" s="12" t="s">
        <v>277</v>
      </c>
      <c r="AQ99" s="12" t="s">
        <v>277</v>
      </c>
      <c r="AR99" s="12" t="s">
        <v>278</v>
      </c>
      <c r="AS99" s="12" t="s">
        <v>278</v>
      </c>
      <c r="AT99" s="12" t="s">
        <v>278</v>
      </c>
      <c r="AU99" s="12" t="s">
        <v>278</v>
      </c>
      <c r="AV99" s="12" t="s">
        <v>278</v>
      </c>
      <c r="AW99" s="12" t="s">
        <v>322</v>
      </c>
      <c r="AX99" s="12" t="s">
        <v>322</v>
      </c>
      <c r="AY99" s="12" t="s">
        <v>280</v>
      </c>
      <c r="AZ99" s="12" t="s">
        <v>280</v>
      </c>
      <c r="BA99" s="12" t="s">
        <v>280</v>
      </c>
      <c r="BB99" s="12" t="s">
        <v>280</v>
      </c>
      <c r="BC99" s="12" t="s">
        <v>280</v>
      </c>
      <c r="BD99" s="12" t="s">
        <v>280</v>
      </c>
      <c r="BE99" s="12" t="s">
        <v>282</v>
      </c>
      <c r="BF99" s="12" t="s">
        <v>282</v>
      </c>
      <c r="BG99" s="12" t="s">
        <v>282</v>
      </c>
      <c r="BH99" s="12" t="s">
        <v>284</v>
      </c>
      <c r="BI99" s="12" t="s">
        <v>284</v>
      </c>
      <c r="BJ99" s="12" t="s">
        <v>466</v>
      </c>
      <c r="BK99" s="12" t="s">
        <v>674</v>
      </c>
      <c r="BL99" s="12" t="s">
        <v>571</v>
      </c>
      <c r="BM99" s="12" t="s">
        <v>1678</v>
      </c>
      <c r="BN99" s="12" t="s">
        <v>1514</v>
      </c>
      <c r="BO99" s="12" t="s">
        <v>1529</v>
      </c>
      <c r="BP99" s="12" t="s">
        <v>730</v>
      </c>
      <c r="BQ99" s="12" t="s">
        <v>1545</v>
      </c>
      <c r="BR99" s="12" t="s">
        <v>1105</v>
      </c>
      <c r="BS99" s="12" t="s">
        <v>2029</v>
      </c>
      <c r="BT99" s="12" t="s">
        <v>2030</v>
      </c>
      <c r="BU99" s="12" t="s">
        <v>991</v>
      </c>
      <c r="BV99" s="12" t="s">
        <v>2031</v>
      </c>
      <c r="BW99" s="12" t="s">
        <v>2032</v>
      </c>
      <c r="BX99" s="12" t="s">
        <v>2033</v>
      </c>
      <c r="BY99" s="12" t="s">
        <v>2034</v>
      </c>
      <c r="BZ99" s="12" t="s">
        <v>2034</v>
      </c>
      <c r="CA99" s="12" t="s">
        <v>2035</v>
      </c>
      <c r="CB99" s="12" t="s">
        <v>2036</v>
      </c>
      <c r="CC99" s="12" t="s">
        <v>2037</v>
      </c>
      <c r="CD99" s="12" t="s">
        <v>2038</v>
      </c>
      <c r="CE99" s="12" t="s">
        <v>2039</v>
      </c>
      <c r="CF99" s="12" t="s">
        <v>2040</v>
      </c>
      <c r="CG99" s="12" t="s">
        <v>2041</v>
      </c>
      <c r="CH99" s="12" t="s">
        <v>2042</v>
      </c>
      <c r="CI99" s="12" t="s">
        <v>2043</v>
      </c>
      <c r="CJ99" s="12" t="s">
        <v>2044</v>
      </c>
      <c r="CK99" s="12" t="s">
        <v>2045</v>
      </c>
      <c r="CL99" s="12" t="s">
        <v>2046</v>
      </c>
      <c r="CM99" s="12" t="s">
        <v>2047</v>
      </c>
      <c r="CN99" s="12" t="s">
        <v>2048</v>
      </c>
      <c r="CO99" s="12" t="s">
        <v>2049</v>
      </c>
      <c r="CP99" s="12" t="s">
        <v>2050</v>
      </c>
      <c r="CQ99" s="12" t="s">
        <v>2051</v>
      </c>
      <c r="CR99" s="12" t="s">
        <v>2052</v>
      </c>
      <c r="CS99" s="12" t="s">
        <v>2053</v>
      </c>
      <c r="CT99" s="12" t="s">
        <v>2054</v>
      </c>
      <c r="CU99" s="12" t="s">
        <v>4146</v>
      </c>
      <c r="CV99" s="12" t="s">
        <v>4147</v>
      </c>
      <c r="CW99" s="12" t="s">
        <v>4148</v>
      </c>
      <c r="CX99" s="12" t="s">
        <v>4149</v>
      </c>
    </row>
    <row r="100" spans="1:102" hidden="1" x14ac:dyDescent="0.3">
      <c r="A100" s="12" t="s">
        <v>12</v>
      </c>
      <c r="B100" s="12" t="s">
        <v>2055</v>
      </c>
      <c r="C100" s="12" t="s">
        <v>2056</v>
      </c>
      <c r="D100" s="12" t="s">
        <v>2057</v>
      </c>
      <c r="E100" s="12" t="s">
        <v>277</v>
      </c>
      <c r="F100" s="12" t="s">
        <v>277</v>
      </c>
      <c r="G100" s="12" t="s">
        <v>277</v>
      </c>
      <c r="H100" s="12" t="s">
        <v>277</v>
      </c>
      <c r="I100" s="12" t="s">
        <v>277</v>
      </c>
      <c r="J100" s="12" t="s">
        <v>277</v>
      </c>
      <c r="K100" s="12" t="s">
        <v>277</v>
      </c>
      <c r="L100" s="12" t="s">
        <v>277</v>
      </c>
      <c r="M100" s="12" t="s">
        <v>277</v>
      </c>
      <c r="N100" s="12" t="s">
        <v>277</v>
      </c>
      <c r="O100" s="12" t="s">
        <v>277</v>
      </c>
      <c r="P100" s="12" t="s">
        <v>277</v>
      </c>
      <c r="Q100" s="12" t="s">
        <v>277</v>
      </c>
      <c r="R100" s="12" t="s">
        <v>277</v>
      </c>
      <c r="S100" s="12" t="s">
        <v>277</v>
      </c>
      <c r="T100" s="12" t="s">
        <v>277</v>
      </c>
      <c r="U100" s="12" t="s">
        <v>277</v>
      </c>
      <c r="V100" s="12" t="s">
        <v>277</v>
      </c>
      <c r="W100" s="12" t="s">
        <v>277</v>
      </c>
      <c r="X100" s="12" t="s">
        <v>277</v>
      </c>
      <c r="Y100" s="12" t="s">
        <v>277</v>
      </c>
      <c r="Z100" s="12" t="s">
        <v>277</v>
      </c>
      <c r="AA100" s="12" t="s">
        <v>277</v>
      </c>
      <c r="AB100" s="12" t="s">
        <v>277</v>
      </c>
      <c r="AC100" s="12" t="s">
        <v>277</v>
      </c>
      <c r="AD100" s="12" t="s">
        <v>277</v>
      </c>
      <c r="AE100" s="12" t="s">
        <v>277</v>
      </c>
      <c r="AF100" s="12" t="s">
        <v>277</v>
      </c>
      <c r="AG100" s="12" t="s">
        <v>277</v>
      </c>
      <c r="AH100" s="12" t="s">
        <v>277</v>
      </c>
      <c r="AI100" s="12" t="s">
        <v>277</v>
      </c>
      <c r="AJ100" s="12" t="s">
        <v>277</v>
      </c>
      <c r="AK100" s="12" t="s">
        <v>277</v>
      </c>
      <c r="AL100" s="12" t="s">
        <v>277</v>
      </c>
      <c r="AM100" s="12" t="s">
        <v>277</v>
      </c>
      <c r="AN100" s="12" t="s">
        <v>277</v>
      </c>
      <c r="AO100" s="12" t="s">
        <v>277</v>
      </c>
      <c r="AP100" s="12" t="s">
        <v>277</v>
      </c>
      <c r="AQ100" s="12" t="s">
        <v>277</v>
      </c>
      <c r="AR100" s="12" t="s">
        <v>550</v>
      </c>
      <c r="AS100" s="12" t="s">
        <v>550</v>
      </c>
      <c r="AT100" s="12" t="s">
        <v>281</v>
      </c>
      <c r="AU100" s="12" t="s">
        <v>323</v>
      </c>
      <c r="AV100" s="12" t="s">
        <v>567</v>
      </c>
      <c r="AW100" s="12" t="s">
        <v>567</v>
      </c>
      <c r="AX100" s="12" t="s">
        <v>567</v>
      </c>
      <c r="AY100" s="12" t="s">
        <v>455</v>
      </c>
      <c r="AZ100" s="12" t="s">
        <v>461</v>
      </c>
      <c r="BA100" s="12" t="s">
        <v>461</v>
      </c>
      <c r="BB100" s="12" t="s">
        <v>372</v>
      </c>
      <c r="BC100" s="12" t="s">
        <v>372</v>
      </c>
      <c r="BD100" s="12" t="s">
        <v>372</v>
      </c>
      <c r="BE100" s="12" t="s">
        <v>568</v>
      </c>
      <c r="BF100" s="12" t="s">
        <v>568</v>
      </c>
      <c r="BG100" s="12" t="s">
        <v>376</v>
      </c>
      <c r="BH100" s="12" t="s">
        <v>1112</v>
      </c>
      <c r="BI100" s="12" t="s">
        <v>678</v>
      </c>
      <c r="BJ100" s="12" t="s">
        <v>2058</v>
      </c>
      <c r="BK100" s="12" t="s">
        <v>300</v>
      </c>
      <c r="BL100" s="12" t="s">
        <v>735</v>
      </c>
      <c r="BM100" s="12" t="s">
        <v>2059</v>
      </c>
      <c r="BN100" s="12" t="s">
        <v>1564</v>
      </c>
      <c r="BO100" s="12" t="s">
        <v>2060</v>
      </c>
      <c r="BP100" s="12" t="s">
        <v>2061</v>
      </c>
      <c r="BQ100" s="12" t="s">
        <v>2062</v>
      </c>
      <c r="BR100" s="12" t="s">
        <v>2063</v>
      </c>
      <c r="BS100" s="12" t="s">
        <v>2064</v>
      </c>
      <c r="BT100" s="12" t="s">
        <v>1015</v>
      </c>
      <c r="BU100" s="12" t="s">
        <v>2065</v>
      </c>
      <c r="BV100" s="12" t="s">
        <v>2066</v>
      </c>
      <c r="BW100" s="12" t="s">
        <v>2067</v>
      </c>
      <c r="BX100" s="12" t="s">
        <v>2068</v>
      </c>
      <c r="BY100" s="12" t="s">
        <v>2069</v>
      </c>
      <c r="BZ100" s="12" t="s">
        <v>2070</v>
      </c>
      <c r="CA100" s="12" t="s">
        <v>2071</v>
      </c>
      <c r="CB100" s="12" t="s">
        <v>2072</v>
      </c>
      <c r="CC100" s="12" t="s">
        <v>2072</v>
      </c>
      <c r="CD100" s="12" t="s">
        <v>2073</v>
      </c>
      <c r="CE100" s="12" t="s">
        <v>2074</v>
      </c>
      <c r="CF100" s="12" t="s">
        <v>2075</v>
      </c>
      <c r="CG100" s="12" t="s">
        <v>2076</v>
      </c>
      <c r="CH100" s="12" t="s">
        <v>2077</v>
      </c>
      <c r="CI100" s="12" t="s">
        <v>2078</v>
      </c>
      <c r="CJ100" s="12" t="s">
        <v>2079</v>
      </c>
      <c r="CK100" s="12" t="s">
        <v>2080</v>
      </c>
      <c r="CL100" s="12" t="s">
        <v>2081</v>
      </c>
      <c r="CM100" s="12" t="s">
        <v>2082</v>
      </c>
      <c r="CN100" s="12" t="s">
        <v>2083</v>
      </c>
      <c r="CO100" s="12" t="s">
        <v>2084</v>
      </c>
      <c r="CP100" s="12" t="s">
        <v>2085</v>
      </c>
      <c r="CQ100" s="12" t="s">
        <v>2086</v>
      </c>
      <c r="CR100" s="12" t="s">
        <v>2087</v>
      </c>
      <c r="CS100" s="12" t="s">
        <v>2088</v>
      </c>
      <c r="CT100" s="12" t="s">
        <v>2089</v>
      </c>
      <c r="CU100" s="12" t="s">
        <v>2089</v>
      </c>
      <c r="CV100" s="12" t="s">
        <v>2089</v>
      </c>
      <c r="CW100" s="12" t="s">
        <v>4150</v>
      </c>
      <c r="CX100" s="12" t="s">
        <v>4151</v>
      </c>
    </row>
    <row r="101" spans="1:102" hidden="1" x14ac:dyDescent="0.3">
      <c r="A101" s="12" t="s">
        <v>12</v>
      </c>
      <c r="B101" s="12" t="s">
        <v>2090</v>
      </c>
      <c r="C101" s="12" t="s">
        <v>2091</v>
      </c>
      <c r="D101" s="12" t="s">
        <v>2092</v>
      </c>
      <c r="E101" s="12" t="s">
        <v>277</v>
      </c>
      <c r="F101" s="12" t="s">
        <v>277</v>
      </c>
      <c r="G101" s="12" t="s">
        <v>277</v>
      </c>
      <c r="H101" s="12" t="s">
        <v>277</v>
      </c>
      <c r="I101" s="12" t="s">
        <v>277</v>
      </c>
      <c r="J101" s="12" t="s">
        <v>277</v>
      </c>
      <c r="K101" s="12" t="s">
        <v>277</v>
      </c>
      <c r="L101" s="12" t="s">
        <v>277</v>
      </c>
      <c r="M101" s="12" t="s">
        <v>277</v>
      </c>
      <c r="N101" s="12" t="s">
        <v>277</v>
      </c>
      <c r="O101" s="12" t="s">
        <v>277</v>
      </c>
      <c r="P101" s="12" t="s">
        <v>277</v>
      </c>
      <c r="Q101" s="12" t="s">
        <v>277</v>
      </c>
      <c r="R101" s="12" t="s">
        <v>277</v>
      </c>
      <c r="S101" s="12" t="s">
        <v>277</v>
      </c>
      <c r="T101" s="12" t="s">
        <v>277</v>
      </c>
      <c r="U101" s="12" t="s">
        <v>277</v>
      </c>
      <c r="V101" s="12" t="s">
        <v>277</v>
      </c>
      <c r="W101" s="12" t="s">
        <v>277</v>
      </c>
      <c r="X101" s="12" t="s">
        <v>277</v>
      </c>
      <c r="Y101" s="12" t="s">
        <v>277</v>
      </c>
      <c r="Z101" s="12" t="s">
        <v>277</v>
      </c>
      <c r="AA101" s="12" t="s">
        <v>277</v>
      </c>
      <c r="AB101" s="12" t="s">
        <v>278</v>
      </c>
      <c r="AC101" s="12" t="s">
        <v>278</v>
      </c>
      <c r="AD101" s="12" t="s">
        <v>278</v>
      </c>
      <c r="AE101" s="12" t="s">
        <v>278</v>
      </c>
      <c r="AF101" s="12" t="s">
        <v>278</v>
      </c>
      <c r="AG101" s="12" t="s">
        <v>278</v>
      </c>
      <c r="AH101" s="12" t="s">
        <v>278</v>
      </c>
      <c r="AI101" s="12" t="s">
        <v>278</v>
      </c>
      <c r="AJ101" s="12" t="s">
        <v>278</v>
      </c>
      <c r="AK101" s="12" t="s">
        <v>278</v>
      </c>
      <c r="AL101" s="12" t="s">
        <v>278</v>
      </c>
      <c r="AM101" s="12" t="s">
        <v>278</v>
      </c>
      <c r="AN101" s="12" t="s">
        <v>278</v>
      </c>
      <c r="AO101" s="12" t="s">
        <v>278</v>
      </c>
      <c r="AP101" s="12" t="s">
        <v>278</v>
      </c>
      <c r="AQ101" s="12" t="s">
        <v>278</v>
      </c>
      <c r="AR101" s="12" t="s">
        <v>322</v>
      </c>
      <c r="AS101" s="12" t="s">
        <v>322</v>
      </c>
      <c r="AT101" s="12" t="s">
        <v>322</v>
      </c>
      <c r="AU101" s="12" t="s">
        <v>322</v>
      </c>
      <c r="AV101" s="12" t="s">
        <v>371</v>
      </c>
      <c r="AW101" s="12" t="s">
        <v>461</v>
      </c>
      <c r="AX101" s="12" t="s">
        <v>461</v>
      </c>
      <c r="AY101" s="12" t="s">
        <v>690</v>
      </c>
      <c r="AZ101" s="12" t="s">
        <v>330</v>
      </c>
      <c r="BA101" s="12" t="s">
        <v>331</v>
      </c>
      <c r="BB101" s="12" t="s">
        <v>379</v>
      </c>
      <c r="BC101" s="12" t="s">
        <v>654</v>
      </c>
      <c r="BD101" s="12" t="s">
        <v>555</v>
      </c>
      <c r="BE101" s="12" t="s">
        <v>907</v>
      </c>
      <c r="BF101" s="12" t="s">
        <v>291</v>
      </c>
      <c r="BG101" s="12" t="s">
        <v>1512</v>
      </c>
      <c r="BH101" s="12" t="s">
        <v>1835</v>
      </c>
      <c r="BI101" s="12" t="s">
        <v>1835</v>
      </c>
      <c r="BJ101" s="12" t="s">
        <v>827</v>
      </c>
      <c r="BK101" s="12" t="s">
        <v>828</v>
      </c>
      <c r="BL101" s="12" t="s">
        <v>1437</v>
      </c>
      <c r="BM101" s="12" t="s">
        <v>1532</v>
      </c>
      <c r="BN101" s="12" t="s">
        <v>1387</v>
      </c>
      <c r="BO101" s="12" t="s">
        <v>2093</v>
      </c>
      <c r="BP101" s="12" t="s">
        <v>1399</v>
      </c>
      <c r="BQ101" s="12" t="s">
        <v>734</v>
      </c>
      <c r="BR101" s="12" t="s">
        <v>1765</v>
      </c>
      <c r="BS101" s="12" t="s">
        <v>1104</v>
      </c>
      <c r="BT101" s="12" t="s">
        <v>364</v>
      </c>
      <c r="BU101" s="12" t="s">
        <v>627</v>
      </c>
      <c r="BV101" s="12" t="s">
        <v>2094</v>
      </c>
      <c r="BW101" s="12" t="s">
        <v>1370</v>
      </c>
      <c r="BX101" s="12" t="s">
        <v>2095</v>
      </c>
      <c r="BY101" s="12" t="s">
        <v>2096</v>
      </c>
      <c r="BZ101" s="12" t="s">
        <v>2097</v>
      </c>
      <c r="CA101" s="12" t="s">
        <v>2061</v>
      </c>
      <c r="CB101" s="12" t="s">
        <v>1463</v>
      </c>
      <c r="CC101" s="12" t="s">
        <v>1989</v>
      </c>
      <c r="CD101" s="12" t="s">
        <v>2098</v>
      </c>
      <c r="CE101" s="12" t="s">
        <v>2099</v>
      </c>
      <c r="CF101" s="12" t="s">
        <v>2100</v>
      </c>
      <c r="CG101" s="12" t="s">
        <v>2101</v>
      </c>
      <c r="CH101" s="12" t="s">
        <v>2102</v>
      </c>
      <c r="CI101" s="12" t="s">
        <v>2103</v>
      </c>
      <c r="CJ101" s="12" t="s">
        <v>2104</v>
      </c>
      <c r="CK101" s="12" t="s">
        <v>2105</v>
      </c>
      <c r="CL101" s="12" t="s">
        <v>2106</v>
      </c>
      <c r="CM101" s="12" t="s">
        <v>2107</v>
      </c>
      <c r="CN101" s="12" t="s">
        <v>2108</v>
      </c>
      <c r="CO101" s="12" t="s">
        <v>501</v>
      </c>
      <c r="CP101" s="12" t="s">
        <v>2109</v>
      </c>
      <c r="CQ101" s="12" t="s">
        <v>2110</v>
      </c>
      <c r="CR101" s="12" t="s">
        <v>2111</v>
      </c>
      <c r="CS101" s="12" t="s">
        <v>2112</v>
      </c>
      <c r="CT101" s="12" t="s">
        <v>2113</v>
      </c>
      <c r="CU101" s="12" t="s">
        <v>4152</v>
      </c>
      <c r="CV101" s="12" t="s">
        <v>4153</v>
      </c>
      <c r="CW101" s="12" t="s">
        <v>4154</v>
      </c>
      <c r="CX101" s="12" t="s">
        <v>4155</v>
      </c>
    </row>
    <row r="102" spans="1:102" hidden="1" x14ac:dyDescent="0.3">
      <c r="A102" s="12" t="s">
        <v>12</v>
      </c>
      <c r="B102" s="12" t="s">
        <v>2114</v>
      </c>
      <c r="C102" s="12" t="s">
        <v>2115</v>
      </c>
      <c r="D102" s="12" t="s">
        <v>2116</v>
      </c>
      <c r="E102" s="12" t="s">
        <v>277</v>
      </c>
      <c r="F102" s="12" t="s">
        <v>277</v>
      </c>
      <c r="G102" s="12" t="s">
        <v>277</v>
      </c>
      <c r="H102" s="12" t="s">
        <v>277</v>
      </c>
      <c r="I102" s="12" t="s">
        <v>277</v>
      </c>
      <c r="J102" s="12" t="s">
        <v>277</v>
      </c>
      <c r="K102" s="12" t="s">
        <v>277</v>
      </c>
      <c r="L102" s="12" t="s">
        <v>277</v>
      </c>
      <c r="M102" s="12" t="s">
        <v>277</v>
      </c>
      <c r="N102" s="12" t="s">
        <v>277</v>
      </c>
      <c r="O102" s="12" t="s">
        <v>277</v>
      </c>
      <c r="P102" s="12" t="s">
        <v>277</v>
      </c>
      <c r="Q102" s="12" t="s">
        <v>277</v>
      </c>
      <c r="R102" s="12" t="s">
        <v>277</v>
      </c>
      <c r="S102" s="12" t="s">
        <v>277</v>
      </c>
      <c r="T102" s="12" t="s">
        <v>277</v>
      </c>
      <c r="U102" s="12" t="s">
        <v>277</v>
      </c>
      <c r="V102" s="12" t="s">
        <v>277</v>
      </c>
      <c r="W102" s="12" t="s">
        <v>277</v>
      </c>
      <c r="X102" s="12" t="s">
        <v>277</v>
      </c>
      <c r="Y102" s="12" t="s">
        <v>277</v>
      </c>
      <c r="Z102" s="12" t="s">
        <v>277</v>
      </c>
      <c r="AA102" s="12" t="s">
        <v>277</v>
      </c>
      <c r="AB102" s="12" t="s">
        <v>277</v>
      </c>
      <c r="AC102" s="12" t="s">
        <v>277</v>
      </c>
      <c r="AD102" s="12" t="s">
        <v>277</v>
      </c>
      <c r="AE102" s="12" t="s">
        <v>277</v>
      </c>
      <c r="AF102" s="12" t="s">
        <v>277</v>
      </c>
      <c r="AG102" s="12" t="s">
        <v>277</v>
      </c>
      <c r="AH102" s="12" t="s">
        <v>277</v>
      </c>
      <c r="AI102" s="12" t="s">
        <v>277</v>
      </c>
      <c r="AJ102" s="12" t="s">
        <v>277</v>
      </c>
      <c r="AK102" s="12" t="s">
        <v>277</v>
      </c>
      <c r="AL102" s="12" t="s">
        <v>277</v>
      </c>
      <c r="AM102" s="12" t="s">
        <v>277</v>
      </c>
      <c r="AN102" s="12" t="s">
        <v>277</v>
      </c>
      <c r="AO102" s="12" t="s">
        <v>277</v>
      </c>
      <c r="AP102" s="12" t="s">
        <v>277</v>
      </c>
      <c r="AQ102" s="12" t="s">
        <v>277</v>
      </c>
      <c r="AR102" s="12" t="s">
        <v>277</v>
      </c>
      <c r="AS102" s="12" t="s">
        <v>277</v>
      </c>
      <c r="AT102" s="12" t="s">
        <v>277</v>
      </c>
      <c r="AU102" s="12" t="s">
        <v>277</v>
      </c>
      <c r="AV102" s="12" t="s">
        <v>277</v>
      </c>
      <c r="AW102" s="12" t="s">
        <v>277</v>
      </c>
      <c r="AX102" s="12" t="s">
        <v>277</v>
      </c>
      <c r="AY102" s="12" t="s">
        <v>277</v>
      </c>
      <c r="AZ102" s="12" t="s">
        <v>277</v>
      </c>
      <c r="BA102" s="12" t="s">
        <v>277</v>
      </c>
      <c r="BB102" s="12" t="s">
        <v>277</v>
      </c>
      <c r="BC102" s="12" t="s">
        <v>277</v>
      </c>
      <c r="BD102" s="12" t="s">
        <v>277</v>
      </c>
      <c r="BE102" s="12" t="s">
        <v>277</v>
      </c>
      <c r="BF102" s="12" t="s">
        <v>277</v>
      </c>
      <c r="BG102" s="12" t="s">
        <v>277</v>
      </c>
      <c r="BH102" s="12" t="s">
        <v>277</v>
      </c>
      <c r="BI102" s="12" t="s">
        <v>277</v>
      </c>
      <c r="BJ102" s="12" t="s">
        <v>278</v>
      </c>
      <c r="BK102" s="12" t="s">
        <v>278</v>
      </c>
      <c r="BL102" s="12" t="s">
        <v>371</v>
      </c>
      <c r="BM102" s="12" t="s">
        <v>371</v>
      </c>
      <c r="BN102" s="12" t="s">
        <v>371</v>
      </c>
      <c r="BO102" s="12" t="s">
        <v>280</v>
      </c>
      <c r="BP102" s="12" t="s">
        <v>460</v>
      </c>
      <c r="BQ102" s="12" t="s">
        <v>567</v>
      </c>
      <c r="BR102" s="12" t="s">
        <v>567</v>
      </c>
      <c r="BS102" s="12" t="s">
        <v>373</v>
      </c>
      <c r="BT102" s="12" t="s">
        <v>286</v>
      </c>
      <c r="BU102" s="12" t="s">
        <v>1716</v>
      </c>
      <c r="BV102" s="12" t="s">
        <v>551</v>
      </c>
      <c r="BW102" s="12" t="s">
        <v>551</v>
      </c>
      <c r="BX102" s="12" t="s">
        <v>745</v>
      </c>
      <c r="BY102" s="12" t="s">
        <v>617</v>
      </c>
      <c r="BZ102" s="12" t="s">
        <v>468</v>
      </c>
      <c r="CA102" s="12" t="s">
        <v>552</v>
      </c>
      <c r="CB102" s="12" t="s">
        <v>673</v>
      </c>
      <c r="CC102" s="12" t="s">
        <v>509</v>
      </c>
      <c r="CD102" s="12" t="s">
        <v>557</v>
      </c>
      <c r="CE102" s="12" t="s">
        <v>561</v>
      </c>
      <c r="CF102" s="12" t="s">
        <v>1116</v>
      </c>
      <c r="CG102" s="12" t="s">
        <v>1199</v>
      </c>
      <c r="CH102" s="12" t="s">
        <v>1449</v>
      </c>
      <c r="CI102" s="12" t="s">
        <v>1056</v>
      </c>
      <c r="CJ102" s="12" t="s">
        <v>1797</v>
      </c>
      <c r="CK102" s="12" t="s">
        <v>1431</v>
      </c>
      <c r="CL102" s="12" t="s">
        <v>423</v>
      </c>
      <c r="CM102" s="12" t="s">
        <v>1229</v>
      </c>
      <c r="CN102" s="12" t="s">
        <v>1536</v>
      </c>
      <c r="CO102" s="12" t="s">
        <v>383</v>
      </c>
      <c r="CP102" s="12" t="s">
        <v>862</v>
      </c>
      <c r="CQ102" s="12" t="s">
        <v>1727</v>
      </c>
      <c r="CR102" s="12" t="s">
        <v>295</v>
      </c>
      <c r="CS102" s="12" t="s">
        <v>1188</v>
      </c>
      <c r="CT102" s="12" t="s">
        <v>1385</v>
      </c>
      <c r="CU102" s="12" t="s">
        <v>1385</v>
      </c>
      <c r="CV102" s="12" t="s">
        <v>797</v>
      </c>
      <c r="CW102" s="12" t="s">
        <v>980</v>
      </c>
      <c r="CX102" s="12" t="s">
        <v>1096</v>
      </c>
    </row>
    <row r="103" spans="1:102" hidden="1" x14ac:dyDescent="0.3">
      <c r="A103" s="12" t="s">
        <v>12</v>
      </c>
      <c r="B103" s="12" t="s">
        <v>2117</v>
      </c>
      <c r="C103" s="12" t="s">
        <v>2118</v>
      </c>
      <c r="D103" s="12" t="s">
        <v>2119</v>
      </c>
      <c r="E103" s="12" t="s">
        <v>277</v>
      </c>
      <c r="F103" s="12" t="s">
        <v>277</v>
      </c>
      <c r="G103" s="12" t="s">
        <v>277</v>
      </c>
      <c r="H103" s="12" t="s">
        <v>277</v>
      </c>
      <c r="I103" s="12" t="s">
        <v>277</v>
      </c>
      <c r="J103" s="12" t="s">
        <v>277</v>
      </c>
      <c r="K103" s="12" t="s">
        <v>277</v>
      </c>
      <c r="L103" s="12" t="s">
        <v>277</v>
      </c>
      <c r="M103" s="12" t="s">
        <v>277</v>
      </c>
      <c r="N103" s="12" t="s">
        <v>277</v>
      </c>
      <c r="O103" s="12" t="s">
        <v>277</v>
      </c>
      <c r="P103" s="12" t="s">
        <v>277</v>
      </c>
      <c r="Q103" s="12" t="s">
        <v>277</v>
      </c>
      <c r="R103" s="12" t="s">
        <v>277</v>
      </c>
      <c r="S103" s="12" t="s">
        <v>277</v>
      </c>
      <c r="T103" s="12" t="s">
        <v>277</v>
      </c>
      <c r="U103" s="12" t="s">
        <v>277</v>
      </c>
      <c r="V103" s="12" t="s">
        <v>277</v>
      </c>
      <c r="W103" s="12" t="s">
        <v>277</v>
      </c>
      <c r="X103" s="12" t="s">
        <v>277</v>
      </c>
      <c r="Y103" s="12" t="s">
        <v>277</v>
      </c>
      <c r="Z103" s="12" t="s">
        <v>277</v>
      </c>
      <c r="AA103" s="12" t="s">
        <v>277</v>
      </c>
      <c r="AB103" s="12" t="s">
        <v>277</v>
      </c>
      <c r="AC103" s="12" t="s">
        <v>277</v>
      </c>
      <c r="AD103" s="12" t="s">
        <v>277</v>
      </c>
      <c r="AE103" s="12" t="s">
        <v>277</v>
      </c>
      <c r="AF103" s="12" t="s">
        <v>277</v>
      </c>
      <c r="AG103" s="12" t="s">
        <v>277</v>
      </c>
      <c r="AH103" s="12" t="s">
        <v>277</v>
      </c>
      <c r="AI103" s="12" t="s">
        <v>277</v>
      </c>
      <c r="AJ103" s="12" t="s">
        <v>277</v>
      </c>
      <c r="AK103" s="12" t="s">
        <v>277</v>
      </c>
      <c r="AL103" s="12" t="s">
        <v>277</v>
      </c>
      <c r="AM103" s="12" t="s">
        <v>277</v>
      </c>
      <c r="AN103" s="12" t="s">
        <v>277</v>
      </c>
      <c r="AO103" s="12" t="s">
        <v>277</v>
      </c>
      <c r="AP103" s="12" t="s">
        <v>277</v>
      </c>
      <c r="AQ103" s="12" t="s">
        <v>277</v>
      </c>
      <c r="AR103" s="12" t="s">
        <v>277</v>
      </c>
      <c r="AS103" s="12" t="s">
        <v>277</v>
      </c>
      <c r="AT103" s="12" t="s">
        <v>277</v>
      </c>
      <c r="AU103" s="12" t="s">
        <v>277</v>
      </c>
      <c r="AV103" s="12" t="s">
        <v>277</v>
      </c>
      <c r="AW103" s="12" t="s">
        <v>277</v>
      </c>
      <c r="AX103" s="12" t="s">
        <v>277</v>
      </c>
      <c r="AY103" s="12" t="s">
        <v>277</v>
      </c>
      <c r="AZ103" s="12" t="s">
        <v>277</v>
      </c>
      <c r="BA103" s="12" t="s">
        <v>277</v>
      </c>
      <c r="BB103" s="12" t="s">
        <v>277</v>
      </c>
      <c r="BC103" s="12" t="s">
        <v>277</v>
      </c>
      <c r="BD103" s="12" t="s">
        <v>277</v>
      </c>
      <c r="BE103" s="12" t="s">
        <v>277</v>
      </c>
      <c r="BF103" s="12" t="s">
        <v>278</v>
      </c>
      <c r="BG103" s="12" t="s">
        <v>278</v>
      </c>
      <c r="BH103" s="12" t="s">
        <v>278</v>
      </c>
      <c r="BI103" s="12" t="s">
        <v>279</v>
      </c>
      <c r="BJ103" s="12" t="s">
        <v>550</v>
      </c>
      <c r="BK103" s="12" t="s">
        <v>550</v>
      </c>
      <c r="BL103" s="12" t="s">
        <v>550</v>
      </c>
      <c r="BM103" s="12" t="s">
        <v>550</v>
      </c>
      <c r="BN103" s="12" t="s">
        <v>460</v>
      </c>
      <c r="BO103" s="12" t="s">
        <v>460</v>
      </c>
      <c r="BP103" s="12" t="s">
        <v>460</v>
      </c>
      <c r="BQ103" s="12" t="s">
        <v>324</v>
      </c>
      <c r="BR103" s="12" t="s">
        <v>324</v>
      </c>
      <c r="BS103" s="12" t="s">
        <v>324</v>
      </c>
      <c r="BT103" s="12" t="s">
        <v>324</v>
      </c>
      <c r="BU103" s="12" t="s">
        <v>324</v>
      </c>
      <c r="BV103" s="12" t="s">
        <v>324</v>
      </c>
      <c r="BW103" s="12" t="s">
        <v>461</v>
      </c>
      <c r="BX103" s="12" t="s">
        <v>461</v>
      </c>
      <c r="BY103" s="12" t="s">
        <v>283</v>
      </c>
      <c r="BZ103" s="12" t="s">
        <v>283</v>
      </c>
      <c r="CA103" s="12" t="s">
        <v>283</v>
      </c>
      <c r="CB103" s="12" t="s">
        <v>283</v>
      </c>
      <c r="CC103" s="12" t="s">
        <v>283</v>
      </c>
      <c r="CD103" s="12" t="s">
        <v>507</v>
      </c>
      <c r="CE103" s="12" t="s">
        <v>507</v>
      </c>
      <c r="CF103" s="12" t="s">
        <v>507</v>
      </c>
      <c r="CG103" s="12" t="s">
        <v>507</v>
      </c>
      <c r="CH103" s="12" t="s">
        <v>284</v>
      </c>
      <c r="CI103" s="12" t="s">
        <v>284</v>
      </c>
      <c r="CJ103" s="12" t="s">
        <v>745</v>
      </c>
      <c r="CK103" s="12" t="s">
        <v>329</v>
      </c>
      <c r="CL103" s="12" t="s">
        <v>329</v>
      </c>
      <c r="CM103" s="12" t="s">
        <v>470</v>
      </c>
      <c r="CN103" s="12" t="s">
        <v>470</v>
      </c>
      <c r="CO103" s="12" t="s">
        <v>470</v>
      </c>
      <c r="CP103" s="12" t="s">
        <v>470</v>
      </c>
      <c r="CQ103" s="12" t="s">
        <v>1051</v>
      </c>
      <c r="CR103" s="12" t="s">
        <v>289</v>
      </c>
      <c r="CS103" s="12" t="s">
        <v>289</v>
      </c>
      <c r="CT103" s="12" t="s">
        <v>825</v>
      </c>
      <c r="CU103" s="12" t="s">
        <v>979</v>
      </c>
      <c r="CV103" s="12" t="s">
        <v>979</v>
      </c>
      <c r="CW103" s="12" t="s">
        <v>979</v>
      </c>
      <c r="CX103" s="12" t="s">
        <v>1307</v>
      </c>
    </row>
    <row r="104" spans="1:102" hidden="1" x14ac:dyDescent="0.3">
      <c r="A104" s="12" t="s">
        <v>12</v>
      </c>
      <c r="B104" s="12" t="s">
        <v>2120</v>
      </c>
      <c r="C104" s="12" t="s">
        <v>2121</v>
      </c>
      <c r="D104" s="12" t="s">
        <v>2122</v>
      </c>
      <c r="E104" s="12" t="s">
        <v>277</v>
      </c>
      <c r="F104" s="12" t="s">
        <v>277</v>
      </c>
      <c r="G104" s="12" t="s">
        <v>277</v>
      </c>
      <c r="H104" s="12" t="s">
        <v>277</v>
      </c>
      <c r="I104" s="12" t="s">
        <v>277</v>
      </c>
      <c r="J104" s="12" t="s">
        <v>277</v>
      </c>
      <c r="K104" s="12" t="s">
        <v>277</v>
      </c>
      <c r="L104" s="12" t="s">
        <v>277</v>
      </c>
      <c r="M104" s="12" t="s">
        <v>277</v>
      </c>
      <c r="N104" s="12" t="s">
        <v>277</v>
      </c>
      <c r="O104" s="12" t="s">
        <v>277</v>
      </c>
      <c r="P104" s="12" t="s">
        <v>277</v>
      </c>
      <c r="Q104" s="12" t="s">
        <v>277</v>
      </c>
      <c r="R104" s="12" t="s">
        <v>277</v>
      </c>
      <c r="S104" s="12" t="s">
        <v>277</v>
      </c>
      <c r="T104" s="12" t="s">
        <v>277</v>
      </c>
      <c r="U104" s="12" t="s">
        <v>277</v>
      </c>
      <c r="V104" s="12" t="s">
        <v>277</v>
      </c>
      <c r="W104" s="12" t="s">
        <v>277</v>
      </c>
      <c r="X104" s="12" t="s">
        <v>277</v>
      </c>
      <c r="Y104" s="12" t="s">
        <v>277</v>
      </c>
      <c r="Z104" s="12" t="s">
        <v>277</v>
      </c>
      <c r="AA104" s="12" t="s">
        <v>277</v>
      </c>
      <c r="AB104" s="12" t="s">
        <v>277</v>
      </c>
      <c r="AC104" s="12" t="s">
        <v>277</v>
      </c>
      <c r="AD104" s="12" t="s">
        <v>277</v>
      </c>
      <c r="AE104" s="12" t="s">
        <v>277</v>
      </c>
      <c r="AF104" s="12" t="s">
        <v>277</v>
      </c>
      <c r="AG104" s="12" t="s">
        <v>277</v>
      </c>
      <c r="AH104" s="12" t="s">
        <v>277</v>
      </c>
      <c r="AI104" s="12" t="s">
        <v>277</v>
      </c>
      <c r="AJ104" s="12" t="s">
        <v>277</v>
      </c>
      <c r="AK104" s="12" t="s">
        <v>277</v>
      </c>
      <c r="AL104" s="12" t="s">
        <v>277</v>
      </c>
      <c r="AM104" s="12" t="s">
        <v>277</v>
      </c>
      <c r="AN104" s="12" t="s">
        <v>277</v>
      </c>
      <c r="AO104" s="12" t="s">
        <v>277</v>
      </c>
      <c r="AP104" s="12" t="s">
        <v>277</v>
      </c>
      <c r="AQ104" s="12" t="s">
        <v>277</v>
      </c>
      <c r="AR104" s="12" t="s">
        <v>277</v>
      </c>
      <c r="AS104" s="12" t="s">
        <v>277</v>
      </c>
      <c r="AT104" s="12" t="s">
        <v>277</v>
      </c>
      <c r="AU104" s="12" t="s">
        <v>277</v>
      </c>
      <c r="AV104" s="12" t="s">
        <v>277</v>
      </c>
      <c r="AW104" s="12" t="s">
        <v>277</v>
      </c>
      <c r="AX104" s="12" t="s">
        <v>277</v>
      </c>
      <c r="AY104" s="12" t="s">
        <v>277</v>
      </c>
      <c r="AZ104" s="12" t="s">
        <v>277</v>
      </c>
      <c r="BA104" s="12" t="s">
        <v>277</v>
      </c>
      <c r="BB104" s="12" t="s">
        <v>277</v>
      </c>
      <c r="BC104" s="12" t="s">
        <v>277</v>
      </c>
      <c r="BD104" s="12" t="s">
        <v>277</v>
      </c>
      <c r="BE104" s="12" t="s">
        <v>277</v>
      </c>
      <c r="BF104" s="12" t="s">
        <v>277</v>
      </c>
      <c r="BG104" s="12" t="s">
        <v>277</v>
      </c>
      <c r="BH104" s="12" t="s">
        <v>277</v>
      </c>
      <c r="BI104" s="12" t="s">
        <v>277</v>
      </c>
      <c r="BJ104" s="12" t="s">
        <v>277</v>
      </c>
      <c r="BK104" s="12" t="s">
        <v>277</v>
      </c>
      <c r="BL104" s="12" t="s">
        <v>278</v>
      </c>
      <c r="BM104" s="12" t="s">
        <v>278</v>
      </c>
      <c r="BN104" s="12" t="s">
        <v>278</v>
      </c>
      <c r="BO104" s="12" t="s">
        <v>278</v>
      </c>
      <c r="BP104" s="12" t="s">
        <v>279</v>
      </c>
      <c r="BQ104" s="12" t="s">
        <v>550</v>
      </c>
      <c r="BR104" s="12" t="s">
        <v>550</v>
      </c>
      <c r="BS104" s="12" t="s">
        <v>550</v>
      </c>
      <c r="BT104" s="12" t="s">
        <v>324</v>
      </c>
      <c r="BU104" s="12" t="s">
        <v>324</v>
      </c>
      <c r="BV104" s="12" t="s">
        <v>461</v>
      </c>
      <c r="BW104" s="12" t="s">
        <v>461</v>
      </c>
      <c r="BX104" s="12" t="s">
        <v>285</v>
      </c>
      <c r="BY104" s="12" t="s">
        <v>285</v>
      </c>
      <c r="BZ104" s="12" t="s">
        <v>652</v>
      </c>
      <c r="CA104" s="12" t="s">
        <v>652</v>
      </c>
      <c r="CB104" s="12" t="s">
        <v>465</v>
      </c>
      <c r="CC104" s="12" t="s">
        <v>465</v>
      </c>
      <c r="CD104" s="12" t="s">
        <v>326</v>
      </c>
      <c r="CE104" s="12" t="s">
        <v>326</v>
      </c>
      <c r="CF104" s="12" t="s">
        <v>466</v>
      </c>
      <c r="CG104" s="12" t="s">
        <v>466</v>
      </c>
      <c r="CH104" s="12" t="s">
        <v>466</v>
      </c>
      <c r="CI104" s="12" t="s">
        <v>466</v>
      </c>
      <c r="CJ104" s="12" t="s">
        <v>466</v>
      </c>
      <c r="CK104" s="12" t="s">
        <v>616</v>
      </c>
      <c r="CL104" s="12" t="s">
        <v>616</v>
      </c>
      <c r="CM104" s="12" t="s">
        <v>616</v>
      </c>
      <c r="CN104" s="12" t="s">
        <v>417</v>
      </c>
      <c r="CO104" s="12" t="s">
        <v>417</v>
      </c>
      <c r="CP104" s="12" t="s">
        <v>417</v>
      </c>
      <c r="CQ104" s="12" t="s">
        <v>417</v>
      </c>
      <c r="CR104" s="12" t="s">
        <v>417</v>
      </c>
      <c r="CS104" s="12" t="s">
        <v>417</v>
      </c>
      <c r="CT104" s="12" t="s">
        <v>417</v>
      </c>
      <c r="CU104" s="12" t="s">
        <v>417</v>
      </c>
      <c r="CV104" s="12" t="s">
        <v>417</v>
      </c>
      <c r="CW104" s="12" t="s">
        <v>417</v>
      </c>
      <c r="CX104" s="12" t="s">
        <v>417</v>
      </c>
    </row>
    <row r="105" spans="1:102" hidden="1" x14ac:dyDescent="0.3">
      <c r="A105" s="12" t="s">
        <v>12</v>
      </c>
      <c r="B105" s="12" t="s">
        <v>2123</v>
      </c>
      <c r="C105" s="12" t="s">
        <v>2124</v>
      </c>
      <c r="D105" s="12" t="s">
        <v>2125</v>
      </c>
      <c r="E105" s="12" t="s">
        <v>277</v>
      </c>
      <c r="F105" s="12" t="s">
        <v>277</v>
      </c>
      <c r="G105" s="12" t="s">
        <v>277</v>
      </c>
      <c r="H105" s="12" t="s">
        <v>277</v>
      </c>
      <c r="I105" s="12" t="s">
        <v>277</v>
      </c>
      <c r="J105" s="12" t="s">
        <v>277</v>
      </c>
      <c r="K105" s="12" t="s">
        <v>277</v>
      </c>
      <c r="L105" s="12" t="s">
        <v>277</v>
      </c>
      <c r="M105" s="12" t="s">
        <v>277</v>
      </c>
      <c r="N105" s="12" t="s">
        <v>277</v>
      </c>
      <c r="O105" s="12" t="s">
        <v>277</v>
      </c>
      <c r="P105" s="12" t="s">
        <v>277</v>
      </c>
      <c r="Q105" s="12" t="s">
        <v>277</v>
      </c>
      <c r="R105" s="12" t="s">
        <v>277</v>
      </c>
      <c r="S105" s="12" t="s">
        <v>277</v>
      </c>
      <c r="T105" s="12" t="s">
        <v>277</v>
      </c>
      <c r="U105" s="12" t="s">
        <v>277</v>
      </c>
      <c r="V105" s="12" t="s">
        <v>277</v>
      </c>
      <c r="W105" s="12" t="s">
        <v>277</v>
      </c>
      <c r="X105" s="12" t="s">
        <v>277</v>
      </c>
      <c r="Y105" s="12" t="s">
        <v>277</v>
      </c>
      <c r="Z105" s="12" t="s">
        <v>277</v>
      </c>
      <c r="AA105" s="12" t="s">
        <v>277</v>
      </c>
      <c r="AB105" s="12" t="s">
        <v>277</v>
      </c>
      <c r="AC105" s="12" t="s">
        <v>277</v>
      </c>
      <c r="AD105" s="12" t="s">
        <v>277</v>
      </c>
      <c r="AE105" s="12" t="s">
        <v>277</v>
      </c>
      <c r="AF105" s="12" t="s">
        <v>277</v>
      </c>
      <c r="AG105" s="12" t="s">
        <v>277</v>
      </c>
      <c r="AH105" s="12" t="s">
        <v>277</v>
      </c>
      <c r="AI105" s="12" t="s">
        <v>277</v>
      </c>
      <c r="AJ105" s="12" t="s">
        <v>277</v>
      </c>
      <c r="AK105" s="12" t="s">
        <v>277</v>
      </c>
      <c r="AL105" s="12" t="s">
        <v>277</v>
      </c>
      <c r="AM105" s="12" t="s">
        <v>277</v>
      </c>
      <c r="AN105" s="12" t="s">
        <v>277</v>
      </c>
      <c r="AO105" s="12" t="s">
        <v>278</v>
      </c>
      <c r="AP105" s="12" t="s">
        <v>278</v>
      </c>
      <c r="AQ105" s="12" t="s">
        <v>278</v>
      </c>
      <c r="AR105" s="12" t="s">
        <v>278</v>
      </c>
      <c r="AS105" s="12" t="s">
        <v>278</v>
      </c>
      <c r="AT105" s="12" t="s">
        <v>322</v>
      </c>
      <c r="AU105" s="12" t="s">
        <v>322</v>
      </c>
      <c r="AV105" s="12" t="s">
        <v>371</v>
      </c>
      <c r="AW105" s="12" t="s">
        <v>323</v>
      </c>
      <c r="AX105" s="12" t="s">
        <v>323</v>
      </c>
      <c r="AY105" s="12" t="s">
        <v>323</v>
      </c>
      <c r="AZ105" s="12" t="s">
        <v>323</v>
      </c>
      <c r="BA105" s="12" t="s">
        <v>324</v>
      </c>
      <c r="BB105" s="12" t="s">
        <v>283</v>
      </c>
      <c r="BC105" s="12" t="s">
        <v>283</v>
      </c>
      <c r="BD105" s="12" t="s">
        <v>470</v>
      </c>
      <c r="BE105" s="12" t="s">
        <v>510</v>
      </c>
      <c r="BF105" s="12" t="s">
        <v>573</v>
      </c>
      <c r="BG105" s="12" t="s">
        <v>685</v>
      </c>
      <c r="BH105" s="12" t="s">
        <v>1727</v>
      </c>
      <c r="BI105" s="12" t="s">
        <v>979</v>
      </c>
      <c r="BJ105" s="12" t="s">
        <v>426</v>
      </c>
      <c r="BK105" s="12" t="s">
        <v>1526</v>
      </c>
      <c r="BL105" s="12" t="s">
        <v>1123</v>
      </c>
      <c r="BM105" s="12" t="s">
        <v>1310</v>
      </c>
      <c r="BN105" s="12" t="s">
        <v>1386</v>
      </c>
      <c r="BO105" s="12" t="s">
        <v>2126</v>
      </c>
      <c r="BP105" s="12" t="s">
        <v>1760</v>
      </c>
      <c r="BQ105" s="12" t="s">
        <v>1766</v>
      </c>
      <c r="BR105" s="12" t="s">
        <v>1425</v>
      </c>
      <c r="BS105" s="12" t="s">
        <v>1690</v>
      </c>
      <c r="BT105" s="12" t="s">
        <v>2127</v>
      </c>
      <c r="BU105" s="12" t="s">
        <v>1933</v>
      </c>
      <c r="BV105" s="12" t="s">
        <v>480</v>
      </c>
      <c r="BW105" s="12" t="s">
        <v>1370</v>
      </c>
      <c r="BX105" s="12" t="s">
        <v>990</v>
      </c>
      <c r="BY105" s="12" t="s">
        <v>2128</v>
      </c>
      <c r="BZ105" s="12" t="s">
        <v>534</v>
      </c>
      <c r="CA105" s="12" t="s">
        <v>1086</v>
      </c>
      <c r="CB105" s="12" t="s">
        <v>2129</v>
      </c>
      <c r="CC105" s="12" t="s">
        <v>2130</v>
      </c>
      <c r="CD105" s="12" t="s">
        <v>2131</v>
      </c>
      <c r="CE105" s="12" t="s">
        <v>2132</v>
      </c>
      <c r="CF105" s="12" t="s">
        <v>1828</v>
      </c>
      <c r="CG105" s="12" t="s">
        <v>2133</v>
      </c>
      <c r="CH105" s="12" t="s">
        <v>1000</v>
      </c>
      <c r="CI105" s="12" t="s">
        <v>753</v>
      </c>
      <c r="CJ105" s="12" t="s">
        <v>809</v>
      </c>
      <c r="CK105" s="12" t="s">
        <v>1478</v>
      </c>
      <c r="CL105" s="12" t="s">
        <v>2134</v>
      </c>
      <c r="CM105" s="12" t="s">
        <v>2135</v>
      </c>
      <c r="CN105" s="12" t="s">
        <v>2136</v>
      </c>
      <c r="CO105" s="12" t="s">
        <v>848</v>
      </c>
      <c r="CP105" s="12" t="s">
        <v>2137</v>
      </c>
      <c r="CQ105" s="12" t="s">
        <v>1498</v>
      </c>
      <c r="CR105" s="12" t="s">
        <v>2138</v>
      </c>
      <c r="CS105" s="12" t="s">
        <v>815</v>
      </c>
      <c r="CT105" s="12" t="s">
        <v>2139</v>
      </c>
      <c r="CU105" s="12" t="s">
        <v>4156</v>
      </c>
      <c r="CV105" s="12" t="s">
        <v>4157</v>
      </c>
      <c r="CW105" s="12" t="s">
        <v>1175</v>
      </c>
      <c r="CX105" s="12" t="s">
        <v>4158</v>
      </c>
    </row>
    <row r="106" spans="1:102" hidden="1" x14ac:dyDescent="0.3">
      <c r="A106" s="12" t="s">
        <v>12</v>
      </c>
      <c r="B106" s="12" t="s">
        <v>2140</v>
      </c>
      <c r="C106" s="12" t="s">
        <v>2141</v>
      </c>
      <c r="D106" s="12" t="s">
        <v>2142</v>
      </c>
      <c r="E106" s="12" t="s">
        <v>277</v>
      </c>
      <c r="F106" s="12" t="s">
        <v>277</v>
      </c>
      <c r="G106" s="12" t="s">
        <v>277</v>
      </c>
      <c r="H106" s="12" t="s">
        <v>277</v>
      </c>
      <c r="I106" s="12" t="s">
        <v>277</v>
      </c>
      <c r="J106" s="12" t="s">
        <v>277</v>
      </c>
      <c r="K106" s="12" t="s">
        <v>277</v>
      </c>
      <c r="L106" s="12" t="s">
        <v>277</v>
      </c>
      <c r="M106" s="12" t="s">
        <v>277</v>
      </c>
      <c r="N106" s="12" t="s">
        <v>277</v>
      </c>
      <c r="O106" s="12" t="s">
        <v>277</v>
      </c>
      <c r="P106" s="12" t="s">
        <v>277</v>
      </c>
      <c r="Q106" s="12" t="s">
        <v>277</v>
      </c>
      <c r="R106" s="12" t="s">
        <v>277</v>
      </c>
      <c r="S106" s="12" t="s">
        <v>277</v>
      </c>
      <c r="T106" s="12" t="s">
        <v>277</v>
      </c>
      <c r="U106" s="12" t="s">
        <v>277</v>
      </c>
      <c r="V106" s="12" t="s">
        <v>277</v>
      </c>
      <c r="W106" s="12" t="s">
        <v>277</v>
      </c>
      <c r="X106" s="12" t="s">
        <v>277</v>
      </c>
      <c r="Y106" s="12" t="s">
        <v>277</v>
      </c>
      <c r="Z106" s="12" t="s">
        <v>277</v>
      </c>
      <c r="AA106" s="12" t="s">
        <v>277</v>
      </c>
      <c r="AB106" s="12" t="s">
        <v>277</v>
      </c>
      <c r="AC106" s="12" t="s">
        <v>277</v>
      </c>
      <c r="AD106" s="12" t="s">
        <v>277</v>
      </c>
      <c r="AE106" s="12" t="s">
        <v>277</v>
      </c>
      <c r="AF106" s="12" t="s">
        <v>277</v>
      </c>
      <c r="AG106" s="12" t="s">
        <v>277</v>
      </c>
      <c r="AH106" s="12" t="s">
        <v>277</v>
      </c>
      <c r="AI106" s="12" t="s">
        <v>277</v>
      </c>
      <c r="AJ106" s="12" t="s">
        <v>277</v>
      </c>
      <c r="AK106" s="12" t="s">
        <v>277</v>
      </c>
      <c r="AL106" s="12" t="s">
        <v>277</v>
      </c>
      <c r="AM106" s="12" t="s">
        <v>277</v>
      </c>
      <c r="AN106" s="12" t="s">
        <v>277</v>
      </c>
      <c r="AO106" s="12" t="s">
        <v>277</v>
      </c>
      <c r="AP106" s="12" t="s">
        <v>277</v>
      </c>
      <c r="AQ106" s="12" t="s">
        <v>277</v>
      </c>
      <c r="AR106" s="12" t="s">
        <v>277</v>
      </c>
      <c r="AS106" s="12" t="s">
        <v>277</v>
      </c>
      <c r="AT106" s="12" t="s">
        <v>277</v>
      </c>
      <c r="AU106" s="12" t="s">
        <v>277</v>
      </c>
      <c r="AV106" s="12" t="s">
        <v>277</v>
      </c>
      <c r="AW106" s="12" t="s">
        <v>277</v>
      </c>
      <c r="AX106" s="12" t="s">
        <v>277</v>
      </c>
      <c r="AY106" s="12" t="s">
        <v>277</v>
      </c>
      <c r="AZ106" s="12" t="s">
        <v>277</v>
      </c>
      <c r="BA106" s="12" t="s">
        <v>277</v>
      </c>
      <c r="BB106" s="12" t="s">
        <v>277</v>
      </c>
      <c r="BC106" s="12" t="s">
        <v>277</v>
      </c>
      <c r="BD106" s="12" t="s">
        <v>277</v>
      </c>
      <c r="BE106" s="12" t="s">
        <v>278</v>
      </c>
      <c r="BF106" s="12" t="s">
        <v>278</v>
      </c>
      <c r="BG106" s="12" t="s">
        <v>278</v>
      </c>
      <c r="BH106" s="12" t="s">
        <v>278</v>
      </c>
      <c r="BI106" s="12" t="s">
        <v>278</v>
      </c>
      <c r="BJ106" s="12" t="s">
        <v>278</v>
      </c>
      <c r="BK106" s="12" t="s">
        <v>278</v>
      </c>
      <c r="BL106" s="12" t="s">
        <v>278</v>
      </c>
      <c r="BM106" s="12" t="s">
        <v>279</v>
      </c>
      <c r="BN106" s="12" t="s">
        <v>279</v>
      </c>
      <c r="BO106" s="12" t="s">
        <v>279</v>
      </c>
      <c r="BP106" s="12" t="s">
        <v>279</v>
      </c>
      <c r="BQ106" s="12" t="s">
        <v>550</v>
      </c>
      <c r="BR106" s="12" t="s">
        <v>460</v>
      </c>
      <c r="BS106" s="12" t="s">
        <v>460</v>
      </c>
      <c r="BT106" s="12" t="s">
        <v>460</v>
      </c>
      <c r="BU106" s="12" t="s">
        <v>460</v>
      </c>
      <c r="BV106" s="12" t="s">
        <v>460</v>
      </c>
      <c r="BW106" s="12" t="s">
        <v>460</v>
      </c>
      <c r="BX106" s="12" t="s">
        <v>460</v>
      </c>
      <c r="BY106" s="12" t="s">
        <v>460</v>
      </c>
      <c r="BZ106" s="12" t="s">
        <v>460</v>
      </c>
      <c r="CA106" s="12" t="s">
        <v>460</v>
      </c>
      <c r="CB106" s="12" t="s">
        <v>323</v>
      </c>
      <c r="CC106" s="12" t="s">
        <v>323</v>
      </c>
      <c r="CD106" s="12" t="s">
        <v>324</v>
      </c>
      <c r="CE106" s="12" t="s">
        <v>324</v>
      </c>
      <c r="CF106" s="12" t="s">
        <v>324</v>
      </c>
      <c r="CG106" s="12" t="s">
        <v>324</v>
      </c>
      <c r="CH106" s="12" t="s">
        <v>455</v>
      </c>
      <c r="CI106" s="12" t="s">
        <v>461</v>
      </c>
      <c r="CJ106" s="12" t="s">
        <v>461</v>
      </c>
      <c r="CK106" s="12" t="s">
        <v>461</v>
      </c>
      <c r="CL106" s="12" t="s">
        <v>283</v>
      </c>
      <c r="CM106" s="12" t="s">
        <v>283</v>
      </c>
      <c r="CN106" s="12" t="s">
        <v>285</v>
      </c>
      <c r="CO106" s="12" t="s">
        <v>285</v>
      </c>
      <c r="CP106" s="12" t="s">
        <v>286</v>
      </c>
      <c r="CQ106" s="12" t="s">
        <v>465</v>
      </c>
      <c r="CR106" s="12" t="s">
        <v>465</v>
      </c>
      <c r="CS106" s="12" t="s">
        <v>465</v>
      </c>
      <c r="CT106" s="12" t="s">
        <v>670</v>
      </c>
      <c r="CU106" s="12" t="s">
        <v>468</v>
      </c>
      <c r="CV106" s="12" t="s">
        <v>331</v>
      </c>
      <c r="CW106" s="12" t="s">
        <v>569</v>
      </c>
      <c r="CX106" s="12" t="s">
        <v>553</v>
      </c>
    </row>
    <row r="107" spans="1:102" hidden="1" x14ac:dyDescent="0.3">
      <c r="A107" s="12" t="s">
        <v>12</v>
      </c>
      <c r="B107" s="12" t="s">
        <v>2143</v>
      </c>
      <c r="C107" s="12" t="s">
        <v>2144</v>
      </c>
      <c r="D107" s="12" t="s">
        <v>2145</v>
      </c>
      <c r="E107" s="12" t="s">
        <v>277</v>
      </c>
      <c r="F107" s="12" t="s">
        <v>277</v>
      </c>
      <c r="G107" s="12" t="s">
        <v>277</v>
      </c>
      <c r="H107" s="12" t="s">
        <v>277</v>
      </c>
      <c r="I107" s="12" t="s">
        <v>277</v>
      </c>
      <c r="J107" s="12" t="s">
        <v>277</v>
      </c>
      <c r="K107" s="12" t="s">
        <v>277</v>
      </c>
      <c r="L107" s="12" t="s">
        <v>277</v>
      </c>
      <c r="M107" s="12" t="s">
        <v>277</v>
      </c>
      <c r="N107" s="12" t="s">
        <v>277</v>
      </c>
      <c r="O107" s="12" t="s">
        <v>277</v>
      </c>
      <c r="P107" s="12" t="s">
        <v>277</v>
      </c>
      <c r="Q107" s="12" t="s">
        <v>277</v>
      </c>
      <c r="R107" s="12" t="s">
        <v>277</v>
      </c>
      <c r="S107" s="12" t="s">
        <v>277</v>
      </c>
      <c r="T107" s="12" t="s">
        <v>277</v>
      </c>
      <c r="U107" s="12" t="s">
        <v>277</v>
      </c>
      <c r="V107" s="12" t="s">
        <v>277</v>
      </c>
      <c r="W107" s="12" t="s">
        <v>277</v>
      </c>
      <c r="X107" s="12" t="s">
        <v>277</v>
      </c>
      <c r="Y107" s="12" t="s">
        <v>277</v>
      </c>
      <c r="Z107" s="12" t="s">
        <v>277</v>
      </c>
      <c r="AA107" s="12" t="s">
        <v>277</v>
      </c>
      <c r="AB107" s="12" t="s">
        <v>277</v>
      </c>
      <c r="AC107" s="12" t="s">
        <v>277</v>
      </c>
      <c r="AD107" s="12" t="s">
        <v>277</v>
      </c>
      <c r="AE107" s="12" t="s">
        <v>277</v>
      </c>
      <c r="AF107" s="12" t="s">
        <v>277</v>
      </c>
      <c r="AG107" s="12" t="s">
        <v>277</v>
      </c>
      <c r="AH107" s="12" t="s">
        <v>277</v>
      </c>
      <c r="AI107" s="12" t="s">
        <v>277</v>
      </c>
      <c r="AJ107" s="12" t="s">
        <v>277</v>
      </c>
      <c r="AK107" s="12" t="s">
        <v>277</v>
      </c>
      <c r="AL107" s="12" t="s">
        <v>277</v>
      </c>
      <c r="AM107" s="12" t="s">
        <v>277</v>
      </c>
      <c r="AN107" s="12" t="s">
        <v>277</v>
      </c>
      <c r="AO107" s="12" t="s">
        <v>277</v>
      </c>
      <c r="AP107" s="12" t="s">
        <v>277</v>
      </c>
      <c r="AQ107" s="12" t="s">
        <v>277</v>
      </c>
      <c r="AR107" s="12" t="s">
        <v>277</v>
      </c>
      <c r="AS107" s="12" t="s">
        <v>277</v>
      </c>
      <c r="AT107" s="12" t="s">
        <v>277</v>
      </c>
      <c r="AU107" s="12" t="s">
        <v>277</v>
      </c>
      <c r="AV107" s="12" t="s">
        <v>277</v>
      </c>
      <c r="AW107" s="12" t="s">
        <v>277</v>
      </c>
      <c r="AX107" s="12" t="s">
        <v>277</v>
      </c>
      <c r="AY107" s="12" t="s">
        <v>277</v>
      </c>
      <c r="AZ107" s="12" t="s">
        <v>277</v>
      </c>
      <c r="BA107" s="12" t="s">
        <v>277</v>
      </c>
      <c r="BB107" s="12" t="s">
        <v>277</v>
      </c>
      <c r="BC107" s="12" t="s">
        <v>277</v>
      </c>
      <c r="BD107" s="12" t="s">
        <v>278</v>
      </c>
      <c r="BE107" s="12" t="s">
        <v>278</v>
      </c>
      <c r="BF107" s="12" t="s">
        <v>278</v>
      </c>
      <c r="BG107" s="12" t="s">
        <v>280</v>
      </c>
      <c r="BH107" s="12" t="s">
        <v>280</v>
      </c>
      <c r="BI107" s="12" t="s">
        <v>550</v>
      </c>
      <c r="BJ107" s="12" t="s">
        <v>550</v>
      </c>
      <c r="BK107" s="12" t="s">
        <v>460</v>
      </c>
      <c r="BL107" s="12" t="s">
        <v>460</v>
      </c>
      <c r="BM107" s="12" t="s">
        <v>282</v>
      </c>
      <c r="BN107" s="12" t="s">
        <v>282</v>
      </c>
      <c r="BO107" s="12" t="s">
        <v>324</v>
      </c>
      <c r="BP107" s="12" t="s">
        <v>324</v>
      </c>
      <c r="BQ107" s="12" t="s">
        <v>324</v>
      </c>
      <c r="BR107" s="12" t="s">
        <v>283</v>
      </c>
      <c r="BS107" s="12" t="s">
        <v>283</v>
      </c>
      <c r="BT107" s="12" t="s">
        <v>284</v>
      </c>
      <c r="BU107" s="12" t="s">
        <v>325</v>
      </c>
      <c r="BV107" s="12" t="s">
        <v>375</v>
      </c>
      <c r="BW107" s="12" t="s">
        <v>652</v>
      </c>
      <c r="BX107" s="12" t="s">
        <v>652</v>
      </c>
      <c r="BY107" s="12" t="s">
        <v>616</v>
      </c>
      <c r="BZ107" s="12" t="s">
        <v>327</v>
      </c>
      <c r="CA107" s="12" t="s">
        <v>958</v>
      </c>
      <c r="CB107" s="12" t="s">
        <v>795</v>
      </c>
      <c r="CC107" s="12" t="s">
        <v>508</v>
      </c>
      <c r="CD107" s="12" t="s">
        <v>330</v>
      </c>
      <c r="CE107" s="12" t="s">
        <v>468</v>
      </c>
      <c r="CF107" s="12" t="s">
        <v>569</v>
      </c>
      <c r="CG107" s="12" t="s">
        <v>673</v>
      </c>
      <c r="CH107" s="12" t="s">
        <v>553</v>
      </c>
      <c r="CI107" s="12" t="s">
        <v>288</v>
      </c>
      <c r="CJ107" s="12" t="s">
        <v>675</v>
      </c>
      <c r="CK107" s="12" t="s">
        <v>823</v>
      </c>
      <c r="CL107" s="12" t="s">
        <v>570</v>
      </c>
      <c r="CM107" s="12" t="s">
        <v>558</v>
      </c>
      <c r="CN107" s="12" t="s">
        <v>563</v>
      </c>
      <c r="CO107" s="12" t="s">
        <v>1197</v>
      </c>
      <c r="CP107" s="12" t="s">
        <v>678</v>
      </c>
      <c r="CQ107" s="12" t="s">
        <v>1052</v>
      </c>
      <c r="CR107" s="12" t="s">
        <v>1198</v>
      </c>
      <c r="CS107" s="12" t="s">
        <v>1198</v>
      </c>
      <c r="CT107" s="12" t="s">
        <v>1116</v>
      </c>
      <c r="CU107" s="12" t="s">
        <v>679</v>
      </c>
      <c r="CV107" s="12" t="s">
        <v>337</v>
      </c>
      <c r="CW107" s="12" t="s">
        <v>1448</v>
      </c>
      <c r="CX107" s="12" t="s">
        <v>975</v>
      </c>
    </row>
    <row r="108" spans="1:102" hidden="1" x14ac:dyDescent="0.3">
      <c r="A108" s="12" t="s">
        <v>12</v>
      </c>
      <c r="B108" s="12" t="s">
        <v>2146</v>
      </c>
      <c r="C108" s="12" t="s">
        <v>2147</v>
      </c>
      <c r="D108" s="12" t="s">
        <v>2148</v>
      </c>
      <c r="E108" s="12" t="s">
        <v>277</v>
      </c>
      <c r="F108" s="12" t="s">
        <v>277</v>
      </c>
      <c r="G108" s="12" t="s">
        <v>277</v>
      </c>
      <c r="H108" s="12" t="s">
        <v>277</v>
      </c>
      <c r="I108" s="12" t="s">
        <v>277</v>
      </c>
      <c r="J108" s="12" t="s">
        <v>277</v>
      </c>
      <c r="K108" s="12" t="s">
        <v>277</v>
      </c>
      <c r="L108" s="12" t="s">
        <v>277</v>
      </c>
      <c r="M108" s="12" t="s">
        <v>277</v>
      </c>
      <c r="N108" s="12" t="s">
        <v>277</v>
      </c>
      <c r="O108" s="12" t="s">
        <v>277</v>
      </c>
      <c r="P108" s="12" t="s">
        <v>277</v>
      </c>
      <c r="Q108" s="12" t="s">
        <v>277</v>
      </c>
      <c r="R108" s="12" t="s">
        <v>277</v>
      </c>
      <c r="S108" s="12" t="s">
        <v>277</v>
      </c>
      <c r="T108" s="12" t="s">
        <v>277</v>
      </c>
      <c r="U108" s="12" t="s">
        <v>277</v>
      </c>
      <c r="V108" s="12" t="s">
        <v>277</v>
      </c>
      <c r="W108" s="12" t="s">
        <v>277</v>
      </c>
      <c r="X108" s="12" t="s">
        <v>277</v>
      </c>
      <c r="Y108" s="12" t="s">
        <v>277</v>
      </c>
      <c r="Z108" s="12" t="s">
        <v>277</v>
      </c>
      <c r="AA108" s="12" t="s">
        <v>277</v>
      </c>
      <c r="AB108" s="12" t="s">
        <v>277</v>
      </c>
      <c r="AC108" s="12" t="s">
        <v>277</v>
      </c>
      <c r="AD108" s="12" t="s">
        <v>277</v>
      </c>
      <c r="AE108" s="12" t="s">
        <v>277</v>
      </c>
      <c r="AF108" s="12" t="s">
        <v>277</v>
      </c>
      <c r="AG108" s="12" t="s">
        <v>277</v>
      </c>
      <c r="AH108" s="12" t="s">
        <v>277</v>
      </c>
      <c r="AI108" s="12" t="s">
        <v>277</v>
      </c>
      <c r="AJ108" s="12" t="s">
        <v>277</v>
      </c>
      <c r="AK108" s="12" t="s">
        <v>277</v>
      </c>
      <c r="AL108" s="12" t="s">
        <v>277</v>
      </c>
      <c r="AM108" s="12" t="s">
        <v>277</v>
      </c>
      <c r="AN108" s="12" t="s">
        <v>277</v>
      </c>
      <c r="AO108" s="12" t="s">
        <v>277</v>
      </c>
      <c r="AP108" s="12" t="s">
        <v>277</v>
      </c>
      <c r="AQ108" s="12" t="s">
        <v>277</v>
      </c>
      <c r="AR108" s="12" t="s">
        <v>277</v>
      </c>
      <c r="AS108" s="12" t="s">
        <v>277</v>
      </c>
      <c r="AT108" s="12" t="s">
        <v>277</v>
      </c>
      <c r="AU108" s="12" t="s">
        <v>277</v>
      </c>
      <c r="AV108" s="12" t="s">
        <v>277</v>
      </c>
      <c r="AW108" s="12" t="s">
        <v>277</v>
      </c>
      <c r="AX108" s="12" t="s">
        <v>277</v>
      </c>
      <c r="AY108" s="12" t="s">
        <v>277</v>
      </c>
      <c r="AZ108" s="12" t="s">
        <v>277</v>
      </c>
      <c r="BA108" s="12" t="s">
        <v>277</v>
      </c>
      <c r="BB108" s="12" t="s">
        <v>277</v>
      </c>
      <c r="BC108" s="12" t="s">
        <v>277</v>
      </c>
      <c r="BD108" s="12" t="s">
        <v>277</v>
      </c>
      <c r="BE108" s="12" t="s">
        <v>277</v>
      </c>
      <c r="BF108" s="12" t="s">
        <v>277</v>
      </c>
      <c r="BG108" s="12" t="s">
        <v>277</v>
      </c>
      <c r="BH108" s="12" t="s">
        <v>277</v>
      </c>
      <c r="BI108" s="12" t="s">
        <v>277</v>
      </c>
      <c r="BJ108" s="12" t="s">
        <v>278</v>
      </c>
      <c r="BK108" s="12" t="s">
        <v>278</v>
      </c>
      <c r="BL108" s="12" t="s">
        <v>278</v>
      </c>
      <c r="BM108" s="12" t="s">
        <v>322</v>
      </c>
      <c r="BN108" s="12" t="s">
        <v>371</v>
      </c>
      <c r="BO108" s="12" t="s">
        <v>279</v>
      </c>
      <c r="BP108" s="12" t="s">
        <v>280</v>
      </c>
      <c r="BQ108" s="12" t="s">
        <v>280</v>
      </c>
      <c r="BR108" s="12" t="s">
        <v>280</v>
      </c>
      <c r="BS108" s="12" t="s">
        <v>280</v>
      </c>
      <c r="BT108" s="12" t="s">
        <v>280</v>
      </c>
      <c r="BU108" s="12" t="s">
        <v>280</v>
      </c>
      <c r="BV108" s="12" t="s">
        <v>280</v>
      </c>
      <c r="BW108" s="12" t="s">
        <v>280</v>
      </c>
      <c r="BX108" s="12" t="s">
        <v>281</v>
      </c>
      <c r="BY108" s="12" t="s">
        <v>281</v>
      </c>
      <c r="BZ108" s="12" t="s">
        <v>324</v>
      </c>
      <c r="CA108" s="12" t="s">
        <v>324</v>
      </c>
      <c r="CB108" s="12" t="s">
        <v>455</v>
      </c>
      <c r="CC108" s="12" t="s">
        <v>461</v>
      </c>
      <c r="CD108" s="12" t="s">
        <v>461</v>
      </c>
      <c r="CE108" s="12" t="s">
        <v>461</v>
      </c>
      <c r="CF108" s="12" t="s">
        <v>283</v>
      </c>
      <c r="CG108" s="12" t="s">
        <v>283</v>
      </c>
      <c r="CH108" s="12" t="s">
        <v>283</v>
      </c>
      <c r="CI108" s="12" t="s">
        <v>283</v>
      </c>
      <c r="CJ108" s="12" t="s">
        <v>283</v>
      </c>
      <c r="CK108" s="12" t="s">
        <v>283</v>
      </c>
      <c r="CL108" s="12" t="s">
        <v>372</v>
      </c>
      <c r="CM108" s="12" t="s">
        <v>372</v>
      </c>
      <c r="CN108" s="12" t="s">
        <v>372</v>
      </c>
      <c r="CO108" s="12" t="s">
        <v>372</v>
      </c>
      <c r="CP108" s="12" t="s">
        <v>507</v>
      </c>
      <c r="CQ108" s="12" t="s">
        <v>507</v>
      </c>
      <c r="CR108" s="12" t="s">
        <v>507</v>
      </c>
      <c r="CS108" s="12" t="s">
        <v>507</v>
      </c>
      <c r="CT108" s="12" t="s">
        <v>507</v>
      </c>
      <c r="CU108" s="12" t="s">
        <v>507</v>
      </c>
      <c r="CV108" s="12" t="s">
        <v>507</v>
      </c>
      <c r="CW108" s="12" t="s">
        <v>507</v>
      </c>
      <c r="CX108" s="12" t="s">
        <v>507</v>
      </c>
    </row>
    <row r="109" spans="1:102" hidden="1" x14ac:dyDescent="0.3">
      <c r="A109" s="12" t="s">
        <v>12</v>
      </c>
      <c r="B109" s="12" t="s">
        <v>2149</v>
      </c>
      <c r="C109" s="12" t="s">
        <v>2150</v>
      </c>
      <c r="D109" s="12" t="s">
        <v>2091</v>
      </c>
      <c r="E109" s="12" t="s">
        <v>277</v>
      </c>
      <c r="F109" s="12" t="s">
        <v>277</v>
      </c>
      <c r="G109" s="12" t="s">
        <v>277</v>
      </c>
      <c r="H109" s="12" t="s">
        <v>277</v>
      </c>
      <c r="I109" s="12" t="s">
        <v>277</v>
      </c>
      <c r="J109" s="12" t="s">
        <v>277</v>
      </c>
      <c r="K109" s="12" t="s">
        <v>277</v>
      </c>
      <c r="L109" s="12" t="s">
        <v>278</v>
      </c>
      <c r="M109" s="12" t="s">
        <v>278</v>
      </c>
      <c r="N109" s="12" t="s">
        <v>278</v>
      </c>
      <c r="O109" s="12" t="s">
        <v>278</v>
      </c>
      <c r="P109" s="12" t="s">
        <v>278</v>
      </c>
      <c r="Q109" s="12" t="s">
        <v>278</v>
      </c>
      <c r="R109" s="12" t="s">
        <v>278</v>
      </c>
      <c r="S109" s="12" t="s">
        <v>278</v>
      </c>
      <c r="T109" s="12" t="s">
        <v>278</v>
      </c>
      <c r="U109" s="12" t="s">
        <v>278</v>
      </c>
      <c r="V109" s="12" t="s">
        <v>278</v>
      </c>
      <c r="W109" s="12" t="s">
        <v>278</v>
      </c>
      <c r="X109" s="12" t="s">
        <v>278</v>
      </c>
      <c r="Y109" s="12" t="s">
        <v>278</v>
      </c>
      <c r="Z109" s="12" t="s">
        <v>278</v>
      </c>
      <c r="AA109" s="12" t="s">
        <v>278</v>
      </c>
      <c r="AB109" s="12" t="s">
        <v>278</v>
      </c>
      <c r="AC109" s="12" t="s">
        <v>278</v>
      </c>
      <c r="AD109" s="12" t="s">
        <v>278</v>
      </c>
      <c r="AE109" s="12" t="s">
        <v>278</v>
      </c>
      <c r="AF109" s="12" t="s">
        <v>278</v>
      </c>
      <c r="AG109" s="12" t="s">
        <v>278</v>
      </c>
      <c r="AH109" s="12" t="s">
        <v>278</v>
      </c>
      <c r="AI109" s="12" t="s">
        <v>278</v>
      </c>
      <c r="AJ109" s="12" t="s">
        <v>278</v>
      </c>
      <c r="AK109" s="12" t="s">
        <v>278</v>
      </c>
      <c r="AL109" s="12" t="s">
        <v>278</v>
      </c>
      <c r="AM109" s="12" t="s">
        <v>278</v>
      </c>
      <c r="AN109" s="12" t="s">
        <v>322</v>
      </c>
      <c r="AO109" s="12" t="s">
        <v>322</v>
      </c>
      <c r="AP109" s="12" t="s">
        <v>322</v>
      </c>
      <c r="AQ109" s="12" t="s">
        <v>371</v>
      </c>
      <c r="AR109" s="12" t="s">
        <v>550</v>
      </c>
      <c r="AS109" s="12" t="s">
        <v>550</v>
      </c>
      <c r="AT109" s="12" t="s">
        <v>550</v>
      </c>
      <c r="AU109" s="12" t="s">
        <v>550</v>
      </c>
      <c r="AV109" s="12" t="s">
        <v>324</v>
      </c>
      <c r="AW109" s="12" t="s">
        <v>461</v>
      </c>
      <c r="AX109" s="12" t="s">
        <v>461</v>
      </c>
      <c r="AY109" s="12" t="s">
        <v>325</v>
      </c>
      <c r="AZ109" s="12" t="s">
        <v>1716</v>
      </c>
      <c r="BA109" s="12" t="s">
        <v>287</v>
      </c>
      <c r="BB109" s="12" t="s">
        <v>331</v>
      </c>
      <c r="BC109" s="12" t="s">
        <v>331</v>
      </c>
      <c r="BD109" s="12" t="s">
        <v>1321</v>
      </c>
      <c r="BE109" s="12" t="s">
        <v>1727</v>
      </c>
      <c r="BF109" s="12" t="s">
        <v>1207</v>
      </c>
      <c r="BG109" s="12" t="s">
        <v>345</v>
      </c>
      <c r="BH109" s="12" t="s">
        <v>1010</v>
      </c>
      <c r="BI109" s="12" t="s">
        <v>1755</v>
      </c>
      <c r="BJ109" s="12" t="s">
        <v>351</v>
      </c>
      <c r="BK109" s="12" t="s">
        <v>2151</v>
      </c>
      <c r="BL109" s="12" t="s">
        <v>1735</v>
      </c>
      <c r="BM109" s="12" t="s">
        <v>1684</v>
      </c>
      <c r="BN109" s="12" t="s">
        <v>839</v>
      </c>
      <c r="BO109" s="12" t="s">
        <v>2152</v>
      </c>
      <c r="BP109" s="12" t="s">
        <v>2153</v>
      </c>
      <c r="BQ109" s="12" t="s">
        <v>2154</v>
      </c>
      <c r="BR109" s="12" t="s">
        <v>2155</v>
      </c>
      <c r="BS109" s="12" t="s">
        <v>997</v>
      </c>
      <c r="BT109" s="12" t="s">
        <v>1824</v>
      </c>
      <c r="BU109" s="12" t="s">
        <v>1471</v>
      </c>
      <c r="BV109" s="12" t="s">
        <v>2156</v>
      </c>
      <c r="BW109" s="12" t="s">
        <v>2157</v>
      </c>
      <c r="BX109" s="12" t="s">
        <v>813</v>
      </c>
      <c r="BY109" s="12" t="s">
        <v>2158</v>
      </c>
      <c r="BZ109" s="12" t="s">
        <v>2159</v>
      </c>
      <c r="CA109" s="12" t="s">
        <v>2160</v>
      </c>
      <c r="CB109" s="12" t="s">
        <v>2161</v>
      </c>
      <c r="CC109" s="12" t="s">
        <v>2162</v>
      </c>
      <c r="CD109" s="12" t="s">
        <v>2163</v>
      </c>
      <c r="CE109" s="12" t="s">
        <v>2164</v>
      </c>
      <c r="CF109" s="12" t="s">
        <v>2165</v>
      </c>
      <c r="CG109" s="12" t="s">
        <v>2166</v>
      </c>
      <c r="CH109" s="12" t="s">
        <v>2167</v>
      </c>
      <c r="CI109" s="12" t="s">
        <v>2168</v>
      </c>
      <c r="CJ109" s="12" t="s">
        <v>2169</v>
      </c>
      <c r="CK109" s="12" t="s">
        <v>2170</v>
      </c>
      <c r="CL109" s="12" t="s">
        <v>2171</v>
      </c>
      <c r="CM109" s="12" t="s">
        <v>2172</v>
      </c>
      <c r="CN109" s="12" t="s">
        <v>2173</v>
      </c>
      <c r="CO109" s="12" t="s">
        <v>2174</v>
      </c>
      <c r="CP109" s="12" t="s">
        <v>2175</v>
      </c>
      <c r="CQ109" s="12" t="s">
        <v>2176</v>
      </c>
      <c r="CR109" s="12" t="s">
        <v>2177</v>
      </c>
      <c r="CS109" s="12" t="s">
        <v>2178</v>
      </c>
      <c r="CT109" s="12" t="s">
        <v>2179</v>
      </c>
      <c r="CU109" s="12" t="s">
        <v>4159</v>
      </c>
      <c r="CV109" s="12" t="s">
        <v>4160</v>
      </c>
      <c r="CW109" s="12" t="s">
        <v>2596</v>
      </c>
      <c r="CX109" s="12" t="s">
        <v>4161</v>
      </c>
    </row>
    <row r="110" spans="1:102" hidden="1" x14ac:dyDescent="0.3">
      <c r="A110" s="12" t="s">
        <v>2180</v>
      </c>
      <c r="B110" s="12" t="s">
        <v>2181</v>
      </c>
      <c r="C110" s="12" t="s">
        <v>2182</v>
      </c>
      <c r="D110" s="12" t="s">
        <v>2183</v>
      </c>
      <c r="E110" s="12" t="s">
        <v>277</v>
      </c>
      <c r="F110" s="12" t="s">
        <v>277</v>
      </c>
      <c r="G110" s="12" t="s">
        <v>277</v>
      </c>
      <c r="H110" s="12" t="s">
        <v>277</v>
      </c>
      <c r="I110" s="12" t="s">
        <v>277</v>
      </c>
      <c r="J110" s="12" t="s">
        <v>277</v>
      </c>
      <c r="K110" s="12" t="s">
        <v>277</v>
      </c>
      <c r="L110" s="12" t="s">
        <v>277</v>
      </c>
      <c r="M110" s="12" t="s">
        <v>277</v>
      </c>
      <c r="N110" s="12" t="s">
        <v>277</v>
      </c>
      <c r="O110" s="12" t="s">
        <v>277</v>
      </c>
      <c r="P110" s="12" t="s">
        <v>277</v>
      </c>
      <c r="Q110" s="12" t="s">
        <v>277</v>
      </c>
      <c r="R110" s="12" t="s">
        <v>277</v>
      </c>
      <c r="S110" s="12" t="s">
        <v>277</v>
      </c>
      <c r="T110" s="12" t="s">
        <v>277</v>
      </c>
      <c r="U110" s="12" t="s">
        <v>277</v>
      </c>
      <c r="V110" s="12" t="s">
        <v>277</v>
      </c>
      <c r="W110" s="12" t="s">
        <v>277</v>
      </c>
      <c r="X110" s="12" t="s">
        <v>277</v>
      </c>
      <c r="Y110" s="12" t="s">
        <v>277</v>
      </c>
      <c r="Z110" s="12" t="s">
        <v>277</v>
      </c>
      <c r="AA110" s="12" t="s">
        <v>277</v>
      </c>
      <c r="AB110" s="12" t="s">
        <v>277</v>
      </c>
      <c r="AC110" s="12" t="s">
        <v>277</v>
      </c>
      <c r="AD110" s="12" t="s">
        <v>277</v>
      </c>
      <c r="AE110" s="12" t="s">
        <v>277</v>
      </c>
      <c r="AF110" s="12" t="s">
        <v>277</v>
      </c>
      <c r="AG110" s="12" t="s">
        <v>277</v>
      </c>
      <c r="AH110" s="12" t="s">
        <v>277</v>
      </c>
      <c r="AI110" s="12" t="s">
        <v>277</v>
      </c>
      <c r="AJ110" s="12" t="s">
        <v>277</v>
      </c>
      <c r="AK110" s="12" t="s">
        <v>277</v>
      </c>
      <c r="AL110" s="12" t="s">
        <v>277</v>
      </c>
      <c r="AM110" s="12" t="s">
        <v>277</v>
      </c>
      <c r="AN110" s="12" t="s">
        <v>277</v>
      </c>
      <c r="AO110" s="12" t="s">
        <v>277</v>
      </c>
      <c r="AP110" s="12" t="s">
        <v>277</v>
      </c>
      <c r="AQ110" s="12" t="s">
        <v>277</v>
      </c>
      <c r="AR110" s="12" t="s">
        <v>277</v>
      </c>
      <c r="AS110" s="12" t="s">
        <v>277</v>
      </c>
      <c r="AT110" s="12" t="s">
        <v>277</v>
      </c>
      <c r="AU110" s="12" t="s">
        <v>277</v>
      </c>
      <c r="AV110" s="12" t="s">
        <v>277</v>
      </c>
      <c r="AW110" s="12" t="s">
        <v>277</v>
      </c>
      <c r="AX110" s="12" t="s">
        <v>280</v>
      </c>
      <c r="AY110" s="12" t="s">
        <v>280</v>
      </c>
      <c r="AZ110" s="12" t="s">
        <v>280</v>
      </c>
      <c r="BA110" s="12" t="s">
        <v>280</v>
      </c>
      <c r="BB110" s="12" t="s">
        <v>280</v>
      </c>
      <c r="BC110" s="12" t="s">
        <v>280</v>
      </c>
      <c r="BD110" s="12" t="s">
        <v>280</v>
      </c>
      <c r="BE110" s="12" t="s">
        <v>280</v>
      </c>
      <c r="BF110" s="12" t="s">
        <v>281</v>
      </c>
      <c r="BG110" s="12" t="s">
        <v>282</v>
      </c>
      <c r="BH110" s="12" t="s">
        <v>282</v>
      </c>
      <c r="BI110" s="12" t="s">
        <v>282</v>
      </c>
      <c r="BJ110" s="12" t="s">
        <v>282</v>
      </c>
      <c r="BK110" s="12" t="s">
        <v>461</v>
      </c>
      <c r="BL110" s="12" t="s">
        <v>507</v>
      </c>
      <c r="BM110" s="12" t="s">
        <v>507</v>
      </c>
      <c r="BN110" s="12" t="s">
        <v>374</v>
      </c>
      <c r="BO110" s="12" t="s">
        <v>325</v>
      </c>
      <c r="BP110" s="12" t="s">
        <v>568</v>
      </c>
      <c r="BQ110" s="12" t="s">
        <v>568</v>
      </c>
      <c r="BR110" s="12" t="s">
        <v>568</v>
      </c>
      <c r="BS110" s="12" t="s">
        <v>568</v>
      </c>
      <c r="BT110" s="12" t="s">
        <v>568</v>
      </c>
      <c r="BU110" s="12" t="s">
        <v>958</v>
      </c>
      <c r="BV110" s="12" t="s">
        <v>958</v>
      </c>
      <c r="BW110" s="12" t="s">
        <v>329</v>
      </c>
      <c r="BX110" s="12" t="s">
        <v>329</v>
      </c>
      <c r="BY110" s="12" t="s">
        <v>691</v>
      </c>
      <c r="BZ110" s="12" t="s">
        <v>618</v>
      </c>
      <c r="CA110" s="12" t="s">
        <v>618</v>
      </c>
      <c r="CB110" s="12" t="s">
        <v>674</v>
      </c>
      <c r="CC110" s="12" t="s">
        <v>674</v>
      </c>
      <c r="CD110" s="12" t="s">
        <v>554</v>
      </c>
      <c r="CE110" s="12" t="s">
        <v>1051</v>
      </c>
      <c r="CF110" s="12" t="s">
        <v>1051</v>
      </c>
      <c r="CG110" s="12" t="s">
        <v>1051</v>
      </c>
      <c r="CH110" s="12" t="s">
        <v>676</v>
      </c>
      <c r="CI110" s="12" t="s">
        <v>676</v>
      </c>
      <c r="CJ110" s="12" t="s">
        <v>676</v>
      </c>
      <c r="CK110" s="12" t="s">
        <v>676</v>
      </c>
      <c r="CL110" s="12" t="s">
        <v>676</v>
      </c>
      <c r="CM110" s="12" t="s">
        <v>558</v>
      </c>
      <c r="CN110" s="12" t="s">
        <v>558</v>
      </c>
      <c r="CO110" s="12" t="s">
        <v>558</v>
      </c>
      <c r="CP110" s="12" t="s">
        <v>471</v>
      </c>
      <c r="CQ110" s="12" t="s">
        <v>471</v>
      </c>
      <c r="CR110" s="12" t="s">
        <v>471</v>
      </c>
      <c r="CS110" s="12" t="s">
        <v>959</v>
      </c>
      <c r="CT110" s="12" t="s">
        <v>678</v>
      </c>
      <c r="CU110" s="12" t="s">
        <v>678</v>
      </c>
      <c r="CV110" s="12" t="s">
        <v>678</v>
      </c>
      <c r="CW110" s="12" t="s">
        <v>678</v>
      </c>
      <c r="CX110" s="12" t="s">
        <v>1449</v>
      </c>
    </row>
    <row r="111" spans="1:102" hidden="1" x14ac:dyDescent="0.3">
      <c r="A111" s="12" t="s">
        <v>2184</v>
      </c>
      <c r="B111" s="12" t="s">
        <v>2181</v>
      </c>
      <c r="C111" s="12" t="s">
        <v>2185</v>
      </c>
      <c r="D111" s="12" t="s">
        <v>2186</v>
      </c>
      <c r="E111" s="12" t="s">
        <v>277</v>
      </c>
      <c r="F111" s="12" t="s">
        <v>277</v>
      </c>
      <c r="G111" s="12" t="s">
        <v>277</v>
      </c>
      <c r="H111" s="12" t="s">
        <v>277</v>
      </c>
      <c r="I111" s="12" t="s">
        <v>277</v>
      </c>
      <c r="J111" s="12" t="s">
        <v>277</v>
      </c>
      <c r="K111" s="12" t="s">
        <v>277</v>
      </c>
      <c r="L111" s="12" t="s">
        <v>277</v>
      </c>
      <c r="M111" s="12" t="s">
        <v>277</v>
      </c>
      <c r="N111" s="12" t="s">
        <v>277</v>
      </c>
      <c r="O111" s="12" t="s">
        <v>277</v>
      </c>
      <c r="P111" s="12" t="s">
        <v>277</v>
      </c>
      <c r="Q111" s="12" t="s">
        <v>277</v>
      </c>
      <c r="R111" s="12" t="s">
        <v>277</v>
      </c>
      <c r="S111" s="12" t="s">
        <v>277</v>
      </c>
      <c r="T111" s="12" t="s">
        <v>277</v>
      </c>
      <c r="U111" s="12" t="s">
        <v>277</v>
      </c>
      <c r="V111" s="12" t="s">
        <v>277</v>
      </c>
      <c r="W111" s="12" t="s">
        <v>277</v>
      </c>
      <c r="X111" s="12" t="s">
        <v>277</v>
      </c>
      <c r="Y111" s="12" t="s">
        <v>277</v>
      </c>
      <c r="Z111" s="12" t="s">
        <v>277</v>
      </c>
      <c r="AA111" s="12" t="s">
        <v>277</v>
      </c>
      <c r="AB111" s="12" t="s">
        <v>277</v>
      </c>
      <c r="AC111" s="12" t="s">
        <v>277</v>
      </c>
      <c r="AD111" s="12" t="s">
        <v>277</v>
      </c>
      <c r="AE111" s="12" t="s">
        <v>277</v>
      </c>
      <c r="AF111" s="12" t="s">
        <v>277</v>
      </c>
      <c r="AG111" s="12" t="s">
        <v>277</v>
      </c>
      <c r="AH111" s="12" t="s">
        <v>277</v>
      </c>
      <c r="AI111" s="12" t="s">
        <v>277</v>
      </c>
      <c r="AJ111" s="12" t="s">
        <v>277</v>
      </c>
      <c r="AK111" s="12" t="s">
        <v>277</v>
      </c>
      <c r="AL111" s="12" t="s">
        <v>277</v>
      </c>
      <c r="AM111" s="12" t="s">
        <v>277</v>
      </c>
      <c r="AN111" s="12" t="s">
        <v>277</v>
      </c>
      <c r="AO111" s="12" t="s">
        <v>277</v>
      </c>
      <c r="AP111" s="12" t="s">
        <v>277</v>
      </c>
      <c r="AQ111" s="12" t="s">
        <v>277</v>
      </c>
      <c r="AR111" s="12" t="s">
        <v>277</v>
      </c>
      <c r="AS111" s="12" t="s">
        <v>277</v>
      </c>
      <c r="AT111" s="12" t="s">
        <v>277</v>
      </c>
      <c r="AU111" s="12" t="s">
        <v>277</v>
      </c>
      <c r="AV111" s="12" t="s">
        <v>277</v>
      </c>
      <c r="AW111" s="12" t="s">
        <v>277</v>
      </c>
      <c r="AX111" s="12" t="s">
        <v>277</v>
      </c>
      <c r="AY111" s="12" t="s">
        <v>277</v>
      </c>
      <c r="AZ111" s="12" t="s">
        <v>277</v>
      </c>
      <c r="BA111" s="12" t="s">
        <v>277</v>
      </c>
      <c r="BB111" s="12" t="s">
        <v>277</v>
      </c>
      <c r="BC111" s="12" t="s">
        <v>277</v>
      </c>
      <c r="BD111" s="12" t="s">
        <v>371</v>
      </c>
      <c r="BE111" s="12" t="s">
        <v>371</v>
      </c>
      <c r="BF111" s="12" t="s">
        <v>371</v>
      </c>
      <c r="BG111" s="12" t="s">
        <v>371</v>
      </c>
      <c r="BH111" s="12" t="s">
        <v>371</v>
      </c>
      <c r="BI111" s="12" t="s">
        <v>371</v>
      </c>
      <c r="BJ111" s="12" t="s">
        <v>550</v>
      </c>
      <c r="BK111" s="12" t="s">
        <v>282</v>
      </c>
      <c r="BL111" s="12" t="s">
        <v>461</v>
      </c>
      <c r="BM111" s="12" t="s">
        <v>507</v>
      </c>
      <c r="BN111" s="12" t="s">
        <v>507</v>
      </c>
      <c r="BO111" s="12" t="s">
        <v>456</v>
      </c>
      <c r="BP111" s="12" t="s">
        <v>456</v>
      </c>
      <c r="BQ111" s="12" t="s">
        <v>1716</v>
      </c>
      <c r="BR111" s="12" t="s">
        <v>1716</v>
      </c>
      <c r="BS111" s="12" t="s">
        <v>1716</v>
      </c>
      <c r="BT111" s="12" t="s">
        <v>1716</v>
      </c>
      <c r="BU111" s="12" t="s">
        <v>670</v>
      </c>
      <c r="BV111" s="12" t="s">
        <v>670</v>
      </c>
      <c r="BW111" s="12" t="s">
        <v>376</v>
      </c>
      <c r="BX111" s="12" t="s">
        <v>376</v>
      </c>
      <c r="BY111" s="12" t="s">
        <v>417</v>
      </c>
      <c r="BZ111" s="12" t="s">
        <v>287</v>
      </c>
      <c r="CA111" s="12" t="s">
        <v>745</v>
      </c>
      <c r="CB111" s="12" t="s">
        <v>328</v>
      </c>
      <c r="CC111" s="12" t="s">
        <v>671</v>
      </c>
      <c r="CD111" s="12" t="s">
        <v>329</v>
      </c>
      <c r="CE111" s="12" t="s">
        <v>329</v>
      </c>
      <c r="CF111" s="12" t="s">
        <v>329</v>
      </c>
      <c r="CG111" s="12" t="s">
        <v>329</v>
      </c>
      <c r="CH111" s="12" t="s">
        <v>418</v>
      </c>
      <c r="CI111" s="12" t="s">
        <v>330</v>
      </c>
      <c r="CJ111" s="12" t="s">
        <v>330</v>
      </c>
      <c r="CK111" s="12" t="s">
        <v>330</v>
      </c>
      <c r="CL111" s="12" t="s">
        <v>330</v>
      </c>
      <c r="CM111" s="12" t="s">
        <v>330</v>
      </c>
      <c r="CN111" s="12" t="s">
        <v>330</v>
      </c>
      <c r="CO111" s="12" t="s">
        <v>330</v>
      </c>
      <c r="CP111" s="12" t="s">
        <v>468</v>
      </c>
      <c r="CQ111" s="12" t="s">
        <v>468</v>
      </c>
      <c r="CR111" s="12" t="s">
        <v>691</v>
      </c>
      <c r="CS111" s="12" t="s">
        <v>691</v>
      </c>
      <c r="CT111" s="12" t="s">
        <v>691</v>
      </c>
      <c r="CU111" s="12" t="s">
        <v>691</v>
      </c>
      <c r="CV111" s="12" t="s">
        <v>691</v>
      </c>
      <c r="CW111" s="12" t="s">
        <v>691</v>
      </c>
      <c r="CX111" s="12" t="s">
        <v>1112</v>
      </c>
    </row>
    <row r="112" spans="1:102" hidden="1" x14ac:dyDescent="0.3">
      <c r="A112" s="12" t="s">
        <v>2187</v>
      </c>
      <c r="B112" s="12" t="s">
        <v>2181</v>
      </c>
      <c r="C112" s="12" t="s">
        <v>2188</v>
      </c>
      <c r="D112" s="12" t="s">
        <v>2189</v>
      </c>
      <c r="E112" s="12" t="s">
        <v>277</v>
      </c>
      <c r="F112" s="12" t="s">
        <v>277</v>
      </c>
      <c r="G112" s="12" t="s">
        <v>277</v>
      </c>
      <c r="H112" s="12" t="s">
        <v>277</v>
      </c>
      <c r="I112" s="12" t="s">
        <v>277</v>
      </c>
      <c r="J112" s="12" t="s">
        <v>277</v>
      </c>
      <c r="K112" s="12" t="s">
        <v>277</v>
      </c>
      <c r="L112" s="12" t="s">
        <v>277</v>
      </c>
      <c r="M112" s="12" t="s">
        <v>277</v>
      </c>
      <c r="N112" s="12" t="s">
        <v>277</v>
      </c>
      <c r="O112" s="12" t="s">
        <v>277</v>
      </c>
      <c r="P112" s="12" t="s">
        <v>277</v>
      </c>
      <c r="Q112" s="12" t="s">
        <v>277</v>
      </c>
      <c r="R112" s="12" t="s">
        <v>277</v>
      </c>
      <c r="S112" s="12" t="s">
        <v>277</v>
      </c>
      <c r="T112" s="12" t="s">
        <v>277</v>
      </c>
      <c r="U112" s="12" t="s">
        <v>277</v>
      </c>
      <c r="V112" s="12" t="s">
        <v>277</v>
      </c>
      <c r="W112" s="12" t="s">
        <v>277</v>
      </c>
      <c r="X112" s="12" t="s">
        <v>277</v>
      </c>
      <c r="Y112" s="12" t="s">
        <v>277</v>
      </c>
      <c r="Z112" s="12" t="s">
        <v>277</v>
      </c>
      <c r="AA112" s="12" t="s">
        <v>277</v>
      </c>
      <c r="AB112" s="12" t="s">
        <v>277</v>
      </c>
      <c r="AC112" s="12" t="s">
        <v>277</v>
      </c>
      <c r="AD112" s="12" t="s">
        <v>277</v>
      </c>
      <c r="AE112" s="12" t="s">
        <v>277</v>
      </c>
      <c r="AF112" s="12" t="s">
        <v>277</v>
      </c>
      <c r="AG112" s="12" t="s">
        <v>277</v>
      </c>
      <c r="AH112" s="12" t="s">
        <v>277</v>
      </c>
      <c r="AI112" s="12" t="s">
        <v>277</v>
      </c>
      <c r="AJ112" s="12" t="s">
        <v>277</v>
      </c>
      <c r="AK112" s="12" t="s">
        <v>277</v>
      </c>
      <c r="AL112" s="12" t="s">
        <v>277</v>
      </c>
      <c r="AM112" s="12" t="s">
        <v>277</v>
      </c>
      <c r="AN112" s="12" t="s">
        <v>277</v>
      </c>
      <c r="AO112" s="12" t="s">
        <v>277</v>
      </c>
      <c r="AP112" s="12" t="s">
        <v>277</v>
      </c>
      <c r="AQ112" s="12" t="s">
        <v>277</v>
      </c>
      <c r="AR112" s="12" t="s">
        <v>277</v>
      </c>
      <c r="AS112" s="12" t="s">
        <v>277</v>
      </c>
      <c r="AT112" s="12" t="s">
        <v>277</v>
      </c>
      <c r="AU112" s="12" t="s">
        <v>277</v>
      </c>
      <c r="AV112" s="12" t="s">
        <v>277</v>
      </c>
      <c r="AW112" s="12" t="s">
        <v>277</v>
      </c>
      <c r="AX112" s="12" t="s">
        <v>277</v>
      </c>
      <c r="AY112" s="12" t="s">
        <v>277</v>
      </c>
      <c r="AZ112" s="12" t="s">
        <v>277</v>
      </c>
      <c r="BA112" s="12" t="s">
        <v>277</v>
      </c>
      <c r="BB112" s="12" t="s">
        <v>277</v>
      </c>
      <c r="BC112" s="12" t="s">
        <v>277</v>
      </c>
      <c r="BD112" s="12" t="s">
        <v>278</v>
      </c>
      <c r="BE112" s="12" t="s">
        <v>278</v>
      </c>
      <c r="BF112" s="12" t="s">
        <v>371</v>
      </c>
      <c r="BG112" s="12" t="s">
        <v>550</v>
      </c>
      <c r="BH112" s="12" t="s">
        <v>507</v>
      </c>
      <c r="BI112" s="12" t="s">
        <v>612</v>
      </c>
      <c r="BJ112" s="12" t="s">
        <v>326</v>
      </c>
      <c r="BK112" s="12" t="s">
        <v>467</v>
      </c>
      <c r="BL112" s="12" t="s">
        <v>418</v>
      </c>
      <c r="BM112" s="12" t="s">
        <v>1112</v>
      </c>
      <c r="BN112" s="12" t="s">
        <v>552</v>
      </c>
      <c r="BO112" s="12" t="s">
        <v>552</v>
      </c>
      <c r="BP112" s="12" t="s">
        <v>819</v>
      </c>
      <c r="BQ112" s="12" t="s">
        <v>819</v>
      </c>
      <c r="BR112" s="12" t="s">
        <v>819</v>
      </c>
      <c r="BS112" s="12" t="s">
        <v>562</v>
      </c>
      <c r="BT112" s="12" t="s">
        <v>1362</v>
      </c>
      <c r="BU112" s="12" t="s">
        <v>1362</v>
      </c>
      <c r="BV112" s="12" t="s">
        <v>1052</v>
      </c>
      <c r="BW112" s="12" t="s">
        <v>1449</v>
      </c>
      <c r="BX112" s="12" t="s">
        <v>472</v>
      </c>
      <c r="BY112" s="12" t="s">
        <v>1732</v>
      </c>
      <c r="BZ112" s="12" t="s">
        <v>572</v>
      </c>
      <c r="CA112" s="12" t="s">
        <v>1055</v>
      </c>
      <c r="CB112" s="12" t="s">
        <v>1055</v>
      </c>
      <c r="CC112" s="12" t="s">
        <v>382</v>
      </c>
      <c r="CD112" s="12" t="s">
        <v>1711</v>
      </c>
      <c r="CE112" s="12" t="s">
        <v>1711</v>
      </c>
      <c r="CF112" s="12" t="s">
        <v>1519</v>
      </c>
      <c r="CG112" s="12" t="s">
        <v>1519</v>
      </c>
      <c r="CH112" s="12" t="s">
        <v>1519</v>
      </c>
      <c r="CI112" s="12" t="s">
        <v>1519</v>
      </c>
      <c r="CJ112" s="12" t="s">
        <v>1584</v>
      </c>
      <c r="CK112" s="12" t="s">
        <v>1584</v>
      </c>
      <c r="CL112" s="12" t="s">
        <v>1584</v>
      </c>
      <c r="CM112" s="12" t="s">
        <v>1584</v>
      </c>
      <c r="CN112" s="12" t="s">
        <v>1203</v>
      </c>
      <c r="CO112" s="12" t="s">
        <v>1203</v>
      </c>
      <c r="CP112" s="12" t="s">
        <v>1203</v>
      </c>
      <c r="CQ112" s="12" t="s">
        <v>1203</v>
      </c>
      <c r="CR112" s="12" t="s">
        <v>1203</v>
      </c>
      <c r="CS112" s="12" t="s">
        <v>1203</v>
      </c>
      <c r="CT112" s="12" t="s">
        <v>1797</v>
      </c>
      <c r="CU112" s="12" t="s">
        <v>1797</v>
      </c>
      <c r="CV112" s="12" t="s">
        <v>1797</v>
      </c>
      <c r="CW112" s="12" t="s">
        <v>1797</v>
      </c>
      <c r="CX112" s="12" t="s">
        <v>1797</v>
      </c>
    </row>
    <row r="113" spans="1:102" hidden="1" x14ac:dyDescent="0.3">
      <c r="A113" s="12" t="s">
        <v>2190</v>
      </c>
      <c r="B113" s="12" t="s">
        <v>2181</v>
      </c>
      <c r="C113" s="12" t="s">
        <v>2191</v>
      </c>
      <c r="D113" s="12" t="s">
        <v>2192</v>
      </c>
      <c r="E113" s="12" t="s">
        <v>277</v>
      </c>
      <c r="F113" s="12" t="s">
        <v>277</v>
      </c>
      <c r="G113" s="12" t="s">
        <v>277</v>
      </c>
      <c r="H113" s="12" t="s">
        <v>277</v>
      </c>
      <c r="I113" s="12" t="s">
        <v>277</v>
      </c>
      <c r="J113" s="12" t="s">
        <v>277</v>
      </c>
      <c r="K113" s="12" t="s">
        <v>277</v>
      </c>
      <c r="L113" s="12" t="s">
        <v>277</v>
      </c>
      <c r="M113" s="12" t="s">
        <v>277</v>
      </c>
      <c r="N113" s="12" t="s">
        <v>277</v>
      </c>
      <c r="O113" s="12" t="s">
        <v>277</v>
      </c>
      <c r="P113" s="12" t="s">
        <v>277</v>
      </c>
      <c r="Q113" s="12" t="s">
        <v>277</v>
      </c>
      <c r="R113" s="12" t="s">
        <v>277</v>
      </c>
      <c r="S113" s="12" t="s">
        <v>277</v>
      </c>
      <c r="T113" s="12" t="s">
        <v>277</v>
      </c>
      <c r="U113" s="12" t="s">
        <v>277</v>
      </c>
      <c r="V113" s="12" t="s">
        <v>277</v>
      </c>
      <c r="W113" s="12" t="s">
        <v>277</v>
      </c>
      <c r="X113" s="12" t="s">
        <v>277</v>
      </c>
      <c r="Y113" s="12" t="s">
        <v>277</v>
      </c>
      <c r="Z113" s="12" t="s">
        <v>277</v>
      </c>
      <c r="AA113" s="12" t="s">
        <v>277</v>
      </c>
      <c r="AB113" s="12" t="s">
        <v>277</v>
      </c>
      <c r="AC113" s="12" t="s">
        <v>277</v>
      </c>
      <c r="AD113" s="12" t="s">
        <v>277</v>
      </c>
      <c r="AE113" s="12" t="s">
        <v>277</v>
      </c>
      <c r="AF113" s="12" t="s">
        <v>277</v>
      </c>
      <c r="AG113" s="12" t="s">
        <v>277</v>
      </c>
      <c r="AH113" s="12" t="s">
        <v>277</v>
      </c>
      <c r="AI113" s="12" t="s">
        <v>277</v>
      </c>
      <c r="AJ113" s="12" t="s">
        <v>277</v>
      </c>
      <c r="AK113" s="12" t="s">
        <v>277</v>
      </c>
      <c r="AL113" s="12" t="s">
        <v>277</v>
      </c>
      <c r="AM113" s="12" t="s">
        <v>277</v>
      </c>
      <c r="AN113" s="12" t="s">
        <v>277</v>
      </c>
      <c r="AO113" s="12" t="s">
        <v>277</v>
      </c>
      <c r="AP113" s="12" t="s">
        <v>277</v>
      </c>
      <c r="AQ113" s="12" t="s">
        <v>277</v>
      </c>
      <c r="AR113" s="12" t="s">
        <v>277</v>
      </c>
      <c r="AS113" s="12" t="s">
        <v>277</v>
      </c>
      <c r="AT113" s="12" t="s">
        <v>277</v>
      </c>
      <c r="AU113" s="12" t="s">
        <v>277</v>
      </c>
      <c r="AV113" s="12" t="s">
        <v>277</v>
      </c>
      <c r="AW113" s="12" t="s">
        <v>277</v>
      </c>
      <c r="AX113" s="12" t="s">
        <v>277</v>
      </c>
      <c r="AY113" s="12" t="s">
        <v>277</v>
      </c>
      <c r="AZ113" s="12" t="s">
        <v>277</v>
      </c>
      <c r="BA113" s="12" t="s">
        <v>277</v>
      </c>
      <c r="BB113" s="12" t="s">
        <v>277</v>
      </c>
      <c r="BC113" s="12" t="s">
        <v>277</v>
      </c>
      <c r="BD113" s="12" t="s">
        <v>277</v>
      </c>
      <c r="BE113" s="12" t="s">
        <v>277</v>
      </c>
      <c r="BF113" s="12" t="s">
        <v>278</v>
      </c>
      <c r="BG113" s="12" t="s">
        <v>278</v>
      </c>
      <c r="BH113" s="12" t="s">
        <v>278</v>
      </c>
      <c r="BI113" s="12" t="s">
        <v>371</v>
      </c>
      <c r="BJ113" s="12" t="s">
        <v>371</v>
      </c>
      <c r="BK113" s="12" t="s">
        <v>550</v>
      </c>
      <c r="BL113" s="12" t="s">
        <v>281</v>
      </c>
      <c r="BM113" s="12" t="s">
        <v>282</v>
      </c>
      <c r="BN113" s="12" t="s">
        <v>286</v>
      </c>
      <c r="BO113" s="12" t="s">
        <v>670</v>
      </c>
      <c r="BP113" s="12" t="s">
        <v>670</v>
      </c>
      <c r="BQ113" s="12" t="s">
        <v>670</v>
      </c>
      <c r="BR113" s="12" t="s">
        <v>653</v>
      </c>
      <c r="BS113" s="12" t="s">
        <v>879</v>
      </c>
      <c r="BT113" s="12" t="s">
        <v>879</v>
      </c>
      <c r="BU113" s="12" t="s">
        <v>675</v>
      </c>
      <c r="BV113" s="12" t="s">
        <v>290</v>
      </c>
      <c r="BW113" s="12" t="s">
        <v>290</v>
      </c>
      <c r="BX113" s="12" t="s">
        <v>1198</v>
      </c>
      <c r="BY113" s="12" t="s">
        <v>472</v>
      </c>
      <c r="BZ113" s="12" t="s">
        <v>572</v>
      </c>
      <c r="CA113" s="12" t="s">
        <v>1213</v>
      </c>
      <c r="CB113" s="12" t="s">
        <v>1213</v>
      </c>
      <c r="CC113" s="12" t="s">
        <v>573</v>
      </c>
      <c r="CD113" s="12" t="s">
        <v>573</v>
      </c>
      <c r="CE113" s="12" t="s">
        <v>620</v>
      </c>
      <c r="CF113" s="12" t="s">
        <v>978</v>
      </c>
      <c r="CG113" s="12" t="s">
        <v>1835</v>
      </c>
      <c r="CH113" s="12" t="s">
        <v>1835</v>
      </c>
      <c r="CI113" s="12" t="s">
        <v>686</v>
      </c>
      <c r="CJ113" s="12" t="s">
        <v>1187</v>
      </c>
      <c r="CK113" s="12" t="s">
        <v>1187</v>
      </c>
      <c r="CL113" s="12" t="s">
        <v>1122</v>
      </c>
      <c r="CM113" s="12" t="s">
        <v>1514</v>
      </c>
      <c r="CN113" s="12" t="s">
        <v>1190</v>
      </c>
      <c r="CO113" s="12" t="s">
        <v>1158</v>
      </c>
      <c r="CP113" s="12" t="s">
        <v>1158</v>
      </c>
      <c r="CQ113" s="12" t="s">
        <v>728</v>
      </c>
      <c r="CR113" s="12" t="s">
        <v>1310</v>
      </c>
      <c r="CS113" s="12" t="s">
        <v>1310</v>
      </c>
      <c r="CT113" s="12" t="s">
        <v>966</v>
      </c>
      <c r="CU113" s="12" t="s">
        <v>1389</v>
      </c>
      <c r="CV113" s="12" t="s">
        <v>2721</v>
      </c>
      <c r="CW113" s="12" t="s">
        <v>2721</v>
      </c>
      <c r="CX113" s="12" t="s">
        <v>732</v>
      </c>
    </row>
    <row r="114" spans="1:102" hidden="1" x14ac:dyDescent="0.3">
      <c r="A114" s="12" t="s">
        <v>2193</v>
      </c>
      <c r="B114" s="12" t="s">
        <v>2181</v>
      </c>
      <c r="C114" s="12" t="s">
        <v>2194</v>
      </c>
      <c r="D114" s="12" t="s">
        <v>2195</v>
      </c>
      <c r="E114" s="12" t="s">
        <v>277</v>
      </c>
      <c r="F114" s="12" t="s">
        <v>277</v>
      </c>
      <c r="G114" s="12" t="s">
        <v>277</v>
      </c>
      <c r="H114" s="12" t="s">
        <v>277</v>
      </c>
      <c r="I114" s="12" t="s">
        <v>277</v>
      </c>
      <c r="J114" s="12" t="s">
        <v>277</v>
      </c>
      <c r="K114" s="12" t="s">
        <v>277</v>
      </c>
      <c r="L114" s="12" t="s">
        <v>277</v>
      </c>
      <c r="M114" s="12" t="s">
        <v>277</v>
      </c>
      <c r="N114" s="12" t="s">
        <v>277</v>
      </c>
      <c r="O114" s="12" t="s">
        <v>277</v>
      </c>
      <c r="P114" s="12" t="s">
        <v>277</v>
      </c>
      <c r="Q114" s="12" t="s">
        <v>277</v>
      </c>
      <c r="R114" s="12" t="s">
        <v>277</v>
      </c>
      <c r="S114" s="12" t="s">
        <v>277</v>
      </c>
      <c r="T114" s="12" t="s">
        <v>277</v>
      </c>
      <c r="U114" s="12" t="s">
        <v>277</v>
      </c>
      <c r="V114" s="12" t="s">
        <v>277</v>
      </c>
      <c r="W114" s="12" t="s">
        <v>277</v>
      </c>
      <c r="X114" s="12" t="s">
        <v>277</v>
      </c>
      <c r="Y114" s="12" t="s">
        <v>277</v>
      </c>
      <c r="Z114" s="12" t="s">
        <v>277</v>
      </c>
      <c r="AA114" s="12" t="s">
        <v>277</v>
      </c>
      <c r="AB114" s="12" t="s">
        <v>277</v>
      </c>
      <c r="AC114" s="12" t="s">
        <v>277</v>
      </c>
      <c r="AD114" s="12" t="s">
        <v>277</v>
      </c>
      <c r="AE114" s="12" t="s">
        <v>277</v>
      </c>
      <c r="AF114" s="12" t="s">
        <v>277</v>
      </c>
      <c r="AG114" s="12" t="s">
        <v>277</v>
      </c>
      <c r="AH114" s="12" t="s">
        <v>277</v>
      </c>
      <c r="AI114" s="12" t="s">
        <v>277</v>
      </c>
      <c r="AJ114" s="12" t="s">
        <v>277</v>
      </c>
      <c r="AK114" s="12" t="s">
        <v>277</v>
      </c>
      <c r="AL114" s="12" t="s">
        <v>277</v>
      </c>
      <c r="AM114" s="12" t="s">
        <v>277</v>
      </c>
      <c r="AN114" s="12" t="s">
        <v>277</v>
      </c>
      <c r="AO114" s="12" t="s">
        <v>277</v>
      </c>
      <c r="AP114" s="12" t="s">
        <v>277</v>
      </c>
      <c r="AQ114" s="12" t="s">
        <v>277</v>
      </c>
      <c r="AR114" s="12" t="s">
        <v>277</v>
      </c>
      <c r="AS114" s="12" t="s">
        <v>277</v>
      </c>
      <c r="AT114" s="12" t="s">
        <v>277</v>
      </c>
      <c r="AU114" s="12" t="s">
        <v>277</v>
      </c>
      <c r="AV114" s="12" t="s">
        <v>277</v>
      </c>
      <c r="AW114" s="12" t="s">
        <v>277</v>
      </c>
      <c r="AX114" s="12" t="s">
        <v>277</v>
      </c>
      <c r="AY114" s="12" t="s">
        <v>277</v>
      </c>
      <c r="AZ114" s="12" t="s">
        <v>277</v>
      </c>
      <c r="BA114" s="12" t="s">
        <v>277</v>
      </c>
      <c r="BB114" s="12" t="s">
        <v>277</v>
      </c>
      <c r="BC114" s="12" t="s">
        <v>277</v>
      </c>
      <c r="BD114" s="12" t="s">
        <v>277</v>
      </c>
      <c r="BE114" s="12" t="s">
        <v>277</v>
      </c>
      <c r="BF114" s="12" t="s">
        <v>277</v>
      </c>
      <c r="BG114" s="12" t="s">
        <v>277</v>
      </c>
      <c r="BH114" s="12" t="s">
        <v>277</v>
      </c>
      <c r="BI114" s="12" t="s">
        <v>277</v>
      </c>
      <c r="BJ114" s="12" t="s">
        <v>322</v>
      </c>
      <c r="BK114" s="12" t="s">
        <v>322</v>
      </c>
      <c r="BL114" s="12" t="s">
        <v>279</v>
      </c>
      <c r="BM114" s="12" t="s">
        <v>279</v>
      </c>
      <c r="BN114" s="12" t="s">
        <v>454</v>
      </c>
      <c r="BO114" s="12" t="s">
        <v>323</v>
      </c>
      <c r="BP114" s="12" t="s">
        <v>455</v>
      </c>
      <c r="BQ114" s="12" t="s">
        <v>455</v>
      </c>
      <c r="BR114" s="12" t="s">
        <v>461</v>
      </c>
      <c r="BS114" s="12" t="s">
        <v>461</v>
      </c>
      <c r="BT114" s="12" t="s">
        <v>461</v>
      </c>
      <c r="BU114" s="12" t="s">
        <v>461</v>
      </c>
      <c r="BV114" s="12" t="s">
        <v>283</v>
      </c>
      <c r="BW114" s="12" t="s">
        <v>283</v>
      </c>
      <c r="BX114" s="12" t="s">
        <v>507</v>
      </c>
      <c r="BY114" s="12" t="s">
        <v>507</v>
      </c>
      <c r="BZ114" s="12" t="s">
        <v>372</v>
      </c>
      <c r="CA114" s="12" t="s">
        <v>507</v>
      </c>
      <c r="CB114" s="12" t="s">
        <v>507</v>
      </c>
      <c r="CC114" s="12" t="s">
        <v>507</v>
      </c>
      <c r="CD114" s="12" t="s">
        <v>507</v>
      </c>
      <c r="CE114" s="12" t="s">
        <v>507</v>
      </c>
      <c r="CF114" s="12" t="s">
        <v>507</v>
      </c>
      <c r="CG114" s="12" t="s">
        <v>507</v>
      </c>
      <c r="CH114" s="12" t="s">
        <v>507</v>
      </c>
      <c r="CI114" s="12" t="s">
        <v>507</v>
      </c>
      <c r="CJ114" s="12" t="s">
        <v>507</v>
      </c>
      <c r="CK114" s="12" t="s">
        <v>507</v>
      </c>
      <c r="CL114" s="12" t="s">
        <v>507</v>
      </c>
      <c r="CM114" s="12" t="s">
        <v>507</v>
      </c>
      <c r="CN114" s="12" t="s">
        <v>507</v>
      </c>
      <c r="CO114" s="12" t="s">
        <v>507</v>
      </c>
      <c r="CP114" s="12" t="s">
        <v>507</v>
      </c>
      <c r="CQ114" s="12" t="s">
        <v>507</v>
      </c>
      <c r="CR114" s="12" t="s">
        <v>507</v>
      </c>
      <c r="CS114" s="12" t="s">
        <v>507</v>
      </c>
      <c r="CT114" s="12" t="s">
        <v>507</v>
      </c>
      <c r="CU114" s="12" t="s">
        <v>507</v>
      </c>
      <c r="CV114" s="12" t="s">
        <v>507</v>
      </c>
      <c r="CW114" s="12" t="s">
        <v>507</v>
      </c>
      <c r="CX114" s="12" t="s">
        <v>507</v>
      </c>
    </row>
    <row r="115" spans="1:102" hidden="1" x14ac:dyDescent="0.3">
      <c r="A115" s="12" t="s">
        <v>2196</v>
      </c>
      <c r="B115" s="12" t="s">
        <v>2181</v>
      </c>
      <c r="C115" s="12" t="s">
        <v>2197</v>
      </c>
      <c r="D115" s="12" t="s">
        <v>2198</v>
      </c>
      <c r="E115" s="12" t="s">
        <v>277</v>
      </c>
      <c r="F115" s="12" t="s">
        <v>277</v>
      </c>
      <c r="G115" s="12" t="s">
        <v>277</v>
      </c>
      <c r="H115" s="12" t="s">
        <v>277</v>
      </c>
      <c r="I115" s="12" t="s">
        <v>277</v>
      </c>
      <c r="J115" s="12" t="s">
        <v>277</v>
      </c>
      <c r="K115" s="12" t="s">
        <v>277</v>
      </c>
      <c r="L115" s="12" t="s">
        <v>277</v>
      </c>
      <c r="M115" s="12" t="s">
        <v>277</v>
      </c>
      <c r="N115" s="12" t="s">
        <v>277</v>
      </c>
      <c r="O115" s="12" t="s">
        <v>277</v>
      </c>
      <c r="P115" s="12" t="s">
        <v>277</v>
      </c>
      <c r="Q115" s="12" t="s">
        <v>277</v>
      </c>
      <c r="R115" s="12" t="s">
        <v>277</v>
      </c>
      <c r="S115" s="12" t="s">
        <v>277</v>
      </c>
      <c r="T115" s="12" t="s">
        <v>277</v>
      </c>
      <c r="U115" s="12" t="s">
        <v>277</v>
      </c>
      <c r="V115" s="12" t="s">
        <v>277</v>
      </c>
      <c r="W115" s="12" t="s">
        <v>277</v>
      </c>
      <c r="X115" s="12" t="s">
        <v>277</v>
      </c>
      <c r="Y115" s="12" t="s">
        <v>277</v>
      </c>
      <c r="Z115" s="12" t="s">
        <v>277</v>
      </c>
      <c r="AA115" s="12" t="s">
        <v>277</v>
      </c>
      <c r="AB115" s="12" t="s">
        <v>277</v>
      </c>
      <c r="AC115" s="12" t="s">
        <v>277</v>
      </c>
      <c r="AD115" s="12" t="s">
        <v>277</v>
      </c>
      <c r="AE115" s="12" t="s">
        <v>277</v>
      </c>
      <c r="AF115" s="12" t="s">
        <v>277</v>
      </c>
      <c r="AG115" s="12" t="s">
        <v>277</v>
      </c>
      <c r="AH115" s="12" t="s">
        <v>277</v>
      </c>
      <c r="AI115" s="12" t="s">
        <v>277</v>
      </c>
      <c r="AJ115" s="12" t="s">
        <v>277</v>
      </c>
      <c r="AK115" s="12" t="s">
        <v>277</v>
      </c>
      <c r="AL115" s="12" t="s">
        <v>277</v>
      </c>
      <c r="AM115" s="12" t="s">
        <v>277</v>
      </c>
      <c r="AN115" s="12" t="s">
        <v>277</v>
      </c>
      <c r="AO115" s="12" t="s">
        <v>277</v>
      </c>
      <c r="AP115" s="12" t="s">
        <v>277</v>
      </c>
      <c r="AQ115" s="12" t="s">
        <v>277</v>
      </c>
      <c r="AR115" s="12" t="s">
        <v>277</v>
      </c>
      <c r="AS115" s="12" t="s">
        <v>277</v>
      </c>
      <c r="AT115" s="12" t="s">
        <v>277</v>
      </c>
      <c r="AU115" s="12" t="s">
        <v>277</v>
      </c>
      <c r="AV115" s="12" t="s">
        <v>277</v>
      </c>
      <c r="AW115" s="12" t="s">
        <v>277</v>
      </c>
      <c r="AX115" s="12" t="s">
        <v>277</v>
      </c>
      <c r="AY115" s="12" t="s">
        <v>277</v>
      </c>
      <c r="AZ115" s="12" t="s">
        <v>277</v>
      </c>
      <c r="BA115" s="12" t="s">
        <v>277</v>
      </c>
      <c r="BB115" s="12" t="s">
        <v>278</v>
      </c>
      <c r="BC115" s="12" t="s">
        <v>278</v>
      </c>
      <c r="BD115" s="12" t="s">
        <v>280</v>
      </c>
      <c r="BE115" s="12" t="s">
        <v>550</v>
      </c>
      <c r="BF115" s="12" t="s">
        <v>281</v>
      </c>
      <c r="BG115" s="12" t="s">
        <v>460</v>
      </c>
      <c r="BH115" s="12" t="s">
        <v>460</v>
      </c>
      <c r="BI115" s="12" t="s">
        <v>324</v>
      </c>
      <c r="BJ115" s="12" t="s">
        <v>455</v>
      </c>
      <c r="BK115" s="12" t="s">
        <v>568</v>
      </c>
      <c r="BL115" s="12" t="s">
        <v>467</v>
      </c>
      <c r="BM115" s="12" t="s">
        <v>332</v>
      </c>
      <c r="BN115" s="12" t="s">
        <v>553</v>
      </c>
      <c r="BO115" s="12" t="s">
        <v>290</v>
      </c>
      <c r="BP115" s="12" t="s">
        <v>678</v>
      </c>
      <c r="BQ115" s="12" t="s">
        <v>1055</v>
      </c>
      <c r="BR115" s="12" t="s">
        <v>1584</v>
      </c>
      <c r="BS115" s="12" t="s">
        <v>962</v>
      </c>
      <c r="BT115" s="12" t="s">
        <v>962</v>
      </c>
      <c r="BU115" s="12" t="s">
        <v>425</v>
      </c>
      <c r="BV115" s="12" t="s">
        <v>1208</v>
      </c>
      <c r="BW115" s="12" t="s">
        <v>297</v>
      </c>
      <c r="BX115" s="12" t="s">
        <v>427</v>
      </c>
      <c r="BY115" s="12" t="s">
        <v>1010</v>
      </c>
      <c r="BZ115" s="12" t="s">
        <v>428</v>
      </c>
      <c r="CA115" s="12" t="s">
        <v>1757</v>
      </c>
      <c r="CB115" s="12" t="s">
        <v>299</v>
      </c>
      <c r="CC115" s="12" t="s">
        <v>1137</v>
      </c>
      <c r="CD115" s="12" t="s">
        <v>1137</v>
      </c>
      <c r="CE115" s="12" t="s">
        <v>2199</v>
      </c>
      <c r="CF115" s="12" t="s">
        <v>1887</v>
      </c>
      <c r="CG115" s="12" t="s">
        <v>2200</v>
      </c>
      <c r="CH115" s="12" t="s">
        <v>1417</v>
      </c>
      <c r="CI115" s="12" t="s">
        <v>1700</v>
      </c>
      <c r="CJ115" s="12" t="s">
        <v>1700</v>
      </c>
      <c r="CK115" s="12" t="s">
        <v>1700</v>
      </c>
      <c r="CL115" s="12" t="s">
        <v>1865</v>
      </c>
      <c r="CM115" s="12" t="s">
        <v>2093</v>
      </c>
      <c r="CN115" s="12" t="s">
        <v>519</v>
      </c>
      <c r="CO115" s="12" t="s">
        <v>1365</v>
      </c>
      <c r="CP115" s="12" t="s">
        <v>1365</v>
      </c>
      <c r="CQ115" s="12" t="s">
        <v>1393</v>
      </c>
      <c r="CR115" s="12" t="s">
        <v>1393</v>
      </c>
      <c r="CS115" s="12" t="s">
        <v>2201</v>
      </c>
      <c r="CT115" s="12" t="s">
        <v>2201</v>
      </c>
      <c r="CU115" s="12" t="s">
        <v>1777</v>
      </c>
      <c r="CV115" s="12" t="s">
        <v>1777</v>
      </c>
      <c r="CW115" s="12" t="s">
        <v>1395</v>
      </c>
      <c r="CX115" s="12" t="s">
        <v>1395</v>
      </c>
    </row>
    <row r="116" spans="1:102" hidden="1" x14ac:dyDescent="0.3">
      <c r="A116" s="12" t="s">
        <v>2202</v>
      </c>
      <c r="B116" s="12" t="s">
        <v>2181</v>
      </c>
      <c r="C116" s="12" t="s">
        <v>2203</v>
      </c>
      <c r="D116" s="12" t="s">
        <v>2204</v>
      </c>
      <c r="E116" s="12" t="s">
        <v>277</v>
      </c>
      <c r="F116" s="12" t="s">
        <v>277</v>
      </c>
      <c r="G116" s="12" t="s">
        <v>277</v>
      </c>
      <c r="H116" s="12" t="s">
        <v>277</v>
      </c>
      <c r="I116" s="12" t="s">
        <v>277</v>
      </c>
      <c r="J116" s="12" t="s">
        <v>277</v>
      </c>
      <c r="K116" s="12" t="s">
        <v>277</v>
      </c>
      <c r="L116" s="12" t="s">
        <v>277</v>
      </c>
      <c r="M116" s="12" t="s">
        <v>277</v>
      </c>
      <c r="N116" s="12" t="s">
        <v>277</v>
      </c>
      <c r="O116" s="12" t="s">
        <v>277</v>
      </c>
      <c r="P116" s="12" t="s">
        <v>277</v>
      </c>
      <c r="Q116" s="12" t="s">
        <v>277</v>
      </c>
      <c r="R116" s="12" t="s">
        <v>277</v>
      </c>
      <c r="S116" s="12" t="s">
        <v>277</v>
      </c>
      <c r="T116" s="12" t="s">
        <v>277</v>
      </c>
      <c r="U116" s="12" t="s">
        <v>277</v>
      </c>
      <c r="V116" s="12" t="s">
        <v>277</v>
      </c>
      <c r="W116" s="12" t="s">
        <v>277</v>
      </c>
      <c r="X116" s="12" t="s">
        <v>277</v>
      </c>
      <c r="Y116" s="12" t="s">
        <v>277</v>
      </c>
      <c r="Z116" s="12" t="s">
        <v>277</v>
      </c>
      <c r="AA116" s="12" t="s">
        <v>277</v>
      </c>
      <c r="AB116" s="12" t="s">
        <v>277</v>
      </c>
      <c r="AC116" s="12" t="s">
        <v>277</v>
      </c>
      <c r="AD116" s="12" t="s">
        <v>277</v>
      </c>
      <c r="AE116" s="12" t="s">
        <v>277</v>
      </c>
      <c r="AF116" s="12" t="s">
        <v>277</v>
      </c>
      <c r="AG116" s="12" t="s">
        <v>277</v>
      </c>
      <c r="AH116" s="12" t="s">
        <v>277</v>
      </c>
      <c r="AI116" s="12" t="s">
        <v>277</v>
      </c>
      <c r="AJ116" s="12" t="s">
        <v>277</v>
      </c>
      <c r="AK116" s="12" t="s">
        <v>277</v>
      </c>
      <c r="AL116" s="12" t="s">
        <v>277</v>
      </c>
      <c r="AM116" s="12" t="s">
        <v>277</v>
      </c>
      <c r="AN116" s="12" t="s">
        <v>277</v>
      </c>
      <c r="AO116" s="12" t="s">
        <v>277</v>
      </c>
      <c r="AP116" s="12" t="s">
        <v>277</v>
      </c>
      <c r="AQ116" s="12" t="s">
        <v>277</v>
      </c>
      <c r="AR116" s="12" t="s">
        <v>277</v>
      </c>
      <c r="AS116" s="12" t="s">
        <v>277</v>
      </c>
      <c r="AT116" s="12" t="s">
        <v>277</v>
      </c>
      <c r="AU116" s="12" t="s">
        <v>371</v>
      </c>
      <c r="AV116" s="12" t="s">
        <v>371</v>
      </c>
      <c r="AW116" s="12" t="s">
        <v>371</v>
      </c>
      <c r="AX116" s="12" t="s">
        <v>371</v>
      </c>
      <c r="AY116" s="12" t="s">
        <v>371</v>
      </c>
      <c r="AZ116" s="12" t="s">
        <v>278</v>
      </c>
      <c r="BA116" s="12" t="s">
        <v>278</v>
      </c>
      <c r="BB116" s="12" t="s">
        <v>278</v>
      </c>
      <c r="BC116" s="12" t="s">
        <v>278</v>
      </c>
      <c r="BD116" s="12" t="s">
        <v>278</v>
      </c>
      <c r="BE116" s="12" t="s">
        <v>278</v>
      </c>
      <c r="BF116" s="12" t="s">
        <v>278</v>
      </c>
      <c r="BG116" s="12" t="s">
        <v>371</v>
      </c>
      <c r="BH116" s="12" t="s">
        <v>371</v>
      </c>
      <c r="BI116" s="12" t="s">
        <v>371</v>
      </c>
      <c r="BJ116" s="12" t="s">
        <v>371</v>
      </c>
      <c r="BK116" s="12" t="s">
        <v>371</v>
      </c>
      <c r="BL116" s="12" t="s">
        <v>371</v>
      </c>
      <c r="BM116" s="12" t="s">
        <v>371</v>
      </c>
      <c r="BN116" s="12" t="s">
        <v>371</v>
      </c>
      <c r="BO116" s="12" t="s">
        <v>371</v>
      </c>
      <c r="BP116" s="12" t="s">
        <v>371</v>
      </c>
      <c r="BQ116" s="12" t="s">
        <v>371</v>
      </c>
      <c r="BR116" s="12" t="s">
        <v>280</v>
      </c>
      <c r="BS116" s="12" t="s">
        <v>280</v>
      </c>
      <c r="BT116" s="12" t="s">
        <v>280</v>
      </c>
      <c r="BU116" s="12" t="s">
        <v>550</v>
      </c>
      <c r="BV116" s="12" t="s">
        <v>550</v>
      </c>
      <c r="BW116" s="12" t="s">
        <v>550</v>
      </c>
      <c r="BX116" s="12" t="s">
        <v>550</v>
      </c>
      <c r="BY116" s="12" t="s">
        <v>550</v>
      </c>
      <c r="BZ116" s="12" t="s">
        <v>550</v>
      </c>
      <c r="CA116" s="12" t="s">
        <v>550</v>
      </c>
      <c r="CB116" s="12" t="s">
        <v>550</v>
      </c>
      <c r="CC116" s="12" t="s">
        <v>550</v>
      </c>
      <c r="CD116" s="12" t="s">
        <v>550</v>
      </c>
      <c r="CE116" s="12" t="s">
        <v>550</v>
      </c>
      <c r="CF116" s="12" t="s">
        <v>550</v>
      </c>
      <c r="CG116" s="12" t="s">
        <v>550</v>
      </c>
      <c r="CH116" s="12" t="s">
        <v>550</v>
      </c>
      <c r="CI116" s="12" t="s">
        <v>550</v>
      </c>
      <c r="CJ116" s="12" t="s">
        <v>550</v>
      </c>
      <c r="CK116" s="12" t="s">
        <v>550</v>
      </c>
      <c r="CL116" s="12" t="s">
        <v>550</v>
      </c>
      <c r="CM116" s="12" t="s">
        <v>550</v>
      </c>
      <c r="CN116" s="12" t="s">
        <v>550</v>
      </c>
      <c r="CO116" s="12" t="s">
        <v>550</v>
      </c>
      <c r="CP116" s="12" t="s">
        <v>550</v>
      </c>
      <c r="CQ116" s="12" t="s">
        <v>550</v>
      </c>
      <c r="CR116" s="12" t="s">
        <v>550</v>
      </c>
      <c r="CS116" s="12" t="s">
        <v>550</v>
      </c>
      <c r="CT116" s="12" t="s">
        <v>550</v>
      </c>
      <c r="CU116" s="12" t="s">
        <v>550</v>
      </c>
      <c r="CV116" s="12" t="s">
        <v>550</v>
      </c>
      <c r="CW116" s="12" t="s">
        <v>550</v>
      </c>
      <c r="CX116" s="12" t="s">
        <v>550</v>
      </c>
    </row>
    <row r="117" spans="1:102" hidden="1" x14ac:dyDescent="0.3">
      <c r="A117" s="12" t="s">
        <v>2205</v>
      </c>
      <c r="B117" s="12" t="s">
        <v>2181</v>
      </c>
      <c r="C117" s="12" t="s">
        <v>2206</v>
      </c>
      <c r="D117" s="12" t="s">
        <v>2207</v>
      </c>
      <c r="E117" s="12" t="s">
        <v>277</v>
      </c>
      <c r="F117" s="12" t="s">
        <v>277</v>
      </c>
      <c r="G117" s="12" t="s">
        <v>277</v>
      </c>
      <c r="H117" s="12" t="s">
        <v>277</v>
      </c>
      <c r="I117" s="12" t="s">
        <v>277</v>
      </c>
      <c r="J117" s="12" t="s">
        <v>277</v>
      </c>
      <c r="K117" s="12" t="s">
        <v>277</v>
      </c>
      <c r="L117" s="12" t="s">
        <v>277</v>
      </c>
      <c r="M117" s="12" t="s">
        <v>277</v>
      </c>
      <c r="N117" s="12" t="s">
        <v>277</v>
      </c>
      <c r="O117" s="12" t="s">
        <v>277</v>
      </c>
      <c r="P117" s="12" t="s">
        <v>277</v>
      </c>
      <c r="Q117" s="12" t="s">
        <v>277</v>
      </c>
      <c r="R117" s="12" t="s">
        <v>277</v>
      </c>
      <c r="S117" s="12" t="s">
        <v>277</v>
      </c>
      <c r="T117" s="12" t="s">
        <v>277</v>
      </c>
      <c r="U117" s="12" t="s">
        <v>277</v>
      </c>
      <c r="V117" s="12" t="s">
        <v>277</v>
      </c>
      <c r="W117" s="12" t="s">
        <v>277</v>
      </c>
      <c r="X117" s="12" t="s">
        <v>277</v>
      </c>
      <c r="Y117" s="12" t="s">
        <v>277</v>
      </c>
      <c r="Z117" s="12" t="s">
        <v>277</v>
      </c>
      <c r="AA117" s="12" t="s">
        <v>277</v>
      </c>
      <c r="AB117" s="12" t="s">
        <v>277</v>
      </c>
      <c r="AC117" s="12" t="s">
        <v>277</v>
      </c>
      <c r="AD117" s="12" t="s">
        <v>277</v>
      </c>
      <c r="AE117" s="12" t="s">
        <v>277</v>
      </c>
      <c r="AF117" s="12" t="s">
        <v>277</v>
      </c>
      <c r="AG117" s="12" t="s">
        <v>277</v>
      </c>
      <c r="AH117" s="12" t="s">
        <v>277</v>
      </c>
      <c r="AI117" s="12" t="s">
        <v>277</v>
      </c>
      <c r="AJ117" s="12" t="s">
        <v>277</v>
      </c>
      <c r="AK117" s="12" t="s">
        <v>277</v>
      </c>
      <c r="AL117" s="12" t="s">
        <v>277</v>
      </c>
      <c r="AM117" s="12" t="s">
        <v>277</v>
      </c>
      <c r="AN117" s="12" t="s">
        <v>277</v>
      </c>
      <c r="AO117" s="12" t="s">
        <v>277</v>
      </c>
      <c r="AP117" s="12" t="s">
        <v>277</v>
      </c>
      <c r="AQ117" s="12" t="s">
        <v>277</v>
      </c>
      <c r="AR117" s="12" t="s">
        <v>277</v>
      </c>
      <c r="AS117" s="12" t="s">
        <v>277</v>
      </c>
      <c r="AT117" s="12" t="s">
        <v>277</v>
      </c>
      <c r="AU117" s="12" t="s">
        <v>277</v>
      </c>
      <c r="AV117" s="12" t="s">
        <v>277</v>
      </c>
      <c r="AW117" s="12" t="s">
        <v>277</v>
      </c>
      <c r="AX117" s="12" t="s">
        <v>277</v>
      </c>
      <c r="AY117" s="12" t="s">
        <v>277</v>
      </c>
      <c r="AZ117" s="12" t="s">
        <v>322</v>
      </c>
      <c r="BA117" s="12" t="s">
        <v>322</v>
      </c>
      <c r="BB117" s="12" t="s">
        <v>322</v>
      </c>
      <c r="BC117" s="12" t="s">
        <v>322</v>
      </c>
      <c r="BD117" s="12" t="s">
        <v>322</v>
      </c>
      <c r="BE117" s="12" t="s">
        <v>322</v>
      </c>
      <c r="BF117" s="12" t="s">
        <v>322</v>
      </c>
      <c r="BG117" s="12" t="s">
        <v>322</v>
      </c>
      <c r="BH117" s="12" t="s">
        <v>322</v>
      </c>
      <c r="BI117" s="12" t="s">
        <v>371</v>
      </c>
      <c r="BJ117" s="12" t="s">
        <v>279</v>
      </c>
      <c r="BK117" s="12" t="s">
        <v>279</v>
      </c>
      <c r="BL117" s="12" t="s">
        <v>279</v>
      </c>
      <c r="BM117" s="12" t="s">
        <v>280</v>
      </c>
      <c r="BN117" s="12" t="s">
        <v>454</v>
      </c>
      <c r="BO117" s="12" t="s">
        <v>454</v>
      </c>
      <c r="BP117" s="12" t="s">
        <v>282</v>
      </c>
      <c r="BQ117" s="12" t="s">
        <v>282</v>
      </c>
      <c r="BR117" s="12" t="s">
        <v>282</v>
      </c>
      <c r="BS117" s="12" t="s">
        <v>282</v>
      </c>
      <c r="BT117" s="12" t="s">
        <v>282</v>
      </c>
      <c r="BU117" s="12" t="s">
        <v>461</v>
      </c>
      <c r="BV117" s="12" t="s">
        <v>461</v>
      </c>
      <c r="BW117" s="12" t="s">
        <v>461</v>
      </c>
      <c r="BX117" s="12" t="s">
        <v>285</v>
      </c>
      <c r="BY117" s="12" t="s">
        <v>285</v>
      </c>
      <c r="BZ117" s="12" t="s">
        <v>286</v>
      </c>
      <c r="CA117" s="12" t="s">
        <v>551</v>
      </c>
      <c r="CB117" s="12" t="s">
        <v>551</v>
      </c>
      <c r="CC117" s="12" t="s">
        <v>551</v>
      </c>
      <c r="CD117" s="12" t="s">
        <v>551</v>
      </c>
      <c r="CE117" s="12" t="s">
        <v>551</v>
      </c>
      <c r="CF117" s="12" t="s">
        <v>551</v>
      </c>
      <c r="CG117" s="12" t="s">
        <v>551</v>
      </c>
      <c r="CH117" s="12" t="s">
        <v>551</v>
      </c>
      <c r="CI117" s="12" t="s">
        <v>551</v>
      </c>
      <c r="CJ117" s="12" t="s">
        <v>551</v>
      </c>
      <c r="CK117" s="12" t="s">
        <v>616</v>
      </c>
      <c r="CL117" s="12" t="s">
        <v>616</v>
      </c>
      <c r="CM117" s="12" t="s">
        <v>616</v>
      </c>
      <c r="CN117" s="12" t="s">
        <v>376</v>
      </c>
      <c r="CO117" s="12" t="s">
        <v>376</v>
      </c>
      <c r="CP117" s="12" t="s">
        <v>376</v>
      </c>
      <c r="CQ117" s="12" t="s">
        <v>376</v>
      </c>
      <c r="CR117" s="12" t="s">
        <v>327</v>
      </c>
      <c r="CS117" s="12" t="s">
        <v>327</v>
      </c>
      <c r="CT117" s="12" t="s">
        <v>327</v>
      </c>
      <c r="CU117" s="12" t="s">
        <v>327</v>
      </c>
      <c r="CV117" s="12" t="s">
        <v>327</v>
      </c>
      <c r="CW117" s="12" t="s">
        <v>327</v>
      </c>
      <c r="CX117" s="12" t="s">
        <v>327</v>
      </c>
    </row>
    <row r="118" spans="1:102" hidden="1" x14ac:dyDescent="0.3">
      <c r="A118" s="12" t="s">
        <v>2208</v>
      </c>
      <c r="B118" s="12" t="s">
        <v>2181</v>
      </c>
      <c r="C118" s="12" t="s">
        <v>2209</v>
      </c>
      <c r="D118" s="12" t="s">
        <v>2210</v>
      </c>
      <c r="E118" s="12" t="s">
        <v>277</v>
      </c>
      <c r="F118" s="12" t="s">
        <v>277</v>
      </c>
      <c r="G118" s="12" t="s">
        <v>277</v>
      </c>
      <c r="H118" s="12" t="s">
        <v>277</v>
      </c>
      <c r="I118" s="12" t="s">
        <v>277</v>
      </c>
      <c r="J118" s="12" t="s">
        <v>277</v>
      </c>
      <c r="K118" s="12" t="s">
        <v>277</v>
      </c>
      <c r="L118" s="12" t="s">
        <v>277</v>
      </c>
      <c r="M118" s="12" t="s">
        <v>277</v>
      </c>
      <c r="N118" s="12" t="s">
        <v>277</v>
      </c>
      <c r="O118" s="12" t="s">
        <v>277</v>
      </c>
      <c r="P118" s="12" t="s">
        <v>277</v>
      </c>
      <c r="Q118" s="12" t="s">
        <v>277</v>
      </c>
      <c r="R118" s="12" t="s">
        <v>277</v>
      </c>
      <c r="S118" s="12" t="s">
        <v>277</v>
      </c>
      <c r="T118" s="12" t="s">
        <v>277</v>
      </c>
      <c r="U118" s="12" t="s">
        <v>277</v>
      </c>
      <c r="V118" s="12" t="s">
        <v>277</v>
      </c>
      <c r="W118" s="12" t="s">
        <v>277</v>
      </c>
      <c r="X118" s="12" t="s">
        <v>277</v>
      </c>
      <c r="Y118" s="12" t="s">
        <v>277</v>
      </c>
      <c r="Z118" s="12" t="s">
        <v>277</v>
      </c>
      <c r="AA118" s="12" t="s">
        <v>277</v>
      </c>
      <c r="AB118" s="12" t="s">
        <v>277</v>
      </c>
      <c r="AC118" s="12" t="s">
        <v>277</v>
      </c>
      <c r="AD118" s="12" t="s">
        <v>277</v>
      </c>
      <c r="AE118" s="12" t="s">
        <v>277</v>
      </c>
      <c r="AF118" s="12" t="s">
        <v>277</v>
      </c>
      <c r="AG118" s="12" t="s">
        <v>277</v>
      </c>
      <c r="AH118" s="12" t="s">
        <v>277</v>
      </c>
      <c r="AI118" s="12" t="s">
        <v>277</v>
      </c>
      <c r="AJ118" s="12" t="s">
        <v>277</v>
      </c>
      <c r="AK118" s="12" t="s">
        <v>277</v>
      </c>
      <c r="AL118" s="12" t="s">
        <v>277</v>
      </c>
      <c r="AM118" s="12" t="s">
        <v>277</v>
      </c>
      <c r="AN118" s="12" t="s">
        <v>277</v>
      </c>
      <c r="AO118" s="12" t="s">
        <v>277</v>
      </c>
      <c r="AP118" s="12" t="s">
        <v>277</v>
      </c>
      <c r="AQ118" s="12" t="s">
        <v>277</v>
      </c>
      <c r="AR118" s="12" t="s">
        <v>277</v>
      </c>
      <c r="AS118" s="12" t="s">
        <v>277</v>
      </c>
      <c r="AT118" s="12" t="s">
        <v>277</v>
      </c>
      <c r="AU118" s="12" t="s">
        <v>277</v>
      </c>
      <c r="AV118" s="12" t="s">
        <v>277</v>
      </c>
      <c r="AW118" s="12" t="s">
        <v>277</v>
      </c>
      <c r="AX118" s="12" t="s">
        <v>322</v>
      </c>
      <c r="AY118" s="12" t="s">
        <v>322</v>
      </c>
      <c r="AZ118" s="12" t="s">
        <v>322</v>
      </c>
      <c r="BA118" s="12" t="s">
        <v>322</v>
      </c>
      <c r="BB118" s="12" t="s">
        <v>371</v>
      </c>
      <c r="BC118" s="12" t="s">
        <v>371</v>
      </c>
      <c r="BD118" s="12" t="s">
        <v>371</v>
      </c>
      <c r="BE118" s="12" t="s">
        <v>460</v>
      </c>
      <c r="BF118" s="12" t="s">
        <v>460</v>
      </c>
      <c r="BG118" s="12" t="s">
        <v>461</v>
      </c>
      <c r="BH118" s="12" t="s">
        <v>283</v>
      </c>
      <c r="BI118" s="12" t="s">
        <v>373</v>
      </c>
      <c r="BJ118" s="12" t="s">
        <v>325</v>
      </c>
      <c r="BK118" s="12" t="s">
        <v>551</v>
      </c>
      <c r="BL118" s="12" t="s">
        <v>551</v>
      </c>
      <c r="BM118" s="12" t="s">
        <v>795</v>
      </c>
      <c r="BN118" s="12" t="s">
        <v>418</v>
      </c>
      <c r="BO118" s="12" t="s">
        <v>691</v>
      </c>
      <c r="BP118" s="12" t="s">
        <v>672</v>
      </c>
      <c r="BQ118" s="12" t="s">
        <v>672</v>
      </c>
      <c r="BR118" s="12" t="s">
        <v>883</v>
      </c>
      <c r="BS118" s="12" t="s">
        <v>557</v>
      </c>
      <c r="BT118" s="12" t="s">
        <v>557</v>
      </c>
      <c r="BU118" s="12" t="s">
        <v>557</v>
      </c>
      <c r="BV118" s="12" t="s">
        <v>472</v>
      </c>
      <c r="BW118" s="12" t="s">
        <v>1055</v>
      </c>
      <c r="BX118" s="12" t="s">
        <v>1057</v>
      </c>
      <c r="BY118" s="12" t="s">
        <v>1519</v>
      </c>
      <c r="BZ118" s="12" t="s">
        <v>1584</v>
      </c>
      <c r="CA118" s="12" t="s">
        <v>1797</v>
      </c>
      <c r="CB118" s="12" t="s">
        <v>1008</v>
      </c>
      <c r="CC118" s="12" t="s">
        <v>884</v>
      </c>
      <c r="CD118" s="12" t="s">
        <v>1799</v>
      </c>
      <c r="CE118" s="12" t="s">
        <v>1799</v>
      </c>
      <c r="CF118" s="12" t="s">
        <v>1321</v>
      </c>
      <c r="CG118" s="12" t="s">
        <v>1321</v>
      </c>
      <c r="CH118" s="12" t="s">
        <v>1321</v>
      </c>
      <c r="CI118" s="12" t="s">
        <v>961</v>
      </c>
      <c r="CJ118" s="12" t="s">
        <v>961</v>
      </c>
      <c r="CK118" s="12" t="s">
        <v>473</v>
      </c>
      <c r="CL118" s="12" t="s">
        <v>473</v>
      </c>
      <c r="CM118" s="12" t="s">
        <v>473</v>
      </c>
      <c r="CN118" s="12" t="s">
        <v>473</v>
      </c>
      <c r="CO118" s="12" t="s">
        <v>885</v>
      </c>
      <c r="CP118" s="12" t="s">
        <v>885</v>
      </c>
      <c r="CQ118" s="12" t="s">
        <v>885</v>
      </c>
      <c r="CR118" s="12" t="s">
        <v>423</v>
      </c>
      <c r="CS118" s="12" t="s">
        <v>423</v>
      </c>
      <c r="CT118" s="12" t="s">
        <v>293</v>
      </c>
      <c r="CU118" s="12" t="s">
        <v>725</v>
      </c>
      <c r="CV118" s="12" t="s">
        <v>725</v>
      </c>
      <c r="CW118" s="12" t="s">
        <v>725</v>
      </c>
      <c r="CX118" s="12" t="s">
        <v>725</v>
      </c>
    </row>
    <row r="119" spans="1:102" hidden="1" x14ac:dyDescent="0.3">
      <c r="A119" s="12" t="s">
        <v>12</v>
      </c>
      <c r="B119" s="12" t="s">
        <v>2181</v>
      </c>
      <c r="C119" s="12" t="s">
        <v>2211</v>
      </c>
      <c r="D119" s="12" t="s">
        <v>2212</v>
      </c>
      <c r="E119" s="12" t="s">
        <v>277</v>
      </c>
      <c r="F119" s="12" t="s">
        <v>277</v>
      </c>
      <c r="G119" s="12" t="s">
        <v>322</v>
      </c>
      <c r="H119" s="12" t="s">
        <v>371</v>
      </c>
      <c r="I119" s="12" t="s">
        <v>371</v>
      </c>
      <c r="J119" s="12" t="s">
        <v>371</v>
      </c>
      <c r="K119" s="12" t="s">
        <v>279</v>
      </c>
      <c r="L119" s="12" t="s">
        <v>280</v>
      </c>
      <c r="M119" s="12" t="s">
        <v>280</v>
      </c>
      <c r="N119" s="12" t="s">
        <v>280</v>
      </c>
      <c r="O119" s="12" t="s">
        <v>550</v>
      </c>
      <c r="P119" s="12" t="s">
        <v>550</v>
      </c>
      <c r="Q119" s="12" t="s">
        <v>550</v>
      </c>
      <c r="R119" s="12" t="s">
        <v>550</v>
      </c>
      <c r="S119" s="12" t="s">
        <v>550</v>
      </c>
      <c r="T119" s="12" t="s">
        <v>550</v>
      </c>
      <c r="U119" s="12" t="s">
        <v>550</v>
      </c>
      <c r="V119" s="12" t="s">
        <v>282</v>
      </c>
      <c r="W119" s="12" t="s">
        <v>282</v>
      </c>
      <c r="X119" s="12" t="s">
        <v>282</v>
      </c>
      <c r="Y119" s="12" t="s">
        <v>282</v>
      </c>
      <c r="Z119" s="12" t="s">
        <v>282</v>
      </c>
      <c r="AA119" s="12" t="s">
        <v>282</v>
      </c>
      <c r="AB119" s="12" t="s">
        <v>282</v>
      </c>
      <c r="AC119" s="12" t="s">
        <v>324</v>
      </c>
      <c r="AD119" s="12" t="s">
        <v>324</v>
      </c>
      <c r="AE119" s="12" t="s">
        <v>324</v>
      </c>
      <c r="AF119" s="12" t="s">
        <v>324</v>
      </c>
      <c r="AG119" s="12" t="s">
        <v>324</v>
      </c>
      <c r="AH119" s="12" t="s">
        <v>324</v>
      </c>
      <c r="AI119" s="12" t="s">
        <v>324</v>
      </c>
      <c r="AJ119" s="12" t="s">
        <v>324</v>
      </c>
      <c r="AK119" s="12" t="s">
        <v>324</v>
      </c>
      <c r="AL119" s="12" t="s">
        <v>324</v>
      </c>
      <c r="AM119" s="12" t="s">
        <v>455</v>
      </c>
      <c r="AN119" s="12" t="s">
        <v>507</v>
      </c>
      <c r="AO119" s="12" t="s">
        <v>327</v>
      </c>
      <c r="AP119" s="12" t="s">
        <v>691</v>
      </c>
      <c r="AQ119" s="12" t="s">
        <v>560</v>
      </c>
      <c r="AR119" s="12" t="s">
        <v>1732</v>
      </c>
      <c r="AS119" s="12" t="s">
        <v>978</v>
      </c>
      <c r="AT119" s="12" t="s">
        <v>2213</v>
      </c>
      <c r="AU119" s="12" t="s">
        <v>828</v>
      </c>
      <c r="AV119" s="12" t="s">
        <v>349</v>
      </c>
      <c r="AW119" s="12" t="s">
        <v>1694</v>
      </c>
      <c r="AX119" s="12" t="s">
        <v>2214</v>
      </c>
      <c r="AY119" s="12" t="s">
        <v>1893</v>
      </c>
      <c r="AZ119" s="12" t="s">
        <v>2215</v>
      </c>
      <c r="BA119" s="12" t="s">
        <v>2216</v>
      </c>
      <c r="BB119" s="12" t="s">
        <v>2217</v>
      </c>
      <c r="BC119" s="12" t="s">
        <v>2217</v>
      </c>
      <c r="BD119" s="12" t="s">
        <v>2218</v>
      </c>
      <c r="BE119" s="12" t="s">
        <v>2219</v>
      </c>
      <c r="BF119" s="12" t="s">
        <v>2220</v>
      </c>
      <c r="BG119" s="12" t="s">
        <v>2221</v>
      </c>
      <c r="BH119" s="12" t="s">
        <v>2222</v>
      </c>
      <c r="BI119" s="12" t="s">
        <v>2223</v>
      </c>
      <c r="BJ119" s="12" t="s">
        <v>2224</v>
      </c>
      <c r="BK119" s="12" t="s">
        <v>2225</v>
      </c>
      <c r="BL119" s="12" t="s">
        <v>2226</v>
      </c>
      <c r="BM119" s="12" t="s">
        <v>2227</v>
      </c>
      <c r="BN119" s="12" t="s">
        <v>2228</v>
      </c>
      <c r="BO119" s="12" t="s">
        <v>2229</v>
      </c>
      <c r="BP119" s="12" t="s">
        <v>2230</v>
      </c>
      <c r="BQ119" s="12" t="s">
        <v>2231</v>
      </c>
      <c r="BR119" s="12" t="s">
        <v>2232</v>
      </c>
      <c r="BS119" s="12" t="s">
        <v>2233</v>
      </c>
      <c r="BT119" s="12" t="s">
        <v>2234</v>
      </c>
      <c r="BU119" s="12" t="s">
        <v>2235</v>
      </c>
      <c r="BV119" s="12" t="s">
        <v>2236</v>
      </c>
      <c r="BW119" s="12" t="s">
        <v>2237</v>
      </c>
      <c r="BX119" s="12" t="s">
        <v>2238</v>
      </c>
      <c r="BY119" s="12" t="s">
        <v>2239</v>
      </c>
      <c r="BZ119" s="12" t="s">
        <v>2240</v>
      </c>
      <c r="CA119" s="12" t="s">
        <v>2241</v>
      </c>
      <c r="CB119" s="12" t="s">
        <v>2242</v>
      </c>
      <c r="CC119" s="12" t="s">
        <v>2243</v>
      </c>
      <c r="CD119" s="12" t="s">
        <v>2244</v>
      </c>
      <c r="CE119" s="12" t="s">
        <v>2245</v>
      </c>
      <c r="CF119" s="12" t="s">
        <v>2246</v>
      </c>
      <c r="CG119" s="12" t="s">
        <v>2247</v>
      </c>
      <c r="CH119" s="12" t="s">
        <v>2248</v>
      </c>
      <c r="CI119" s="12" t="s">
        <v>2249</v>
      </c>
      <c r="CJ119" s="12" t="s">
        <v>2250</v>
      </c>
      <c r="CK119" s="12" t="s">
        <v>2251</v>
      </c>
      <c r="CL119" s="12" t="s">
        <v>2252</v>
      </c>
      <c r="CM119" s="12" t="s">
        <v>2253</v>
      </c>
      <c r="CN119" s="12" t="s">
        <v>2254</v>
      </c>
      <c r="CO119" s="12" t="s">
        <v>2255</v>
      </c>
      <c r="CP119" s="12" t="s">
        <v>2256</v>
      </c>
      <c r="CQ119" s="12" t="s">
        <v>2257</v>
      </c>
      <c r="CR119" s="12" t="s">
        <v>2258</v>
      </c>
      <c r="CS119" s="12" t="s">
        <v>2259</v>
      </c>
      <c r="CT119" s="12" t="s">
        <v>2260</v>
      </c>
      <c r="CU119" s="12" t="s">
        <v>4162</v>
      </c>
      <c r="CV119" s="12" t="s">
        <v>4163</v>
      </c>
      <c r="CW119" s="12" t="s">
        <v>4164</v>
      </c>
      <c r="CX119" s="12" t="s">
        <v>4165</v>
      </c>
    </row>
    <row r="120" spans="1:102" hidden="1" x14ac:dyDescent="0.3">
      <c r="A120" s="12" t="s">
        <v>12</v>
      </c>
      <c r="B120" s="12" t="s">
        <v>2261</v>
      </c>
      <c r="C120" s="12" t="s">
        <v>2262</v>
      </c>
      <c r="D120" s="12" t="s">
        <v>2263</v>
      </c>
      <c r="E120" s="12" t="s">
        <v>277</v>
      </c>
      <c r="F120" s="12" t="s">
        <v>277</v>
      </c>
      <c r="G120" s="12" t="s">
        <v>277</v>
      </c>
      <c r="H120" s="12" t="s">
        <v>277</v>
      </c>
      <c r="I120" s="12" t="s">
        <v>277</v>
      </c>
      <c r="J120" s="12" t="s">
        <v>277</v>
      </c>
      <c r="K120" s="12" t="s">
        <v>277</v>
      </c>
      <c r="L120" s="12" t="s">
        <v>277</v>
      </c>
      <c r="M120" s="12" t="s">
        <v>277</v>
      </c>
      <c r="N120" s="12" t="s">
        <v>277</v>
      </c>
      <c r="O120" s="12" t="s">
        <v>277</v>
      </c>
      <c r="P120" s="12" t="s">
        <v>277</v>
      </c>
      <c r="Q120" s="12" t="s">
        <v>277</v>
      </c>
      <c r="R120" s="12" t="s">
        <v>277</v>
      </c>
      <c r="S120" s="12" t="s">
        <v>277</v>
      </c>
      <c r="T120" s="12" t="s">
        <v>277</v>
      </c>
      <c r="U120" s="12" t="s">
        <v>277</v>
      </c>
      <c r="V120" s="12" t="s">
        <v>277</v>
      </c>
      <c r="W120" s="12" t="s">
        <v>277</v>
      </c>
      <c r="X120" s="12" t="s">
        <v>277</v>
      </c>
      <c r="Y120" s="12" t="s">
        <v>277</v>
      </c>
      <c r="Z120" s="12" t="s">
        <v>277</v>
      </c>
      <c r="AA120" s="12" t="s">
        <v>277</v>
      </c>
      <c r="AB120" s="12" t="s">
        <v>277</v>
      </c>
      <c r="AC120" s="12" t="s">
        <v>277</v>
      </c>
      <c r="AD120" s="12" t="s">
        <v>277</v>
      </c>
      <c r="AE120" s="12" t="s">
        <v>277</v>
      </c>
      <c r="AF120" s="12" t="s">
        <v>277</v>
      </c>
      <c r="AG120" s="12" t="s">
        <v>277</v>
      </c>
      <c r="AH120" s="12" t="s">
        <v>277</v>
      </c>
      <c r="AI120" s="12" t="s">
        <v>277</v>
      </c>
      <c r="AJ120" s="12" t="s">
        <v>277</v>
      </c>
      <c r="AK120" s="12" t="s">
        <v>277</v>
      </c>
      <c r="AL120" s="12" t="s">
        <v>277</v>
      </c>
      <c r="AM120" s="12" t="s">
        <v>277</v>
      </c>
      <c r="AN120" s="12" t="s">
        <v>277</v>
      </c>
      <c r="AO120" s="12" t="s">
        <v>277</v>
      </c>
      <c r="AP120" s="12" t="s">
        <v>277</v>
      </c>
      <c r="AQ120" s="12" t="s">
        <v>277</v>
      </c>
      <c r="AR120" s="12" t="s">
        <v>277</v>
      </c>
      <c r="AS120" s="12" t="s">
        <v>277</v>
      </c>
      <c r="AT120" s="12" t="s">
        <v>277</v>
      </c>
      <c r="AU120" s="12" t="s">
        <v>277</v>
      </c>
      <c r="AV120" s="12" t="s">
        <v>277</v>
      </c>
      <c r="AW120" s="12" t="s">
        <v>277</v>
      </c>
      <c r="AX120" s="12" t="s">
        <v>277</v>
      </c>
      <c r="AY120" s="12" t="s">
        <v>277</v>
      </c>
      <c r="AZ120" s="12" t="s">
        <v>277</v>
      </c>
      <c r="BA120" s="12" t="s">
        <v>277</v>
      </c>
      <c r="BB120" s="12" t="s">
        <v>277</v>
      </c>
      <c r="BC120" s="12" t="s">
        <v>277</v>
      </c>
      <c r="BD120" s="12" t="s">
        <v>277</v>
      </c>
      <c r="BE120" s="12" t="s">
        <v>278</v>
      </c>
      <c r="BF120" s="12" t="s">
        <v>278</v>
      </c>
      <c r="BG120" s="12" t="s">
        <v>278</v>
      </c>
      <c r="BH120" s="12" t="s">
        <v>278</v>
      </c>
      <c r="BI120" s="12" t="s">
        <v>278</v>
      </c>
      <c r="BJ120" s="12" t="s">
        <v>278</v>
      </c>
      <c r="BK120" s="12" t="s">
        <v>371</v>
      </c>
      <c r="BL120" s="12" t="s">
        <v>279</v>
      </c>
      <c r="BM120" s="12" t="s">
        <v>280</v>
      </c>
      <c r="BN120" s="12" t="s">
        <v>280</v>
      </c>
      <c r="BO120" s="12" t="s">
        <v>550</v>
      </c>
      <c r="BP120" s="12" t="s">
        <v>550</v>
      </c>
      <c r="BQ120" s="12" t="s">
        <v>281</v>
      </c>
      <c r="BR120" s="12" t="s">
        <v>281</v>
      </c>
      <c r="BS120" s="12" t="s">
        <v>281</v>
      </c>
      <c r="BT120" s="12" t="s">
        <v>281</v>
      </c>
      <c r="BU120" s="12" t="s">
        <v>281</v>
      </c>
      <c r="BV120" s="12" t="s">
        <v>283</v>
      </c>
      <c r="BW120" s="12" t="s">
        <v>507</v>
      </c>
      <c r="BX120" s="12" t="s">
        <v>284</v>
      </c>
      <c r="BY120" s="12" t="s">
        <v>284</v>
      </c>
      <c r="BZ120" s="12" t="s">
        <v>284</v>
      </c>
      <c r="CA120" s="12" t="s">
        <v>284</v>
      </c>
      <c r="CB120" s="12" t="s">
        <v>286</v>
      </c>
      <c r="CC120" s="12" t="s">
        <v>1716</v>
      </c>
      <c r="CD120" s="12" t="s">
        <v>466</v>
      </c>
      <c r="CE120" s="12" t="s">
        <v>795</v>
      </c>
      <c r="CF120" s="12" t="s">
        <v>795</v>
      </c>
      <c r="CG120" s="12" t="s">
        <v>617</v>
      </c>
      <c r="CH120" s="12" t="s">
        <v>690</v>
      </c>
      <c r="CI120" s="12" t="s">
        <v>691</v>
      </c>
      <c r="CJ120" s="12" t="s">
        <v>691</v>
      </c>
      <c r="CK120" s="12" t="s">
        <v>555</v>
      </c>
      <c r="CL120" s="12" t="s">
        <v>555</v>
      </c>
      <c r="CM120" s="12" t="s">
        <v>1197</v>
      </c>
      <c r="CN120" s="12" t="s">
        <v>1197</v>
      </c>
      <c r="CO120" s="12" t="s">
        <v>907</v>
      </c>
      <c r="CP120" s="12" t="s">
        <v>292</v>
      </c>
      <c r="CQ120" s="12" t="s">
        <v>1301</v>
      </c>
      <c r="CR120" s="12" t="s">
        <v>976</v>
      </c>
      <c r="CS120" s="12" t="s">
        <v>1185</v>
      </c>
      <c r="CT120" s="12" t="s">
        <v>1513</v>
      </c>
      <c r="CU120" s="12" t="s">
        <v>977</v>
      </c>
      <c r="CV120" s="12" t="s">
        <v>977</v>
      </c>
      <c r="CW120" s="12" t="s">
        <v>1416</v>
      </c>
      <c r="CX120" s="12" t="s">
        <v>1322</v>
      </c>
    </row>
    <row r="121" spans="1:102" hidden="1" x14ac:dyDescent="0.3">
      <c r="A121" s="12" t="s">
        <v>12</v>
      </c>
      <c r="B121" s="12" t="s">
        <v>2264</v>
      </c>
      <c r="C121" s="12" t="s">
        <v>2265</v>
      </c>
      <c r="D121" s="12" t="s">
        <v>2266</v>
      </c>
      <c r="E121" s="12" t="s">
        <v>277</v>
      </c>
      <c r="F121" s="12" t="s">
        <v>277</v>
      </c>
      <c r="G121" s="12" t="s">
        <v>277</v>
      </c>
      <c r="H121" s="12" t="s">
        <v>277</v>
      </c>
      <c r="I121" s="12" t="s">
        <v>277</v>
      </c>
      <c r="J121" s="12" t="s">
        <v>277</v>
      </c>
      <c r="K121" s="12" t="s">
        <v>277</v>
      </c>
      <c r="L121" s="12" t="s">
        <v>277</v>
      </c>
      <c r="M121" s="12" t="s">
        <v>277</v>
      </c>
      <c r="N121" s="12" t="s">
        <v>277</v>
      </c>
      <c r="O121" s="12" t="s">
        <v>277</v>
      </c>
      <c r="P121" s="12" t="s">
        <v>277</v>
      </c>
      <c r="Q121" s="12" t="s">
        <v>277</v>
      </c>
      <c r="R121" s="12" t="s">
        <v>277</v>
      </c>
      <c r="S121" s="12" t="s">
        <v>277</v>
      </c>
      <c r="T121" s="12" t="s">
        <v>277</v>
      </c>
      <c r="U121" s="12" t="s">
        <v>277</v>
      </c>
      <c r="V121" s="12" t="s">
        <v>277</v>
      </c>
      <c r="W121" s="12" t="s">
        <v>277</v>
      </c>
      <c r="X121" s="12" t="s">
        <v>277</v>
      </c>
      <c r="Y121" s="12" t="s">
        <v>277</v>
      </c>
      <c r="Z121" s="12" t="s">
        <v>277</v>
      </c>
      <c r="AA121" s="12" t="s">
        <v>277</v>
      </c>
      <c r="AB121" s="12" t="s">
        <v>277</v>
      </c>
      <c r="AC121" s="12" t="s">
        <v>277</v>
      </c>
      <c r="AD121" s="12" t="s">
        <v>277</v>
      </c>
      <c r="AE121" s="12" t="s">
        <v>277</v>
      </c>
      <c r="AF121" s="12" t="s">
        <v>277</v>
      </c>
      <c r="AG121" s="12" t="s">
        <v>277</v>
      </c>
      <c r="AH121" s="12" t="s">
        <v>277</v>
      </c>
      <c r="AI121" s="12" t="s">
        <v>277</v>
      </c>
      <c r="AJ121" s="12" t="s">
        <v>277</v>
      </c>
      <c r="AK121" s="12" t="s">
        <v>277</v>
      </c>
      <c r="AL121" s="12" t="s">
        <v>277</v>
      </c>
      <c r="AM121" s="12" t="s">
        <v>277</v>
      </c>
      <c r="AN121" s="12" t="s">
        <v>277</v>
      </c>
      <c r="AO121" s="12" t="s">
        <v>277</v>
      </c>
      <c r="AP121" s="12" t="s">
        <v>277</v>
      </c>
      <c r="AQ121" s="12" t="s">
        <v>277</v>
      </c>
      <c r="AR121" s="12" t="s">
        <v>277</v>
      </c>
      <c r="AS121" s="12" t="s">
        <v>277</v>
      </c>
      <c r="AT121" s="12" t="s">
        <v>277</v>
      </c>
      <c r="AU121" s="12" t="s">
        <v>277</v>
      </c>
      <c r="AV121" s="12" t="s">
        <v>277</v>
      </c>
      <c r="AW121" s="12" t="s">
        <v>277</v>
      </c>
      <c r="AX121" s="12" t="s">
        <v>277</v>
      </c>
      <c r="AY121" s="12" t="s">
        <v>277</v>
      </c>
      <c r="AZ121" s="12" t="s">
        <v>277</v>
      </c>
      <c r="BA121" s="12" t="s">
        <v>277</v>
      </c>
      <c r="BB121" s="12" t="s">
        <v>277</v>
      </c>
      <c r="BC121" s="12" t="s">
        <v>277</v>
      </c>
      <c r="BD121" s="12" t="s">
        <v>277</v>
      </c>
      <c r="BE121" s="12" t="s">
        <v>277</v>
      </c>
      <c r="BF121" s="12" t="s">
        <v>277</v>
      </c>
      <c r="BG121" s="12" t="s">
        <v>277</v>
      </c>
      <c r="BH121" s="12" t="s">
        <v>278</v>
      </c>
      <c r="BI121" s="12" t="s">
        <v>278</v>
      </c>
      <c r="BJ121" s="12" t="s">
        <v>278</v>
      </c>
      <c r="BK121" s="12" t="s">
        <v>278</v>
      </c>
      <c r="BL121" s="12" t="s">
        <v>278</v>
      </c>
      <c r="BM121" s="12" t="s">
        <v>278</v>
      </c>
      <c r="BN121" s="12" t="s">
        <v>322</v>
      </c>
      <c r="BO121" s="12" t="s">
        <v>371</v>
      </c>
      <c r="BP121" s="12" t="s">
        <v>371</v>
      </c>
      <c r="BQ121" s="12" t="s">
        <v>371</v>
      </c>
      <c r="BR121" s="12" t="s">
        <v>371</v>
      </c>
      <c r="BS121" s="12" t="s">
        <v>371</v>
      </c>
      <c r="BT121" s="12" t="s">
        <v>279</v>
      </c>
      <c r="BU121" s="12" t="s">
        <v>279</v>
      </c>
      <c r="BV121" s="12" t="s">
        <v>279</v>
      </c>
      <c r="BW121" s="12" t="s">
        <v>279</v>
      </c>
      <c r="BX121" s="12" t="s">
        <v>279</v>
      </c>
      <c r="BY121" s="12" t="s">
        <v>279</v>
      </c>
      <c r="BZ121" s="12" t="s">
        <v>279</v>
      </c>
      <c r="CA121" s="12" t="s">
        <v>279</v>
      </c>
      <c r="CB121" s="12" t="s">
        <v>279</v>
      </c>
      <c r="CC121" s="12" t="s">
        <v>279</v>
      </c>
      <c r="CD121" s="12" t="s">
        <v>279</v>
      </c>
      <c r="CE121" s="12" t="s">
        <v>279</v>
      </c>
      <c r="CF121" s="12" t="s">
        <v>279</v>
      </c>
      <c r="CG121" s="12" t="s">
        <v>460</v>
      </c>
      <c r="CH121" s="12" t="s">
        <v>460</v>
      </c>
      <c r="CI121" s="12" t="s">
        <v>460</v>
      </c>
      <c r="CJ121" s="12" t="s">
        <v>460</v>
      </c>
      <c r="CK121" s="12" t="s">
        <v>460</v>
      </c>
      <c r="CL121" s="12" t="s">
        <v>460</v>
      </c>
      <c r="CM121" s="12" t="s">
        <v>460</v>
      </c>
      <c r="CN121" s="12" t="s">
        <v>460</v>
      </c>
      <c r="CO121" s="12" t="s">
        <v>323</v>
      </c>
      <c r="CP121" s="12" t="s">
        <v>323</v>
      </c>
      <c r="CQ121" s="12" t="s">
        <v>323</v>
      </c>
      <c r="CR121" s="12" t="s">
        <v>323</v>
      </c>
      <c r="CS121" s="12" t="s">
        <v>323</v>
      </c>
      <c r="CT121" s="12" t="s">
        <v>323</v>
      </c>
      <c r="CU121" s="12" t="s">
        <v>323</v>
      </c>
      <c r="CV121" s="12" t="s">
        <v>323</v>
      </c>
      <c r="CW121" s="12" t="s">
        <v>323</v>
      </c>
      <c r="CX121" s="12" t="s">
        <v>323</v>
      </c>
    </row>
    <row r="122" spans="1:102" hidden="1" x14ac:dyDescent="0.3">
      <c r="A122" s="12" t="s">
        <v>12</v>
      </c>
      <c r="B122" s="12" t="s">
        <v>2267</v>
      </c>
      <c r="C122" s="12" t="s">
        <v>2268</v>
      </c>
      <c r="D122" s="12" t="s">
        <v>2269</v>
      </c>
      <c r="E122" s="12" t="s">
        <v>277</v>
      </c>
      <c r="F122" s="12" t="s">
        <v>277</v>
      </c>
      <c r="G122" s="12" t="s">
        <v>277</v>
      </c>
      <c r="H122" s="12" t="s">
        <v>277</v>
      </c>
      <c r="I122" s="12" t="s">
        <v>277</v>
      </c>
      <c r="J122" s="12" t="s">
        <v>277</v>
      </c>
      <c r="K122" s="12" t="s">
        <v>277</v>
      </c>
      <c r="L122" s="12" t="s">
        <v>277</v>
      </c>
      <c r="M122" s="12" t="s">
        <v>277</v>
      </c>
      <c r="N122" s="12" t="s">
        <v>277</v>
      </c>
      <c r="O122" s="12" t="s">
        <v>277</v>
      </c>
      <c r="P122" s="12" t="s">
        <v>277</v>
      </c>
      <c r="Q122" s="12" t="s">
        <v>277</v>
      </c>
      <c r="R122" s="12" t="s">
        <v>277</v>
      </c>
      <c r="S122" s="12" t="s">
        <v>277</v>
      </c>
      <c r="T122" s="12" t="s">
        <v>277</v>
      </c>
      <c r="U122" s="12" t="s">
        <v>277</v>
      </c>
      <c r="V122" s="12" t="s">
        <v>277</v>
      </c>
      <c r="W122" s="12" t="s">
        <v>277</v>
      </c>
      <c r="X122" s="12" t="s">
        <v>277</v>
      </c>
      <c r="Y122" s="12" t="s">
        <v>277</v>
      </c>
      <c r="Z122" s="12" t="s">
        <v>277</v>
      </c>
      <c r="AA122" s="12" t="s">
        <v>277</v>
      </c>
      <c r="AB122" s="12" t="s">
        <v>277</v>
      </c>
      <c r="AC122" s="12" t="s">
        <v>277</v>
      </c>
      <c r="AD122" s="12" t="s">
        <v>277</v>
      </c>
      <c r="AE122" s="12" t="s">
        <v>277</v>
      </c>
      <c r="AF122" s="12" t="s">
        <v>277</v>
      </c>
      <c r="AG122" s="12" t="s">
        <v>277</v>
      </c>
      <c r="AH122" s="12" t="s">
        <v>277</v>
      </c>
      <c r="AI122" s="12" t="s">
        <v>277</v>
      </c>
      <c r="AJ122" s="12" t="s">
        <v>277</v>
      </c>
      <c r="AK122" s="12" t="s">
        <v>277</v>
      </c>
      <c r="AL122" s="12" t="s">
        <v>277</v>
      </c>
      <c r="AM122" s="12" t="s">
        <v>277</v>
      </c>
      <c r="AN122" s="12" t="s">
        <v>278</v>
      </c>
      <c r="AO122" s="12" t="s">
        <v>278</v>
      </c>
      <c r="AP122" s="12" t="s">
        <v>278</v>
      </c>
      <c r="AQ122" s="12" t="s">
        <v>278</v>
      </c>
      <c r="AR122" s="12" t="s">
        <v>371</v>
      </c>
      <c r="AS122" s="12" t="s">
        <v>371</v>
      </c>
      <c r="AT122" s="12" t="s">
        <v>371</v>
      </c>
      <c r="AU122" s="12" t="s">
        <v>371</v>
      </c>
      <c r="AV122" s="12" t="s">
        <v>279</v>
      </c>
      <c r="AW122" s="12" t="s">
        <v>279</v>
      </c>
      <c r="AX122" s="12" t="s">
        <v>279</v>
      </c>
      <c r="AY122" s="12" t="s">
        <v>567</v>
      </c>
      <c r="AZ122" s="12" t="s">
        <v>461</v>
      </c>
      <c r="BA122" s="12" t="s">
        <v>461</v>
      </c>
      <c r="BB122" s="12" t="s">
        <v>286</v>
      </c>
      <c r="BC122" s="12" t="s">
        <v>286</v>
      </c>
      <c r="BD122" s="12" t="s">
        <v>456</v>
      </c>
      <c r="BE122" s="12" t="s">
        <v>1716</v>
      </c>
      <c r="BF122" s="12" t="s">
        <v>326</v>
      </c>
      <c r="BG122" s="12" t="s">
        <v>326</v>
      </c>
      <c r="BH122" s="12" t="s">
        <v>466</v>
      </c>
      <c r="BI122" s="12" t="s">
        <v>327</v>
      </c>
      <c r="BJ122" s="12" t="s">
        <v>287</v>
      </c>
      <c r="BK122" s="12" t="s">
        <v>958</v>
      </c>
      <c r="BL122" s="12" t="s">
        <v>690</v>
      </c>
      <c r="BM122" s="12" t="s">
        <v>378</v>
      </c>
      <c r="BN122" s="12" t="s">
        <v>618</v>
      </c>
      <c r="BO122" s="12" t="s">
        <v>333</v>
      </c>
      <c r="BP122" s="12" t="s">
        <v>419</v>
      </c>
      <c r="BQ122" s="12" t="s">
        <v>470</v>
      </c>
      <c r="BR122" s="12" t="s">
        <v>1051</v>
      </c>
      <c r="BS122" s="12" t="s">
        <v>381</v>
      </c>
      <c r="BT122" s="12" t="s">
        <v>556</v>
      </c>
      <c r="BU122" s="12" t="s">
        <v>561</v>
      </c>
      <c r="BV122" s="12" t="s">
        <v>291</v>
      </c>
      <c r="BW122" s="12" t="s">
        <v>1116</v>
      </c>
      <c r="BX122" s="12" t="s">
        <v>572</v>
      </c>
      <c r="BY122" s="12" t="s">
        <v>1321</v>
      </c>
      <c r="BZ122" s="12" t="s">
        <v>1009</v>
      </c>
      <c r="CA122" s="12" t="s">
        <v>294</v>
      </c>
      <c r="CB122" s="12" t="s">
        <v>424</v>
      </c>
      <c r="CC122" s="12" t="s">
        <v>1835</v>
      </c>
      <c r="CD122" s="12" t="s">
        <v>1416</v>
      </c>
      <c r="CE122" s="12" t="s">
        <v>862</v>
      </c>
      <c r="CF122" s="12" t="s">
        <v>1864</v>
      </c>
      <c r="CG122" s="12" t="s">
        <v>1062</v>
      </c>
      <c r="CH122" s="12" t="s">
        <v>655</v>
      </c>
      <c r="CI122" s="12" t="s">
        <v>1434</v>
      </c>
      <c r="CJ122" s="12" t="s">
        <v>965</v>
      </c>
      <c r="CK122" s="12" t="s">
        <v>1123</v>
      </c>
      <c r="CL122" s="12" t="s">
        <v>2270</v>
      </c>
      <c r="CM122" s="12" t="s">
        <v>429</v>
      </c>
      <c r="CN122" s="12" t="s">
        <v>2200</v>
      </c>
      <c r="CO122" s="12" t="s">
        <v>1865</v>
      </c>
      <c r="CP122" s="12" t="s">
        <v>2093</v>
      </c>
      <c r="CQ122" s="12" t="s">
        <v>1365</v>
      </c>
      <c r="CR122" s="12" t="s">
        <v>353</v>
      </c>
      <c r="CS122" s="12" t="s">
        <v>1231</v>
      </c>
      <c r="CT122" s="12" t="s">
        <v>302</v>
      </c>
      <c r="CU122" s="12" t="s">
        <v>1399</v>
      </c>
      <c r="CV122" s="12" t="s">
        <v>1138</v>
      </c>
      <c r="CW122" s="12" t="s">
        <v>1099</v>
      </c>
      <c r="CX122" s="12" t="s">
        <v>388</v>
      </c>
    </row>
    <row r="123" spans="1:102" hidden="1" x14ac:dyDescent="0.3">
      <c r="A123" s="12" t="s">
        <v>12</v>
      </c>
      <c r="B123" s="12" t="s">
        <v>2271</v>
      </c>
      <c r="C123" s="12" t="s">
        <v>2272</v>
      </c>
      <c r="D123" s="12" t="s">
        <v>2273</v>
      </c>
      <c r="E123" s="12" t="s">
        <v>277</v>
      </c>
      <c r="F123" s="12" t="s">
        <v>277</v>
      </c>
      <c r="G123" s="12" t="s">
        <v>277</v>
      </c>
      <c r="H123" s="12" t="s">
        <v>277</v>
      </c>
      <c r="I123" s="12" t="s">
        <v>277</v>
      </c>
      <c r="J123" s="12" t="s">
        <v>278</v>
      </c>
      <c r="K123" s="12" t="s">
        <v>279</v>
      </c>
      <c r="L123" s="12" t="s">
        <v>279</v>
      </c>
      <c r="M123" s="12" t="s">
        <v>279</v>
      </c>
      <c r="N123" s="12" t="s">
        <v>280</v>
      </c>
      <c r="O123" s="12" t="s">
        <v>454</v>
      </c>
      <c r="P123" s="12" t="s">
        <v>323</v>
      </c>
      <c r="Q123" s="12" t="s">
        <v>324</v>
      </c>
      <c r="R123" s="12" t="s">
        <v>324</v>
      </c>
      <c r="S123" s="12" t="s">
        <v>324</v>
      </c>
      <c r="T123" s="12" t="s">
        <v>324</v>
      </c>
      <c r="U123" s="12" t="s">
        <v>567</v>
      </c>
      <c r="V123" s="12" t="s">
        <v>567</v>
      </c>
      <c r="W123" s="12" t="s">
        <v>455</v>
      </c>
      <c r="X123" s="12" t="s">
        <v>455</v>
      </c>
      <c r="Y123" s="12" t="s">
        <v>283</v>
      </c>
      <c r="Z123" s="12" t="s">
        <v>283</v>
      </c>
      <c r="AA123" s="12" t="s">
        <v>283</v>
      </c>
      <c r="AB123" s="12" t="s">
        <v>283</v>
      </c>
      <c r="AC123" s="12" t="s">
        <v>283</v>
      </c>
      <c r="AD123" s="12" t="s">
        <v>283</v>
      </c>
      <c r="AE123" s="12" t="s">
        <v>283</v>
      </c>
      <c r="AF123" s="12" t="s">
        <v>283</v>
      </c>
      <c r="AG123" s="12" t="s">
        <v>283</v>
      </c>
      <c r="AH123" s="12" t="s">
        <v>283</v>
      </c>
      <c r="AI123" s="12" t="s">
        <v>283</v>
      </c>
      <c r="AJ123" s="12" t="s">
        <v>283</v>
      </c>
      <c r="AK123" s="12" t="s">
        <v>283</v>
      </c>
      <c r="AL123" s="12" t="s">
        <v>283</v>
      </c>
      <c r="AM123" s="12" t="s">
        <v>372</v>
      </c>
      <c r="AN123" s="12" t="s">
        <v>612</v>
      </c>
      <c r="AO123" s="12" t="s">
        <v>617</v>
      </c>
      <c r="AP123" s="12" t="s">
        <v>377</v>
      </c>
      <c r="AQ123" s="12" t="s">
        <v>470</v>
      </c>
      <c r="AR123" s="12" t="s">
        <v>1732</v>
      </c>
      <c r="AS123" s="12" t="s">
        <v>1431</v>
      </c>
      <c r="AT123" s="12" t="s">
        <v>1835</v>
      </c>
      <c r="AU123" s="12" t="s">
        <v>1192</v>
      </c>
      <c r="AV123" s="12" t="s">
        <v>521</v>
      </c>
      <c r="AW123" s="12" t="s">
        <v>2274</v>
      </c>
      <c r="AX123" s="12" t="s">
        <v>2275</v>
      </c>
      <c r="AY123" s="12" t="s">
        <v>845</v>
      </c>
      <c r="AZ123" s="12" t="s">
        <v>316</v>
      </c>
      <c r="BA123" s="12" t="s">
        <v>2276</v>
      </c>
      <c r="BB123" s="12" t="s">
        <v>1907</v>
      </c>
      <c r="BC123" s="12" t="s">
        <v>2277</v>
      </c>
      <c r="BD123" s="12" t="s">
        <v>2278</v>
      </c>
      <c r="BE123" s="12" t="s">
        <v>2279</v>
      </c>
      <c r="BF123" s="12" t="s">
        <v>2280</v>
      </c>
      <c r="BG123" s="12" t="s">
        <v>2281</v>
      </c>
      <c r="BH123" s="12" t="s">
        <v>2282</v>
      </c>
      <c r="BI123" s="12" t="s">
        <v>2283</v>
      </c>
      <c r="BJ123" s="12" t="s">
        <v>2284</v>
      </c>
      <c r="BK123" s="12" t="s">
        <v>2285</v>
      </c>
      <c r="BL123" s="12" t="s">
        <v>2286</v>
      </c>
      <c r="BM123" s="12" t="s">
        <v>2287</v>
      </c>
      <c r="BN123" s="12" t="s">
        <v>2288</v>
      </c>
      <c r="BO123" s="12" t="s">
        <v>2289</v>
      </c>
      <c r="BP123" s="12" t="s">
        <v>2290</v>
      </c>
      <c r="BQ123" s="12" t="s">
        <v>2291</v>
      </c>
      <c r="BR123" s="12" t="s">
        <v>2292</v>
      </c>
      <c r="BS123" s="12" t="s">
        <v>2293</v>
      </c>
      <c r="BT123" s="12" t="s">
        <v>2294</v>
      </c>
      <c r="BU123" s="12" t="s">
        <v>2295</v>
      </c>
      <c r="BV123" s="12" t="s">
        <v>2296</v>
      </c>
      <c r="BW123" s="12" t="s">
        <v>2297</v>
      </c>
      <c r="BX123" s="12" t="s">
        <v>2298</v>
      </c>
      <c r="BY123" s="12" t="s">
        <v>2299</v>
      </c>
      <c r="BZ123" s="12" t="s">
        <v>2300</v>
      </c>
      <c r="CA123" s="12" t="s">
        <v>2301</v>
      </c>
      <c r="CB123" s="12" t="s">
        <v>2302</v>
      </c>
      <c r="CC123" s="12" t="s">
        <v>2303</v>
      </c>
      <c r="CD123" s="12" t="s">
        <v>2304</v>
      </c>
      <c r="CE123" s="12" t="s">
        <v>2305</v>
      </c>
      <c r="CF123" s="12" t="s">
        <v>2306</v>
      </c>
      <c r="CG123" s="12" t="s">
        <v>2307</v>
      </c>
      <c r="CH123" s="12" t="s">
        <v>2308</v>
      </c>
      <c r="CI123" s="12" t="s">
        <v>2309</v>
      </c>
      <c r="CJ123" s="12" t="s">
        <v>2310</v>
      </c>
      <c r="CK123" s="12" t="s">
        <v>2311</v>
      </c>
      <c r="CL123" s="12" t="s">
        <v>2312</v>
      </c>
      <c r="CM123" s="12" t="s">
        <v>2313</v>
      </c>
      <c r="CN123" s="12" t="s">
        <v>2314</v>
      </c>
      <c r="CO123" s="12" t="s">
        <v>2315</v>
      </c>
      <c r="CP123" s="12" t="s">
        <v>2316</v>
      </c>
      <c r="CQ123" s="12" t="s">
        <v>2317</v>
      </c>
      <c r="CR123" s="12" t="s">
        <v>2318</v>
      </c>
      <c r="CS123" s="12" t="s">
        <v>2319</v>
      </c>
      <c r="CT123" s="12" t="s">
        <v>2320</v>
      </c>
      <c r="CU123" s="12" t="s">
        <v>4166</v>
      </c>
      <c r="CV123" s="12" t="s">
        <v>4167</v>
      </c>
      <c r="CW123" s="12" t="s">
        <v>4168</v>
      </c>
      <c r="CX123" s="12" t="s">
        <v>4169</v>
      </c>
    </row>
    <row r="124" spans="1:102" hidden="1" x14ac:dyDescent="0.3">
      <c r="A124" s="12" t="s">
        <v>12</v>
      </c>
      <c r="B124" s="12" t="s">
        <v>2321</v>
      </c>
      <c r="C124" s="12" t="s">
        <v>2322</v>
      </c>
      <c r="D124" s="12" t="s">
        <v>2323</v>
      </c>
      <c r="E124" s="12" t="s">
        <v>277</v>
      </c>
      <c r="F124" s="12" t="s">
        <v>277</v>
      </c>
      <c r="G124" s="12" t="s">
        <v>277</v>
      </c>
      <c r="H124" s="12" t="s">
        <v>277</v>
      </c>
      <c r="I124" s="12" t="s">
        <v>277</v>
      </c>
      <c r="J124" s="12" t="s">
        <v>277</v>
      </c>
      <c r="K124" s="12" t="s">
        <v>277</v>
      </c>
      <c r="L124" s="12" t="s">
        <v>277</v>
      </c>
      <c r="M124" s="12" t="s">
        <v>277</v>
      </c>
      <c r="N124" s="12" t="s">
        <v>277</v>
      </c>
      <c r="O124" s="12" t="s">
        <v>277</v>
      </c>
      <c r="P124" s="12" t="s">
        <v>277</v>
      </c>
      <c r="Q124" s="12" t="s">
        <v>277</v>
      </c>
      <c r="R124" s="12" t="s">
        <v>277</v>
      </c>
      <c r="S124" s="12" t="s">
        <v>277</v>
      </c>
      <c r="T124" s="12" t="s">
        <v>277</v>
      </c>
      <c r="U124" s="12" t="s">
        <v>277</v>
      </c>
      <c r="V124" s="12" t="s">
        <v>277</v>
      </c>
      <c r="W124" s="12" t="s">
        <v>277</v>
      </c>
      <c r="X124" s="12" t="s">
        <v>277</v>
      </c>
      <c r="Y124" s="12" t="s">
        <v>277</v>
      </c>
      <c r="Z124" s="12" t="s">
        <v>277</v>
      </c>
      <c r="AA124" s="12" t="s">
        <v>277</v>
      </c>
      <c r="AB124" s="12" t="s">
        <v>277</v>
      </c>
      <c r="AC124" s="12" t="s">
        <v>277</v>
      </c>
      <c r="AD124" s="12" t="s">
        <v>277</v>
      </c>
      <c r="AE124" s="12" t="s">
        <v>277</v>
      </c>
      <c r="AF124" s="12" t="s">
        <v>277</v>
      </c>
      <c r="AG124" s="12" t="s">
        <v>277</v>
      </c>
      <c r="AH124" s="12" t="s">
        <v>277</v>
      </c>
      <c r="AI124" s="12" t="s">
        <v>277</v>
      </c>
      <c r="AJ124" s="12" t="s">
        <v>277</v>
      </c>
      <c r="AK124" s="12" t="s">
        <v>277</v>
      </c>
      <c r="AL124" s="12" t="s">
        <v>277</v>
      </c>
      <c r="AM124" s="12" t="s">
        <v>277</v>
      </c>
      <c r="AN124" s="12" t="s">
        <v>277</v>
      </c>
      <c r="AO124" s="12" t="s">
        <v>277</v>
      </c>
      <c r="AP124" s="12" t="s">
        <v>277</v>
      </c>
      <c r="AQ124" s="12" t="s">
        <v>277</v>
      </c>
      <c r="AR124" s="12" t="s">
        <v>277</v>
      </c>
      <c r="AS124" s="12" t="s">
        <v>277</v>
      </c>
      <c r="AT124" s="12" t="s">
        <v>277</v>
      </c>
      <c r="AU124" s="12" t="s">
        <v>277</v>
      </c>
      <c r="AV124" s="12" t="s">
        <v>277</v>
      </c>
      <c r="AW124" s="12" t="s">
        <v>277</v>
      </c>
      <c r="AX124" s="12" t="s">
        <v>277</v>
      </c>
      <c r="AY124" s="12" t="s">
        <v>277</v>
      </c>
      <c r="AZ124" s="12" t="s">
        <v>277</v>
      </c>
      <c r="BA124" s="12" t="s">
        <v>277</v>
      </c>
      <c r="BB124" s="12" t="s">
        <v>277</v>
      </c>
      <c r="BC124" s="12" t="s">
        <v>277</v>
      </c>
      <c r="BD124" s="12" t="s">
        <v>277</v>
      </c>
      <c r="BE124" s="12" t="s">
        <v>371</v>
      </c>
      <c r="BF124" s="12" t="s">
        <v>550</v>
      </c>
      <c r="BG124" s="12" t="s">
        <v>550</v>
      </c>
      <c r="BH124" s="12" t="s">
        <v>281</v>
      </c>
      <c r="BI124" s="12" t="s">
        <v>281</v>
      </c>
      <c r="BJ124" s="12" t="s">
        <v>282</v>
      </c>
      <c r="BK124" s="12" t="s">
        <v>283</v>
      </c>
      <c r="BL124" s="12" t="s">
        <v>373</v>
      </c>
      <c r="BM124" s="12" t="s">
        <v>325</v>
      </c>
      <c r="BN124" s="12" t="s">
        <v>612</v>
      </c>
      <c r="BO124" s="12" t="s">
        <v>418</v>
      </c>
      <c r="BP124" s="12" t="s">
        <v>557</v>
      </c>
      <c r="BQ124" s="12" t="s">
        <v>960</v>
      </c>
      <c r="BR124" s="12" t="s">
        <v>1056</v>
      </c>
      <c r="BS124" s="12" t="s">
        <v>1711</v>
      </c>
      <c r="BT124" s="12" t="s">
        <v>884</v>
      </c>
      <c r="BU124" s="12" t="s">
        <v>884</v>
      </c>
      <c r="BV124" s="12" t="s">
        <v>1787</v>
      </c>
      <c r="BW124" s="12" t="s">
        <v>683</v>
      </c>
      <c r="BX124" s="12" t="s">
        <v>2213</v>
      </c>
      <c r="BY124" s="12" t="s">
        <v>685</v>
      </c>
      <c r="BZ124" s="12" t="s">
        <v>685</v>
      </c>
      <c r="CA124" s="12" t="s">
        <v>825</v>
      </c>
      <c r="CB124" s="12" t="s">
        <v>825</v>
      </c>
      <c r="CC124" s="12" t="s">
        <v>656</v>
      </c>
      <c r="CD124" s="12" t="s">
        <v>1306</v>
      </c>
      <c r="CE124" s="12" t="s">
        <v>1540</v>
      </c>
      <c r="CF124" s="12" t="s">
        <v>1540</v>
      </c>
      <c r="CG124" s="12" t="s">
        <v>1365</v>
      </c>
      <c r="CH124" s="12" t="s">
        <v>1405</v>
      </c>
      <c r="CI124" s="12" t="s">
        <v>1405</v>
      </c>
      <c r="CJ124" s="12" t="s">
        <v>1687</v>
      </c>
      <c r="CK124" s="12" t="s">
        <v>1687</v>
      </c>
      <c r="CL124" s="12" t="s">
        <v>799</v>
      </c>
      <c r="CM124" s="12" t="s">
        <v>799</v>
      </c>
      <c r="CN124" s="12" t="s">
        <v>2324</v>
      </c>
      <c r="CO124" s="12" t="s">
        <v>2325</v>
      </c>
      <c r="CP124" s="12" t="s">
        <v>2325</v>
      </c>
      <c r="CQ124" s="12" t="s">
        <v>2325</v>
      </c>
      <c r="CR124" s="12" t="s">
        <v>2326</v>
      </c>
      <c r="CS124" s="12" t="s">
        <v>2326</v>
      </c>
      <c r="CT124" s="12" t="s">
        <v>317</v>
      </c>
      <c r="CU124" s="12" t="s">
        <v>317</v>
      </c>
      <c r="CV124" s="12" t="s">
        <v>3103</v>
      </c>
      <c r="CW124" s="12" t="s">
        <v>3103</v>
      </c>
      <c r="CX124" s="12" t="s">
        <v>849</v>
      </c>
    </row>
    <row r="125" spans="1:102" hidden="1" x14ac:dyDescent="0.3">
      <c r="A125" s="12" t="s">
        <v>12</v>
      </c>
      <c r="B125" s="12" t="s">
        <v>2327</v>
      </c>
      <c r="C125" s="12" t="s">
        <v>2328</v>
      </c>
      <c r="D125" s="12" t="s">
        <v>2329</v>
      </c>
      <c r="E125" s="12" t="s">
        <v>277</v>
      </c>
      <c r="F125" s="12" t="s">
        <v>277</v>
      </c>
      <c r="G125" s="12" t="s">
        <v>277</v>
      </c>
      <c r="H125" s="12" t="s">
        <v>277</v>
      </c>
      <c r="I125" s="12" t="s">
        <v>277</v>
      </c>
      <c r="J125" s="12" t="s">
        <v>277</v>
      </c>
      <c r="K125" s="12" t="s">
        <v>277</v>
      </c>
      <c r="L125" s="12" t="s">
        <v>277</v>
      </c>
      <c r="M125" s="12" t="s">
        <v>277</v>
      </c>
      <c r="N125" s="12" t="s">
        <v>277</v>
      </c>
      <c r="O125" s="12" t="s">
        <v>277</v>
      </c>
      <c r="P125" s="12" t="s">
        <v>277</v>
      </c>
      <c r="Q125" s="12" t="s">
        <v>277</v>
      </c>
      <c r="R125" s="12" t="s">
        <v>277</v>
      </c>
      <c r="S125" s="12" t="s">
        <v>277</v>
      </c>
      <c r="T125" s="12" t="s">
        <v>277</v>
      </c>
      <c r="U125" s="12" t="s">
        <v>277</v>
      </c>
      <c r="V125" s="12" t="s">
        <v>277</v>
      </c>
      <c r="W125" s="12" t="s">
        <v>277</v>
      </c>
      <c r="X125" s="12" t="s">
        <v>277</v>
      </c>
      <c r="Y125" s="12" t="s">
        <v>277</v>
      </c>
      <c r="Z125" s="12" t="s">
        <v>277</v>
      </c>
      <c r="AA125" s="12" t="s">
        <v>277</v>
      </c>
      <c r="AB125" s="12" t="s">
        <v>277</v>
      </c>
      <c r="AC125" s="12" t="s">
        <v>277</v>
      </c>
      <c r="AD125" s="12" t="s">
        <v>277</v>
      </c>
      <c r="AE125" s="12" t="s">
        <v>277</v>
      </c>
      <c r="AF125" s="12" t="s">
        <v>277</v>
      </c>
      <c r="AG125" s="12" t="s">
        <v>277</v>
      </c>
      <c r="AH125" s="12" t="s">
        <v>277</v>
      </c>
      <c r="AI125" s="12" t="s">
        <v>277</v>
      </c>
      <c r="AJ125" s="12" t="s">
        <v>277</v>
      </c>
      <c r="AK125" s="12" t="s">
        <v>277</v>
      </c>
      <c r="AL125" s="12" t="s">
        <v>277</v>
      </c>
      <c r="AM125" s="12" t="s">
        <v>277</v>
      </c>
      <c r="AN125" s="12" t="s">
        <v>278</v>
      </c>
      <c r="AO125" s="12" t="s">
        <v>371</v>
      </c>
      <c r="AP125" s="12" t="s">
        <v>279</v>
      </c>
      <c r="AQ125" s="12" t="s">
        <v>279</v>
      </c>
      <c r="AR125" s="12" t="s">
        <v>281</v>
      </c>
      <c r="AS125" s="12" t="s">
        <v>281</v>
      </c>
      <c r="AT125" s="12" t="s">
        <v>281</v>
      </c>
      <c r="AU125" s="12" t="s">
        <v>460</v>
      </c>
      <c r="AV125" s="12" t="s">
        <v>465</v>
      </c>
      <c r="AW125" s="12" t="s">
        <v>467</v>
      </c>
      <c r="AX125" s="12" t="s">
        <v>617</v>
      </c>
      <c r="AY125" s="12" t="s">
        <v>819</v>
      </c>
      <c r="AZ125" s="12" t="s">
        <v>819</v>
      </c>
      <c r="BA125" s="12" t="s">
        <v>335</v>
      </c>
      <c r="BB125" s="12" t="s">
        <v>559</v>
      </c>
      <c r="BC125" s="12" t="s">
        <v>559</v>
      </c>
      <c r="BD125" s="12" t="s">
        <v>1536</v>
      </c>
      <c r="BE125" s="12" t="s">
        <v>826</v>
      </c>
      <c r="BF125" s="12" t="s">
        <v>1064</v>
      </c>
      <c r="BG125" s="12" t="s">
        <v>1064</v>
      </c>
      <c r="BH125" s="12" t="s">
        <v>476</v>
      </c>
      <c r="BI125" s="12" t="s">
        <v>1395</v>
      </c>
      <c r="BJ125" s="12" t="s">
        <v>1395</v>
      </c>
      <c r="BK125" s="12" t="s">
        <v>734</v>
      </c>
      <c r="BL125" s="12" t="s">
        <v>1367</v>
      </c>
      <c r="BM125" s="12" t="s">
        <v>985</v>
      </c>
      <c r="BN125" s="12" t="s">
        <v>1932</v>
      </c>
      <c r="BO125" s="12" t="s">
        <v>629</v>
      </c>
      <c r="BP125" s="12" t="s">
        <v>699</v>
      </c>
      <c r="BQ125" s="12" t="s">
        <v>1553</v>
      </c>
      <c r="BR125" s="12" t="s">
        <v>2330</v>
      </c>
      <c r="BS125" s="12" t="s">
        <v>2331</v>
      </c>
      <c r="BT125" s="12" t="s">
        <v>2332</v>
      </c>
      <c r="BU125" s="12" t="s">
        <v>708</v>
      </c>
      <c r="BV125" s="12" t="s">
        <v>2333</v>
      </c>
      <c r="BW125" s="12" t="s">
        <v>1479</v>
      </c>
      <c r="BX125" s="12" t="s">
        <v>1497</v>
      </c>
      <c r="BY125" s="12" t="s">
        <v>2334</v>
      </c>
      <c r="BZ125" s="12" t="s">
        <v>2335</v>
      </c>
      <c r="CA125" s="12" t="s">
        <v>2336</v>
      </c>
      <c r="CB125" s="12" t="s">
        <v>2337</v>
      </c>
      <c r="CC125" s="12" t="s">
        <v>1905</v>
      </c>
      <c r="CD125" s="12" t="s">
        <v>2338</v>
      </c>
      <c r="CE125" s="12" t="s">
        <v>2339</v>
      </c>
      <c r="CF125" s="12" t="s">
        <v>2340</v>
      </c>
      <c r="CG125" s="12" t="s">
        <v>2341</v>
      </c>
      <c r="CH125" s="12" t="s">
        <v>2342</v>
      </c>
      <c r="CI125" s="12" t="s">
        <v>2343</v>
      </c>
      <c r="CJ125" s="12" t="s">
        <v>2344</v>
      </c>
      <c r="CK125" s="12" t="s">
        <v>2345</v>
      </c>
      <c r="CL125" s="12" t="s">
        <v>2346</v>
      </c>
      <c r="CM125" s="12" t="s">
        <v>2347</v>
      </c>
      <c r="CN125" s="12" t="s">
        <v>2348</v>
      </c>
      <c r="CO125" s="12" t="s">
        <v>2348</v>
      </c>
      <c r="CP125" s="12" t="s">
        <v>2349</v>
      </c>
      <c r="CQ125" s="12" t="s">
        <v>2350</v>
      </c>
      <c r="CR125" s="12" t="s">
        <v>2351</v>
      </c>
      <c r="CS125" s="12" t="s">
        <v>2352</v>
      </c>
      <c r="CT125" s="12" t="s">
        <v>2353</v>
      </c>
      <c r="CU125" s="12" t="s">
        <v>3525</v>
      </c>
      <c r="CV125" s="12" t="s">
        <v>4170</v>
      </c>
      <c r="CW125" s="12" t="s">
        <v>407</v>
      </c>
      <c r="CX125" s="12" t="s">
        <v>4171</v>
      </c>
    </row>
    <row r="126" spans="1:102" hidden="1" x14ac:dyDescent="0.3">
      <c r="A126" s="12" t="s">
        <v>12</v>
      </c>
      <c r="B126" s="12" t="s">
        <v>2354</v>
      </c>
      <c r="C126" s="12" t="s">
        <v>2355</v>
      </c>
      <c r="D126" s="12" t="s">
        <v>2356</v>
      </c>
      <c r="E126" s="12" t="s">
        <v>277</v>
      </c>
      <c r="F126" s="12" t="s">
        <v>277</v>
      </c>
      <c r="G126" s="12" t="s">
        <v>277</v>
      </c>
      <c r="H126" s="12" t="s">
        <v>277</v>
      </c>
      <c r="I126" s="12" t="s">
        <v>277</v>
      </c>
      <c r="J126" s="12" t="s">
        <v>277</v>
      </c>
      <c r="K126" s="12" t="s">
        <v>277</v>
      </c>
      <c r="L126" s="12" t="s">
        <v>277</v>
      </c>
      <c r="M126" s="12" t="s">
        <v>277</v>
      </c>
      <c r="N126" s="12" t="s">
        <v>277</v>
      </c>
      <c r="O126" s="12" t="s">
        <v>277</v>
      </c>
      <c r="P126" s="12" t="s">
        <v>277</v>
      </c>
      <c r="Q126" s="12" t="s">
        <v>277</v>
      </c>
      <c r="R126" s="12" t="s">
        <v>277</v>
      </c>
      <c r="S126" s="12" t="s">
        <v>277</v>
      </c>
      <c r="T126" s="12" t="s">
        <v>277</v>
      </c>
      <c r="U126" s="12" t="s">
        <v>277</v>
      </c>
      <c r="V126" s="12" t="s">
        <v>277</v>
      </c>
      <c r="W126" s="12" t="s">
        <v>277</v>
      </c>
      <c r="X126" s="12" t="s">
        <v>277</v>
      </c>
      <c r="Y126" s="12" t="s">
        <v>277</v>
      </c>
      <c r="Z126" s="12" t="s">
        <v>277</v>
      </c>
      <c r="AA126" s="12" t="s">
        <v>277</v>
      </c>
      <c r="AB126" s="12" t="s">
        <v>277</v>
      </c>
      <c r="AC126" s="12" t="s">
        <v>277</v>
      </c>
      <c r="AD126" s="12" t="s">
        <v>277</v>
      </c>
      <c r="AE126" s="12" t="s">
        <v>277</v>
      </c>
      <c r="AF126" s="12" t="s">
        <v>277</v>
      </c>
      <c r="AG126" s="12" t="s">
        <v>277</v>
      </c>
      <c r="AH126" s="12" t="s">
        <v>277</v>
      </c>
      <c r="AI126" s="12" t="s">
        <v>277</v>
      </c>
      <c r="AJ126" s="12" t="s">
        <v>277</v>
      </c>
      <c r="AK126" s="12" t="s">
        <v>277</v>
      </c>
      <c r="AL126" s="12" t="s">
        <v>277</v>
      </c>
      <c r="AM126" s="12" t="s">
        <v>277</v>
      </c>
      <c r="AN126" s="12" t="s">
        <v>277</v>
      </c>
      <c r="AO126" s="12" t="s">
        <v>277</v>
      </c>
      <c r="AP126" s="12" t="s">
        <v>277</v>
      </c>
      <c r="AQ126" s="12" t="s">
        <v>277</v>
      </c>
      <c r="AR126" s="12" t="s">
        <v>277</v>
      </c>
      <c r="AS126" s="12" t="s">
        <v>277</v>
      </c>
      <c r="AT126" s="12" t="s">
        <v>277</v>
      </c>
      <c r="AU126" s="12" t="s">
        <v>277</v>
      </c>
      <c r="AV126" s="12" t="s">
        <v>277</v>
      </c>
      <c r="AW126" s="12" t="s">
        <v>277</v>
      </c>
      <c r="AX126" s="12" t="s">
        <v>277</v>
      </c>
      <c r="AY126" s="12" t="s">
        <v>277</v>
      </c>
      <c r="AZ126" s="12" t="s">
        <v>277</v>
      </c>
      <c r="BA126" s="12" t="s">
        <v>277</v>
      </c>
      <c r="BB126" s="12" t="s">
        <v>277</v>
      </c>
      <c r="BC126" s="12" t="s">
        <v>277</v>
      </c>
      <c r="BD126" s="12" t="s">
        <v>277</v>
      </c>
      <c r="BE126" s="12" t="s">
        <v>278</v>
      </c>
      <c r="BF126" s="12" t="s">
        <v>278</v>
      </c>
      <c r="BG126" s="12" t="s">
        <v>322</v>
      </c>
      <c r="BH126" s="12" t="s">
        <v>550</v>
      </c>
      <c r="BI126" s="12" t="s">
        <v>550</v>
      </c>
      <c r="BJ126" s="12" t="s">
        <v>460</v>
      </c>
      <c r="BK126" s="12" t="s">
        <v>324</v>
      </c>
      <c r="BL126" s="12" t="s">
        <v>372</v>
      </c>
      <c r="BM126" s="12" t="s">
        <v>373</v>
      </c>
      <c r="BN126" s="12" t="s">
        <v>374</v>
      </c>
      <c r="BO126" s="12" t="s">
        <v>284</v>
      </c>
      <c r="BP126" s="12" t="s">
        <v>286</v>
      </c>
      <c r="BQ126" s="12" t="s">
        <v>456</v>
      </c>
      <c r="BR126" s="12" t="s">
        <v>568</v>
      </c>
      <c r="BS126" s="12" t="s">
        <v>466</v>
      </c>
      <c r="BT126" s="12" t="s">
        <v>466</v>
      </c>
      <c r="BU126" s="12" t="s">
        <v>670</v>
      </c>
      <c r="BV126" s="12" t="s">
        <v>327</v>
      </c>
      <c r="BW126" s="12" t="s">
        <v>417</v>
      </c>
      <c r="BX126" s="12" t="s">
        <v>671</v>
      </c>
      <c r="BY126" s="12" t="s">
        <v>653</v>
      </c>
      <c r="BZ126" s="12" t="s">
        <v>618</v>
      </c>
      <c r="CA126" s="12" t="s">
        <v>618</v>
      </c>
      <c r="CB126" s="12" t="s">
        <v>333</v>
      </c>
      <c r="CC126" s="12" t="s">
        <v>554</v>
      </c>
      <c r="CD126" s="12" t="s">
        <v>380</v>
      </c>
      <c r="CE126" s="12" t="s">
        <v>824</v>
      </c>
      <c r="CF126" s="12" t="s">
        <v>975</v>
      </c>
      <c r="CG126" s="12" t="s">
        <v>1056</v>
      </c>
      <c r="CH126" s="12" t="s">
        <v>1321</v>
      </c>
      <c r="CI126" s="12" t="s">
        <v>1301</v>
      </c>
      <c r="CJ126" s="12" t="s">
        <v>1185</v>
      </c>
      <c r="CK126" s="12" t="s">
        <v>682</v>
      </c>
      <c r="CL126" s="12" t="s">
        <v>1835</v>
      </c>
      <c r="CM126" s="12" t="s">
        <v>825</v>
      </c>
      <c r="CN126" s="12" t="s">
        <v>514</v>
      </c>
      <c r="CO126" s="12" t="s">
        <v>655</v>
      </c>
      <c r="CP126" s="12" t="s">
        <v>1305</v>
      </c>
      <c r="CQ126" s="12" t="s">
        <v>1437</v>
      </c>
      <c r="CR126" s="12" t="s">
        <v>1308</v>
      </c>
      <c r="CS126" s="12" t="s">
        <v>1097</v>
      </c>
      <c r="CT126" s="12" t="s">
        <v>2357</v>
      </c>
      <c r="CU126" s="12" t="s">
        <v>2397</v>
      </c>
      <c r="CV126" s="12" t="s">
        <v>3535</v>
      </c>
      <c r="CW126" s="12" t="s">
        <v>1367</v>
      </c>
      <c r="CX126" s="12" t="s">
        <v>1367</v>
      </c>
    </row>
    <row r="127" spans="1:102" hidden="1" x14ac:dyDescent="0.3">
      <c r="A127" s="12" t="s">
        <v>12</v>
      </c>
      <c r="B127" s="12" t="s">
        <v>2358</v>
      </c>
      <c r="C127" s="12" t="s">
        <v>2359</v>
      </c>
      <c r="D127" s="12" t="s">
        <v>2360</v>
      </c>
      <c r="E127" s="12" t="s">
        <v>277</v>
      </c>
      <c r="F127" s="12" t="s">
        <v>277</v>
      </c>
      <c r="G127" s="12" t="s">
        <v>277</v>
      </c>
      <c r="H127" s="12" t="s">
        <v>277</v>
      </c>
      <c r="I127" s="12" t="s">
        <v>277</v>
      </c>
      <c r="J127" s="12" t="s">
        <v>277</v>
      </c>
      <c r="K127" s="12" t="s">
        <v>277</v>
      </c>
      <c r="L127" s="12" t="s">
        <v>277</v>
      </c>
      <c r="M127" s="12" t="s">
        <v>277</v>
      </c>
      <c r="N127" s="12" t="s">
        <v>277</v>
      </c>
      <c r="O127" s="12" t="s">
        <v>277</v>
      </c>
      <c r="P127" s="12" t="s">
        <v>277</v>
      </c>
      <c r="Q127" s="12" t="s">
        <v>277</v>
      </c>
      <c r="R127" s="12" t="s">
        <v>277</v>
      </c>
      <c r="S127" s="12" t="s">
        <v>277</v>
      </c>
      <c r="T127" s="12" t="s">
        <v>277</v>
      </c>
      <c r="U127" s="12" t="s">
        <v>277</v>
      </c>
      <c r="V127" s="12" t="s">
        <v>277</v>
      </c>
      <c r="W127" s="12" t="s">
        <v>277</v>
      </c>
      <c r="X127" s="12" t="s">
        <v>277</v>
      </c>
      <c r="Y127" s="12" t="s">
        <v>277</v>
      </c>
      <c r="Z127" s="12" t="s">
        <v>277</v>
      </c>
      <c r="AA127" s="12" t="s">
        <v>277</v>
      </c>
      <c r="AB127" s="12" t="s">
        <v>277</v>
      </c>
      <c r="AC127" s="12" t="s">
        <v>277</v>
      </c>
      <c r="AD127" s="12" t="s">
        <v>277</v>
      </c>
      <c r="AE127" s="12" t="s">
        <v>277</v>
      </c>
      <c r="AF127" s="12" t="s">
        <v>277</v>
      </c>
      <c r="AG127" s="12" t="s">
        <v>277</v>
      </c>
      <c r="AH127" s="12" t="s">
        <v>277</v>
      </c>
      <c r="AI127" s="12" t="s">
        <v>277</v>
      </c>
      <c r="AJ127" s="12" t="s">
        <v>277</v>
      </c>
      <c r="AK127" s="12" t="s">
        <v>277</v>
      </c>
      <c r="AL127" s="12" t="s">
        <v>277</v>
      </c>
      <c r="AM127" s="12" t="s">
        <v>277</v>
      </c>
      <c r="AN127" s="12" t="s">
        <v>277</v>
      </c>
      <c r="AO127" s="12" t="s">
        <v>277</v>
      </c>
      <c r="AP127" s="12" t="s">
        <v>277</v>
      </c>
      <c r="AQ127" s="12" t="s">
        <v>277</v>
      </c>
      <c r="AR127" s="12" t="s">
        <v>277</v>
      </c>
      <c r="AS127" s="12" t="s">
        <v>277</v>
      </c>
      <c r="AT127" s="12" t="s">
        <v>277</v>
      </c>
      <c r="AU127" s="12" t="s">
        <v>277</v>
      </c>
      <c r="AV127" s="12" t="s">
        <v>277</v>
      </c>
      <c r="AW127" s="12" t="s">
        <v>277</v>
      </c>
      <c r="AX127" s="12" t="s">
        <v>277</v>
      </c>
      <c r="AY127" s="12" t="s">
        <v>277</v>
      </c>
      <c r="AZ127" s="12" t="s">
        <v>277</v>
      </c>
      <c r="BA127" s="12" t="s">
        <v>277</v>
      </c>
      <c r="BB127" s="12" t="s">
        <v>277</v>
      </c>
      <c r="BC127" s="12" t="s">
        <v>277</v>
      </c>
      <c r="BD127" s="12" t="s">
        <v>278</v>
      </c>
      <c r="BE127" s="12" t="s">
        <v>278</v>
      </c>
      <c r="BF127" s="12" t="s">
        <v>278</v>
      </c>
      <c r="BG127" s="12" t="s">
        <v>278</v>
      </c>
      <c r="BH127" s="12" t="s">
        <v>278</v>
      </c>
      <c r="BI127" s="12" t="s">
        <v>278</v>
      </c>
      <c r="BJ127" s="12" t="s">
        <v>278</v>
      </c>
      <c r="BK127" s="12" t="s">
        <v>278</v>
      </c>
      <c r="BL127" s="12" t="s">
        <v>322</v>
      </c>
      <c r="BM127" s="12" t="s">
        <v>322</v>
      </c>
      <c r="BN127" s="12" t="s">
        <v>279</v>
      </c>
      <c r="BO127" s="12" t="s">
        <v>279</v>
      </c>
      <c r="BP127" s="12" t="s">
        <v>279</v>
      </c>
      <c r="BQ127" s="12" t="s">
        <v>279</v>
      </c>
      <c r="BR127" s="12" t="s">
        <v>454</v>
      </c>
      <c r="BS127" s="12" t="s">
        <v>454</v>
      </c>
      <c r="BT127" s="12" t="s">
        <v>283</v>
      </c>
      <c r="BU127" s="12" t="s">
        <v>285</v>
      </c>
      <c r="BV127" s="12" t="s">
        <v>285</v>
      </c>
      <c r="BW127" s="12" t="s">
        <v>1716</v>
      </c>
      <c r="BX127" s="12" t="s">
        <v>508</v>
      </c>
      <c r="BY127" s="12" t="s">
        <v>819</v>
      </c>
      <c r="BZ127" s="12" t="s">
        <v>678</v>
      </c>
      <c r="CA127" s="12" t="s">
        <v>692</v>
      </c>
      <c r="CB127" s="12" t="s">
        <v>472</v>
      </c>
      <c r="CC127" s="12" t="s">
        <v>619</v>
      </c>
      <c r="CD127" s="12" t="s">
        <v>423</v>
      </c>
      <c r="CE127" s="12" t="s">
        <v>513</v>
      </c>
      <c r="CF127" s="12" t="s">
        <v>341</v>
      </c>
      <c r="CG127" s="12" t="s">
        <v>1188</v>
      </c>
      <c r="CH127" s="12" t="s">
        <v>1188</v>
      </c>
      <c r="CI127" s="12" t="s">
        <v>622</v>
      </c>
      <c r="CJ127" s="12" t="s">
        <v>1758</v>
      </c>
      <c r="CK127" s="12" t="s">
        <v>1760</v>
      </c>
      <c r="CL127" s="12" t="s">
        <v>666</v>
      </c>
      <c r="CM127" s="12" t="s">
        <v>2361</v>
      </c>
      <c r="CN127" s="12" t="s">
        <v>359</v>
      </c>
      <c r="CO127" s="12" t="s">
        <v>984</v>
      </c>
      <c r="CP127" s="12" t="s">
        <v>1768</v>
      </c>
      <c r="CQ127" s="12" t="s">
        <v>838</v>
      </c>
      <c r="CR127" s="12" t="s">
        <v>1604</v>
      </c>
      <c r="CS127" s="12" t="s">
        <v>1593</v>
      </c>
      <c r="CT127" s="12" t="s">
        <v>1807</v>
      </c>
      <c r="CU127" s="12" t="s">
        <v>313</v>
      </c>
      <c r="CV127" s="12" t="s">
        <v>313</v>
      </c>
      <c r="CW127" s="12" t="s">
        <v>1130</v>
      </c>
      <c r="CX127" s="12" t="s">
        <v>1824</v>
      </c>
    </row>
    <row r="128" spans="1:102" hidden="1" x14ac:dyDescent="0.3">
      <c r="A128" s="12" t="s">
        <v>12</v>
      </c>
      <c r="B128" s="12" t="s">
        <v>2362</v>
      </c>
      <c r="C128" s="12" t="s">
        <v>2363</v>
      </c>
      <c r="D128" s="12" t="s">
        <v>2364</v>
      </c>
      <c r="E128" s="12" t="s">
        <v>277</v>
      </c>
      <c r="F128" s="12" t="s">
        <v>277</v>
      </c>
      <c r="G128" s="12" t="s">
        <v>277</v>
      </c>
      <c r="H128" s="12" t="s">
        <v>277</v>
      </c>
      <c r="I128" s="12" t="s">
        <v>277</v>
      </c>
      <c r="J128" s="12" t="s">
        <v>277</v>
      </c>
      <c r="K128" s="12" t="s">
        <v>277</v>
      </c>
      <c r="L128" s="12" t="s">
        <v>277</v>
      </c>
      <c r="M128" s="12" t="s">
        <v>277</v>
      </c>
      <c r="N128" s="12" t="s">
        <v>277</v>
      </c>
      <c r="O128" s="12" t="s">
        <v>277</v>
      </c>
      <c r="P128" s="12" t="s">
        <v>277</v>
      </c>
      <c r="Q128" s="12" t="s">
        <v>277</v>
      </c>
      <c r="R128" s="12" t="s">
        <v>277</v>
      </c>
      <c r="S128" s="12" t="s">
        <v>277</v>
      </c>
      <c r="T128" s="12" t="s">
        <v>277</v>
      </c>
      <c r="U128" s="12" t="s">
        <v>277</v>
      </c>
      <c r="V128" s="12" t="s">
        <v>277</v>
      </c>
      <c r="W128" s="12" t="s">
        <v>277</v>
      </c>
      <c r="X128" s="12" t="s">
        <v>277</v>
      </c>
      <c r="Y128" s="12" t="s">
        <v>277</v>
      </c>
      <c r="Z128" s="12" t="s">
        <v>277</v>
      </c>
      <c r="AA128" s="12" t="s">
        <v>277</v>
      </c>
      <c r="AB128" s="12" t="s">
        <v>277</v>
      </c>
      <c r="AC128" s="12" t="s">
        <v>277</v>
      </c>
      <c r="AD128" s="12" t="s">
        <v>277</v>
      </c>
      <c r="AE128" s="12" t="s">
        <v>277</v>
      </c>
      <c r="AF128" s="12" t="s">
        <v>277</v>
      </c>
      <c r="AG128" s="12" t="s">
        <v>277</v>
      </c>
      <c r="AH128" s="12" t="s">
        <v>277</v>
      </c>
      <c r="AI128" s="12" t="s">
        <v>277</v>
      </c>
      <c r="AJ128" s="12" t="s">
        <v>277</v>
      </c>
      <c r="AK128" s="12" t="s">
        <v>277</v>
      </c>
      <c r="AL128" s="12" t="s">
        <v>277</v>
      </c>
      <c r="AM128" s="12" t="s">
        <v>277</v>
      </c>
      <c r="AN128" s="12" t="s">
        <v>277</v>
      </c>
      <c r="AO128" s="12" t="s">
        <v>277</v>
      </c>
      <c r="AP128" s="12" t="s">
        <v>277</v>
      </c>
      <c r="AQ128" s="12" t="s">
        <v>277</v>
      </c>
      <c r="AR128" s="12" t="s">
        <v>277</v>
      </c>
      <c r="AS128" s="12" t="s">
        <v>277</v>
      </c>
      <c r="AT128" s="12" t="s">
        <v>277</v>
      </c>
      <c r="AU128" s="12" t="s">
        <v>277</v>
      </c>
      <c r="AV128" s="12" t="s">
        <v>277</v>
      </c>
      <c r="AW128" s="12" t="s">
        <v>277</v>
      </c>
      <c r="AX128" s="12" t="s">
        <v>277</v>
      </c>
      <c r="AY128" s="12" t="s">
        <v>277</v>
      </c>
      <c r="AZ128" s="12" t="s">
        <v>277</v>
      </c>
      <c r="BA128" s="12" t="s">
        <v>277</v>
      </c>
      <c r="BB128" s="12" t="s">
        <v>277</v>
      </c>
      <c r="BC128" s="12" t="s">
        <v>278</v>
      </c>
      <c r="BD128" s="12" t="s">
        <v>278</v>
      </c>
      <c r="BE128" s="12" t="s">
        <v>278</v>
      </c>
      <c r="BF128" s="12" t="s">
        <v>279</v>
      </c>
      <c r="BG128" s="12" t="s">
        <v>279</v>
      </c>
      <c r="BH128" s="12" t="s">
        <v>281</v>
      </c>
      <c r="BI128" s="12" t="s">
        <v>281</v>
      </c>
      <c r="BJ128" s="12" t="s">
        <v>281</v>
      </c>
      <c r="BK128" s="12" t="s">
        <v>281</v>
      </c>
      <c r="BL128" s="12" t="s">
        <v>281</v>
      </c>
      <c r="BM128" s="12" t="s">
        <v>373</v>
      </c>
      <c r="BN128" s="12" t="s">
        <v>374</v>
      </c>
      <c r="BO128" s="12" t="s">
        <v>280</v>
      </c>
      <c r="BP128" s="12" t="s">
        <v>280</v>
      </c>
      <c r="BQ128" s="12" t="s">
        <v>280</v>
      </c>
      <c r="BR128" s="12" t="s">
        <v>280</v>
      </c>
      <c r="BS128" s="12" t="s">
        <v>454</v>
      </c>
      <c r="BT128" s="12" t="s">
        <v>454</v>
      </c>
      <c r="BU128" s="12" t="s">
        <v>454</v>
      </c>
      <c r="BV128" s="12" t="s">
        <v>324</v>
      </c>
      <c r="BW128" s="12" t="s">
        <v>373</v>
      </c>
      <c r="BX128" s="12" t="s">
        <v>373</v>
      </c>
      <c r="BY128" s="12" t="s">
        <v>325</v>
      </c>
      <c r="BZ128" s="12" t="s">
        <v>325</v>
      </c>
      <c r="CA128" s="12" t="s">
        <v>286</v>
      </c>
      <c r="CB128" s="12" t="s">
        <v>465</v>
      </c>
      <c r="CC128" s="12" t="s">
        <v>326</v>
      </c>
      <c r="CD128" s="12" t="s">
        <v>376</v>
      </c>
      <c r="CE128" s="12" t="s">
        <v>376</v>
      </c>
      <c r="CF128" s="12" t="s">
        <v>376</v>
      </c>
      <c r="CG128" s="12" t="s">
        <v>467</v>
      </c>
      <c r="CH128" s="12" t="s">
        <v>467</v>
      </c>
      <c r="CI128" s="12" t="s">
        <v>467</v>
      </c>
      <c r="CJ128" s="12" t="s">
        <v>671</v>
      </c>
      <c r="CK128" s="12" t="s">
        <v>330</v>
      </c>
      <c r="CL128" s="12" t="s">
        <v>330</v>
      </c>
      <c r="CM128" s="12" t="s">
        <v>879</v>
      </c>
      <c r="CN128" s="12" t="s">
        <v>879</v>
      </c>
      <c r="CO128" s="12" t="s">
        <v>569</v>
      </c>
      <c r="CP128" s="12" t="s">
        <v>569</v>
      </c>
      <c r="CQ128" s="12" t="s">
        <v>672</v>
      </c>
      <c r="CR128" s="12" t="s">
        <v>654</v>
      </c>
      <c r="CS128" s="12" t="s">
        <v>333</v>
      </c>
      <c r="CT128" s="12" t="s">
        <v>819</v>
      </c>
      <c r="CU128" s="12" t="s">
        <v>819</v>
      </c>
      <c r="CV128" s="12" t="s">
        <v>288</v>
      </c>
      <c r="CW128" s="12" t="s">
        <v>288</v>
      </c>
      <c r="CX128" s="12" t="s">
        <v>288</v>
      </c>
    </row>
    <row r="129" spans="1:102" hidden="1" x14ac:dyDescent="0.3">
      <c r="A129" s="12" t="s">
        <v>12</v>
      </c>
      <c r="B129" s="12" t="s">
        <v>2365</v>
      </c>
      <c r="C129" s="12" t="s">
        <v>2366</v>
      </c>
      <c r="D129" s="12" t="s">
        <v>2367</v>
      </c>
      <c r="E129" s="12" t="s">
        <v>277</v>
      </c>
      <c r="F129" s="12" t="s">
        <v>277</v>
      </c>
      <c r="G129" s="12" t="s">
        <v>277</v>
      </c>
      <c r="H129" s="12" t="s">
        <v>277</v>
      </c>
      <c r="I129" s="12" t="s">
        <v>277</v>
      </c>
      <c r="J129" s="12" t="s">
        <v>277</v>
      </c>
      <c r="K129" s="12" t="s">
        <v>277</v>
      </c>
      <c r="L129" s="12" t="s">
        <v>277</v>
      </c>
      <c r="M129" s="12" t="s">
        <v>277</v>
      </c>
      <c r="N129" s="12" t="s">
        <v>277</v>
      </c>
      <c r="O129" s="12" t="s">
        <v>277</v>
      </c>
      <c r="P129" s="12" t="s">
        <v>277</v>
      </c>
      <c r="Q129" s="12" t="s">
        <v>277</v>
      </c>
      <c r="R129" s="12" t="s">
        <v>277</v>
      </c>
      <c r="S129" s="12" t="s">
        <v>277</v>
      </c>
      <c r="T129" s="12" t="s">
        <v>277</v>
      </c>
      <c r="U129" s="12" t="s">
        <v>277</v>
      </c>
      <c r="V129" s="12" t="s">
        <v>277</v>
      </c>
      <c r="W129" s="12" t="s">
        <v>277</v>
      </c>
      <c r="X129" s="12" t="s">
        <v>277</v>
      </c>
      <c r="Y129" s="12" t="s">
        <v>277</v>
      </c>
      <c r="Z129" s="12" t="s">
        <v>277</v>
      </c>
      <c r="AA129" s="12" t="s">
        <v>277</v>
      </c>
      <c r="AB129" s="12" t="s">
        <v>277</v>
      </c>
      <c r="AC129" s="12" t="s">
        <v>277</v>
      </c>
      <c r="AD129" s="12" t="s">
        <v>277</v>
      </c>
      <c r="AE129" s="12" t="s">
        <v>277</v>
      </c>
      <c r="AF129" s="12" t="s">
        <v>277</v>
      </c>
      <c r="AG129" s="12" t="s">
        <v>277</v>
      </c>
      <c r="AH129" s="12" t="s">
        <v>277</v>
      </c>
      <c r="AI129" s="12" t="s">
        <v>277</v>
      </c>
      <c r="AJ129" s="12" t="s">
        <v>277</v>
      </c>
      <c r="AK129" s="12" t="s">
        <v>277</v>
      </c>
      <c r="AL129" s="12" t="s">
        <v>277</v>
      </c>
      <c r="AM129" s="12" t="s">
        <v>277</v>
      </c>
      <c r="AN129" s="12" t="s">
        <v>277</v>
      </c>
      <c r="AO129" s="12" t="s">
        <v>277</v>
      </c>
      <c r="AP129" s="12" t="s">
        <v>277</v>
      </c>
      <c r="AQ129" s="12" t="s">
        <v>277</v>
      </c>
      <c r="AR129" s="12" t="s">
        <v>277</v>
      </c>
      <c r="AS129" s="12" t="s">
        <v>277</v>
      </c>
      <c r="AT129" s="12" t="s">
        <v>277</v>
      </c>
      <c r="AU129" s="12" t="s">
        <v>277</v>
      </c>
      <c r="AV129" s="12" t="s">
        <v>277</v>
      </c>
      <c r="AW129" s="12" t="s">
        <v>277</v>
      </c>
      <c r="AX129" s="12" t="s">
        <v>277</v>
      </c>
      <c r="AY129" s="12" t="s">
        <v>277</v>
      </c>
      <c r="AZ129" s="12" t="s">
        <v>277</v>
      </c>
      <c r="BA129" s="12" t="s">
        <v>277</v>
      </c>
      <c r="BB129" s="12" t="s">
        <v>277</v>
      </c>
      <c r="BC129" s="12" t="s">
        <v>277</v>
      </c>
      <c r="BD129" s="12" t="s">
        <v>277</v>
      </c>
      <c r="BE129" s="12" t="s">
        <v>277</v>
      </c>
      <c r="BF129" s="12" t="s">
        <v>277</v>
      </c>
      <c r="BG129" s="12" t="s">
        <v>277</v>
      </c>
      <c r="BH129" s="12" t="s">
        <v>277</v>
      </c>
      <c r="BI129" s="12" t="s">
        <v>277</v>
      </c>
      <c r="BJ129" s="12" t="s">
        <v>277</v>
      </c>
      <c r="BK129" s="12" t="s">
        <v>322</v>
      </c>
      <c r="BL129" s="12" t="s">
        <v>322</v>
      </c>
      <c r="BM129" s="12" t="s">
        <v>322</v>
      </c>
      <c r="BN129" s="12" t="s">
        <v>550</v>
      </c>
      <c r="BO129" s="12" t="s">
        <v>281</v>
      </c>
      <c r="BP129" s="12" t="s">
        <v>454</v>
      </c>
      <c r="BQ129" s="12" t="s">
        <v>454</v>
      </c>
      <c r="BR129" s="12" t="s">
        <v>454</v>
      </c>
      <c r="BS129" s="12" t="s">
        <v>454</v>
      </c>
      <c r="BT129" s="12" t="s">
        <v>461</v>
      </c>
      <c r="BU129" s="12" t="s">
        <v>461</v>
      </c>
      <c r="BV129" s="12" t="s">
        <v>461</v>
      </c>
      <c r="BW129" s="12" t="s">
        <v>283</v>
      </c>
      <c r="BX129" s="12" t="s">
        <v>283</v>
      </c>
      <c r="BY129" s="12" t="s">
        <v>507</v>
      </c>
      <c r="BZ129" s="12" t="s">
        <v>374</v>
      </c>
      <c r="CA129" s="12" t="s">
        <v>284</v>
      </c>
      <c r="CB129" s="12" t="s">
        <v>286</v>
      </c>
      <c r="CC129" s="12" t="s">
        <v>456</v>
      </c>
      <c r="CD129" s="12" t="s">
        <v>612</v>
      </c>
      <c r="CE129" s="12" t="s">
        <v>1716</v>
      </c>
      <c r="CF129" s="12" t="s">
        <v>465</v>
      </c>
      <c r="CG129" s="12" t="s">
        <v>326</v>
      </c>
      <c r="CH129" s="12" t="s">
        <v>326</v>
      </c>
      <c r="CI129" s="12" t="s">
        <v>287</v>
      </c>
      <c r="CJ129" s="12" t="s">
        <v>287</v>
      </c>
      <c r="CK129" s="12" t="s">
        <v>745</v>
      </c>
      <c r="CL129" s="12" t="s">
        <v>745</v>
      </c>
      <c r="CM129" s="12" t="s">
        <v>958</v>
      </c>
      <c r="CN129" s="12" t="s">
        <v>795</v>
      </c>
      <c r="CO129" s="12" t="s">
        <v>671</v>
      </c>
      <c r="CP129" s="12" t="s">
        <v>691</v>
      </c>
      <c r="CQ129" s="12" t="s">
        <v>691</v>
      </c>
      <c r="CR129" s="12" t="s">
        <v>552</v>
      </c>
      <c r="CS129" s="12" t="s">
        <v>674</v>
      </c>
      <c r="CT129" s="12" t="s">
        <v>674</v>
      </c>
      <c r="CU129" s="12" t="s">
        <v>674</v>
      </c>
      <c r="CV129" s="12" t="s">
        <v>288</v>
      </c>
      <c r="CW129" s="12" t="s">
        <v>334</v>
      </c>
      <c r="CX129" s="12" t="s">
        <v>334</v>
      </c>
    </row>
    <row r="130" spans="1:102" hidden="1" x14ac:dyDescent="0.3">
      <c r="A130" s="12" t="s">
        <v>12</v>
      </c>
      <c r="B130" s="12" t="s">
        <v>2368</v>
      </c>
      <c r="C130" s="12" t="s">
        <v>2369</v>
      </c>
      <c r="D130" s="12" t="s">
        <v>2370</v>
      </c>
      <c r="E130" s="12" t="s">
        <v>277</v>
      </c>
      <c r="F130" s="12" t="s">
        <v>277</v>
      </c>
      <c r="G130" s="12" t="s">
        <v>277</v>
      </c>
      <c r="H130" s="12" t="s">
        <v>277</v>
      </c>
      <c r="I130" s="12" t="s">
        <v>277</v>
      </c>
      <c r="J130" s="12" t="s">
        <v>277</v>
      </c>
      <c r="K130" s="12" t="s">
        <v>277</v>
      </c>
      <c r="L130" s="12" t="s">
        <v>277</v>
      </c>
      <c r="M130" s="12" t="s">
        <v>277</v>
      </c>
      <c r="N130" s="12" t="s">
        <v>277</v>
      </c>
      <c r="O130" s="12" t="s">
        <v>277</v>
      </c>
      <c r="P130" s="12" t="s">
        <v>277</v>
      </c>
      <c r="Q130" s="12" t="s">
        <v>277</v>
      </c>
      <c r="R130" s="12" t="s">
        <v>277</v>
      </c>
      <c r="S130" s="12" t="s">
        <v>277</v>
      </c>
      <c r="T130" s="12" t="s">
        <v>277</v>
      </c>
      <c r="U130" s="12" t="s">
        <v>277</v>
      </c>
      <c r="V130" s="12" t="s">
        <v>277</v>
      </c>
      <c r="W130" s="12" t="s">
        <v>277</v>
      </c>
      <c r="X130" s="12" t="s">
        <v>277</v>
      </c>
      <c r="Y130" s="12" t="s">
        <v>277</v>
      </c>
      <c r="Z130" s="12" t="s">
        <v>277</v>
      </c>
      <c r="AA130" s="12" t="s">
        <v>277</v>
      </c>
      <c r="AB130" s="12" t="s">
        <v>277</v>
      </c>
      <c r="AC130" s="12" t="s">
        <v>277</v>
      </c>
      <c r="AD130" s="12" t="s">
        <v>277</v>
      </c>
      <c r="AE130" s="12" t="s">
        <v>277</v>
      </c>
      <c r="AF130" s="12" t="s">
        <v>277</v>
      </c>
      <c r="AG130" s="12" t="s">
        <v>277</v>
      </c>
      <c r="AH130" s="12" t="s">
        <v>277</v>
      </c>
      <c r="AI130" s="12" t="s">
        <v>277</v>
      </c>
      <c r="AJ130" s="12" t="s">
        <v>277</v>
      </c>
      <c r="AK130" s="12" t="s">
        <v>277</v>
      </c>
      <c r="AL130" s="12" t="s">
        <v>277</v>
      </c>
      <c r="AM130" s="12" t="s">
        <v>277</v>
      </c>
      <c r="AN130" s="12" t="s">
        <v>277</v>
      </c>
      <c r="AO130" s="12" t="s">
        <v>277</v>
      </c>
      <c r="AP130" s="12" t="s">
        <v>277</v>
      </c>
      <c r="AQ130" s="12" t="s">
        <v>277</v>
      </c>
      <c r="AR130" s="12" t="s">
        <v>277</v>
      </c>
      <c r="AS130" s="12" t="s">
        <v>277</v>
      </c>
      <c r="AT130" s="12" t="s">
        <v>277</v>
      </c>
      <c r="AU130" s="12" t="s">
        <v>277</v>
      </c>
      <c r="AV130" s="12" t="s">
        <v>277</v>
      </c>
      <c r="AW130" s="12" t="s">
        <v>278</v>
      </c>
      <c r="AX130" s="12" t="s">
        <v>278</v>
      </c>
      <c r="AY130" s="12" t="s">
        <v>278</v>
      </c>
      <c r="AZ130" s="12" t="s">
        <v>278</v>
      </c>
      <c r="BA130" s="12" t="s">
        <v>278</v>
      </c>
      <c r="BB130" s="12" t="s">
        <v>278</v>
      </c>
      <c r="BC130" s="12" t="s">
        <v>278</v>
      </c>
      <c r="BD130" s="12" t="s">
        <v>278</v>
      </c>
      <c r="BE130" s="12" t="s">
        <v>278</v>
      </c>
      <c r="BF130" s="12" t="s">
        <v>278</v>
      </c>
      <c r="BG130" s="12" t="s">
        <v>278</v>
      </c>
      <c r="BH130" s="12" t="s">
        <v>278</v>
      </c>
      <c r="BI130" s="12" t="s">
        <v>278</v>
      </c>
      <c r="BJ130" s="12" t="s">
        <v>278</v>
      </c>
      <c r="BK130" s="12" t="s">
        <v>278</v>
      </c>
      <c r="BL130" s="12" t="s">
        <v>278</v>
      </c>
      <c r="BM130" s="12" t="s">
        <v>278</v>
      </c>
      <c r="BN130" s="12" t="s">
        <v>278</v>
      </c>
      <c r="BO130" s="12" t="s">
        <v>279</v>
      </c>
      <c r="BP130" s="12" t="s">
        <v>279</v>
      </c>
      <c r="BQ130" s="12" t="s">
        <v>279</v>
      </c>
      <c r="BR130" s="12" t="s">
        <v>279</v>
      </c>
      <c r="BS130" s="12" t="s">
        <v>550</v>
      </c>
      <c r="BT130" s="12" t="s">
        <v>550</v>
      </c>
      <c r="BU130" s="12" t="s">
        <v>550</v>
      </c>
      <c r="BV130" s="12" t="s">
        <v>550</v>
      </c>
      <c r="BW130" s="12" t="s">
        <v>550</v>
      </c>
      <c r="BX130" s="12" t="s">
        <v>281</v>
      </c>
      <c r="BY130" s="12" t="s">
        <v>281</v>
      </c>
      <c r="BZ130" s="12" t="s">
        <v>281</v>
      </c>
      <c r="CA130" s="12" t="s">
        <v>281</v>
      </c>
      <c r="CB130" s="12" t="s">
        <v>281</v>
      </c>
      <c r="CC130" s="12" t="s">
        <v>281</v>
      </c>
      <c r="CD130" s="12" t="s">
        <v>454</v>
      </c>
      <c r="CE130" s="12" t="s">
        <v>454</v>
      </c>
      <c r="CF130" s="12" t="s">
        <v>454</v>
      </c>
      <c r="CG130" s="12" t="s">
        <v>454</v>
      </c>
      <c r="CH130" s="12" t="s">
        <v>454</v>
      </c>
      <c r="CI130" s="12" t="s">
        <v>454</v>
      </c>
      <c r="CJ130" s="12" t="s">
        <v>454</v>
      </c>
      <c r="CK130" s="12" t="s">
        <v>454</v>
      </c>
      <c r="CL130" s="12" t="s">
        <v>454</v>
      </c>
      <c r="CM130" s="12" t="s">
        <v>454</v>
      </c>
      <c r="CN130" s="12" t="s">
        <v>454</v>
      </c>
      <c r="CO130" s="12" t="s">
        <v>454</v>
      </c>
      <c r="CP130" s="12" t="s">
        <v>460</v>
      </c>
      <c r="CQ130" s="12" t="s">
        <v>460</v>
      </c>
      <c r="CR130" s="12" t="s">
        <v>460</v>
      </c>
      <c r="CS130" s="12" t="s">
        <v>460</v>
      </c>
      <c r="CT130" s="12" t="s">
        <v>460</v>
      </c>
      <c r="CU130" s="12" t="s">
        <v>460</v>
      </c>
      <c r="CV130" s="12" t="s">
        <v>460</v>
      </c>
      <c r="CW130" s="12" t="s">
        <v>460</v>
      </c>
      <c r="CX130" s="12" t="s">
        <v>323</v>
      </c>
    </row>
    <row r="131" spans="1:102" hidden="1" x14ac:dyDescent="0.3">
      <c r="A131" s="12" t="s">
        <v>12</v>
      </c>
      <c r="B131" s="12" t="s">
        <v>2371</v>
      </c>
      <c r="C131" s="12" t="s">
        <v>1886</v>
      </c>
      <c r="D131" s="12" t="s">
        <v>2372</v>
      </c>
      <c r="E131" s="12" t="s">
        <v>277</v>
      </c>
      <c r="F131" s="12" t="s">
        <v>277</v>
      </c>
      <c r="G131" s="12" t="s">
        <v>277</v>
      </c>
      <c r="H131" s="12" t="s">
        <v>277</v>
      </c>
      <c r="I131" s="12" t="s">
        <v>277</v>
      </c>
      <c r="J131" s="12" t="s">
        <v>277</v>
      </c>
      <c r="K131" s="12" t="s">
        <v>277</v>
      </c>
      <c r="L131" s="12" t="s">
        <v>277</v>
      </c>
      <c r="M131" s="12" t="s">
        <v>277</v>
      </c>
      <c r="N131" s="12" t="s">
        <v>277</v>
      </c>
      <c r="O131" s="12" t="s">
        <v>277</v>
      </c>
      <c r="P131" s="12" t="s">
        <v>277</v>
      </c>
      <c r="Q131" s="12" t="s">
        <v>277</v>
      </c>
      <c r="R131" s="12" t="s">
        <v>277</v>
      </c>
      <c r="S131" s="12" t="s">
        <v>277</v>
      </c>
      <c r="T131" s="12" t="s">
        <v>277</v>
      </c>
      <c r="U131" s="12" t="s">
        <v>277</v>
      </c>
      <c r="V131" s="12" t="s">
        <v>277</v>
      </c>
      <c r="W131" s="12" t="s">
        <v>277</v>
      </c>
      <c r="X131" s="12" t="s">
        <v>277</v>
      </c>
      <c r="Y131" s="12" t="s">
        <v>277</v>
      </c>
      <c r="Z131" s="12" t="s">
        <v>277</v>
      </c>
      <c r="AA131" s="12" t="s">
        <v>277</v>
      </c>
      <c r="AB131" s="12" t="s">
        <v>277</v>
      </c>
      <c r="AC131" s="12" t="s">
        <v>277</v>
      </c>
      <c r="AD131" s="12" t="s">
        <v>277</v>
      </c>
      <c r="AE131" s="12" t="s">
        <v>277</v>
      </c>
      <c r="AF131" s="12" t="s">
        <v>277</v>
      </c>
      <c r="AG131" s="12" t="s">
        <v>277</v>
      </c>
      <c r="AH131" s="12" t="s">
        <v>277</v>
      </c>
      <c r="AI131" s="12" t="s">
        <v>277</v>
      </c>
      <c r="AJ131" s="12" t="s">
        <v>277</v>
      </c>
      <c r="AK131" s="12" t="s">
        <v>277</v>
      </c>
      <c r="AL131" s="12" t="s">
        <v>277</v>
      </c>
      <c r="AM131" s="12" t="s">
        <v>277</v>
      </c>
      <c r="AN131" s="12" t="s">
        <v>277</v>
      </c>
      <c r="AO131" s="12" t="s">
        <v>277</v>
      </c>
      <c r="AP131" s="12" t="s">
        <v>277</v>
      </c>
      <c r="AQ131" s="12" t="s">
        <v>277</v>
      </c>
      <c r="AR131" s="12" t="s">
        <v>277</v>
      </c>
      <c r="AS131" s="12" t="s">
        <v>277</v>
      </c>
      <c r="AT131" s="12" t="s">
        <v>277</v>
      </c>
      <c r="AU131" s="12" t="s">
        <v>277</v>
      </c>
      <c r="AV131" s="12" t="s">
        <v>277</v>
      </c>
      <c r="AW131" s="12" t="s">
        <v>277</v>
      </c>
      <c r="AX131" s="12" t="s">
        <v>277</v>
      </c>
      <c r="AY131" s="12" t="s">
        <v>277</v>
      </c>
      <c r="AZ131" s="12" t="s">
        <v>277</v>
      </c>
      <c r="BA131" s="12" t="s">
        <v>277</v>
      </c>
      <c r="BB131" s="12" t="s">
        <v>322</v>
      </c>
      <c r="BC131" s="12" t="s">
        <v>322</v>
      </c>
      <c r="BD131" s="12" t="s">
        <v>322</v>
      </c>
      <c r="BE131" s="12" t="s">
        <v>322</v>
      </c>
      <c r="BF131" s="12" t="s">
        <v>371</v>
      </c>
      <c r="BG131" s="12" t="s">
        <v>550</v>
      </c>
      <c r="BH131" s="12" t="s">
        <v>454</v>
      </c>
      <c r="BI131" s="12" t="s">
        <v>460</v>
      </c>
      <c r="BJ131" s="12" t="s">
        <v>324</v>
      </c>
      <c r="BK131" s="12" t="s">
        <v>286</v>
      </c>
      <c r="BL131" s="12" t="s">
        <v>286</v>
      </c>
      <c r="BM131" s="12" t="s">
        <v>375</v>
      </c>
      <c r="BN131" s="12" t="s">
        <v>1716</v>
      </c>
      <c r="BO131" s="12" t="s">
        <v>1716</v>
      </c>
      <c r="BP131" s="12" t="s">
        <v>670</v>
      </c>
      <c r="BQ131" s="12" t="s">
        <v>508</v>
      </c>
      <c r="BR131" s="12" t="s">
        <v>469</v>
      </c>
      <c r="BS131" s="12" t="s">
        <v>824</v>
      </c>
      <c r="BT131" s="12" t="s">
        <v>291</v>
      </c>
      <c r="BU131" s="12" t="s">
        <v>382</v>
      </c>
      <c r="BV131" s="12" t="s">
        <v>1711</v>
      </c>
      <c r="BW131" s="12" t="s">
        <v>1513</v>
      </c>
      <c r="BX131" s="12" t="s">
        <v>1268</v>
      </c>
      <c r="BY131" s="12" t="s">
        <v>1091</v>
      </c>
      <c r="BZ131" s="12" t="s">
        <v>385</v>
      </c>
      <c r="CA131" s="12" t="s">
        <v>963</v>
      </c>
      <c r="CB131" s="12" t="s">
        <v>797</v>
      </c>
      <c r="CC131" s="12" t="s">
        <v>657</v>
      </c>
      <c r="CD131" s="12" t="s">
        <v>1529</v>
      </c>
      <c r="CE131" s="12" t="s">
        <v>1443</v>
      </c>
      <c r="CF131" s="12" t="s">
        <v>1887</v>
      </c>
      <c r="CG131" s="12" t="s">
        <v>730</v>
      </c>
      <c r="CH131" s="12" t="s">
        <v>1391</v>
      </c>
      <c r="CI131" s="12" t="s">
        <v>623</v>
      </c>
      <c r="CJ131" s="12" t="s">
        <v>519</v>
      </c>
      <c r="CK131" s="12" t="s">
        <v>829</v>
      </c>
      <c r="CL131" s="12" t="s">
        <v>1396</v>
      </c>
      <c r="CM131" s="12" t="s">
        <v>1397</v>
      </c>
      <c r="CN131" s="12" t="s">
        <v>1068</v>
      </c>
      <c r="CO131" s="12" t="s">
        <v>1159</v>
      </c>
      <c r="CP131" s="12" t="s">
        <v>2361</v>
      </c>
      <c r="CQ131" s="12" t="s">
        <v>358</v>
      </c>
      <c r="CR131" s="12" t="s">
        <v>2373</v>
      </c>
      <c r="CS131" s="12" t="s">
        <v>1588</v>
      </c>
      <c r="CT131" s="12" t="s">
        <v>1368</v>
      </c>
      <c r="CU131" s="12" t="s">
        <v>3081</v>
      </c>
      <c r="CV131" s="12" t="s">
        <v>3081</v>
      </c>
      <c r="CW131" s="12" t="s">
        <v>1077</v>
      </c>
      <c r="CX131" s="12" t="s">
        <v>1837</v>
      </c>
    </row>
    <row r="132" spans="1:102" hidden="1" x14ac:dyDescent="0.3">
      <c r="A132" s="12" t="s">
        <v>12</v>
      </c>
      <c r="B132" s="12" t="s">
        <v>2374</v>
      </c>
      <c r="C132" s="12" t="s">
        <v>2375</v>
      </c>
      <c r="D132" s="12" t="s">
        <v>2376</v>
      </c>
      <c r="E132" s="12" t="s">
        <v>277</v>
      </c>
      <c r="F132" s="12" t="s">
        <v>277</v>
      </c>
      <c r="G132" s="12" t="s">
        <v>277</v>
      </c>
      <c r="H132" s="12" t="s">
        <v>277</v>
      </c>
      <c r="I132" s="12" t="s">
        <v>277</v>
      </c>
      <c r="J132" s="12" t="s">
        <v>277</v>
      </c>
      <c r="K132" s="12" t="s">
        <v>277</v>
      </c>
      <c r="L132" s="12" t="s">
        <v>277</v>
      </c>
      <c r="M132" s="12" t="s">
        <v>277</v>
      </c>
      <c r="N132" s="12" t="s">
        <v>277</v>
      </c>
      <c r="O132" s="12" t="s">
        <v>277</v>
      </c>
      <c r="P132" s="12" t="s">
        <v>277</v>
      </c>
      <c r="Q132" s="12" t="s">
        <v>277</v>
      </c>
      <c r="R132" s="12" t="s">
        <v>277</v>
      </c>
      <c r="S132" s="12" t="s">
        <v>277</v>
      </c>
      <c r="T132" s="12" t="s">
        <v>277</v>
      </c>
      <c r="U132" s="12" t="s">
        <v>277</v>
      </c>
      <c r="V132" s="12" t="s">
        <v>277</v>
      </c>
      <c r="W132" s="12" t="s">
        <v>277</v>
      </c>
      <c r="X132" s="12" t="s">
        <v>277</v>
      </c>
      <c r="Y132" s="12" t="s">
        <v>277</v>
      </c>
      <c r="Z132" s="12" t="s">
        <v>277</v>
      </c>
      <c r="AA132" s="12" t="s">
        <v>277</v>
      </c>
      <c r="AB132" s="12" t="s">
        <v>277</v>
      </c>
      <c r="AC132" s="12" t="s">
        <v>277</v>
      </c>
      <c r="AD132" s="12" t="s">
        <v>277</v>
      </c>
      <c r="AE132" s="12" t="s">
        <v>277</v>
      </c>
      <c r="AF132" s="12" t="s">
        <v>277</v>
      </c>
      <c r="AG132" s="12" t="s">
        <v>277</v>
      </c>
      <c r="AH132" s="12" t="s">
        <v>277</v>
      </c>
      <c r="AI132" s="12" t="s">
        <v>277</v>
      </c>
      <c r="AJ132" s="12" t="s">
        <v>277</v>
      </c>
      <c r="AK132" s="12" t="s">
        <v>277</v>
      </c>
      <c r="AL132" s="12" t="s">
        <v>277</v>
      </c>
      <c r="AM132" s="12" t="s">
        <v>277</v>
      </c>
      <c r="AN132" s="12" t="s">
        <v>277</v>
      </c>
      <c r="AO132" s="12" t="s">
        <v>277</v>
      </c>
      <c r="AP132" s="12" t="s">
        <v>277</v>
      </c>
      <c r="AQ132" s="12" t="s">
        <v>277</v>
      </c>
      <c r="AR132" s="12" t="s">
        <v>277</v>
      </c>
      <c r="AS132" s="12" t="s">
        <v>277</v>
      </c>
      <c r="AT132" s="12" t="s">
        <v>277</v>
      </c>
      <c r="AU132" s="12" t="s">
        <v>322</v>
      </c>
      <c r="AV132" s="12" t="s">
        <v>322</v>
      </c>
      <c r="AW132" s="12" t="s">
        <v>322</v>
      </c>
      <c r="AX132" s="12" t="s">
        <v>279</v>
      </c>
      <c r="AY132" s="12" t="s">
        <v>281</v>
      </c>
      <c r="AZ132" s="12" t="s">
        <v>460</v>
      </c>
      <c r="BA132" s="12" t="s">
        <v>460</v>
      </c>
      <c r="BB132" s="12" t="s">
        <v>567</v>
      </c>
      <c r="BC132" s="12" t="s">
        <v>567</v>
      </c>
      <c r="BD132" s="12" t="s">
        <v>373</v>
      </c>
      <c r="BE132" s="12" t="s">
        <v>1716</v>
      </c>
      <c r="BF132" s="12" t="s">
        <v>551</v>
      </c>
      <c r="BG132" s="12" t="s">
        <v>417</v>
      </c>
      <c r="BH132" s="12" t="s">
        <v>653</v>
      </c>
      <c r="BI132" s="12" t="s">
        <v>1112</v>
      </c>
      <c r="BJ132" s="12" t="s">
        <v>819</v>
      </c>
      <c r="BK132" s="12" t="s">
        <v>823</v>
      </c>
      <c r="BL132" s="12" t="s">
        <v>561</v>
      </c>
      <c r="BM132" s="12" t="s">
        <v>746</v>
      </c>
      <c r="BN132" s="12" t="s">
        <v>1185</v>
      </c>
      <c r="BO132" s="12" t="s">
        <v>1061</v>
      </c>
      <c r="BP132" s="12" t="s">
        <v>1204</v>
      </c>
      <c r="BQ132" s="12" t="s">
        <v>1092</v>
      </c>
      <c r="BR132" s="12" t="s">
        <v>965</v>
      </c>
      <c r="BS132" s="12" t="s">
        <v>1443</v>
      </c>
      <c r="BT132" s="12" t="s">
        <v>1365</v>
      </c>
      <c r="BU132" s="12" t="s">
        <v>2377</v>
      </c>
      <c r="BV132" s="12" t="s">
        <v>1680</v>
      </c>
      <c r="BW132" s="12" t="s">
        <v>436</v>
      </c>
      <c r="BX132" s="12" t="s">
        <v>1409</v>
      </c>
      <c r="BY132" s="12" t="s">
        <v>2378</v>
      </c>
      <c r="BZ132" s="12" t="s">
        <v>367</v>
      </c>
      <c r="CA132" s="12" t="s">
        <v>1369</v>
      </c>
      <c r="CB132" s="12" t="s">
        <v>2379</v>
      </c>
      <c r="CC132" s="12" t="s">
        <v>2380</v>
      </c>
      <c r="CD132" s="12" t="s">
        <v>1455</v>
      </c>
      <c r="CE132" s="12" t="s">
        <v>2381</v>
      </c>
      <c r="CF132" s="12" t="s">
        <v>2382</v>
      </c>
      <c r="CG132" s="12" t="s">
        <v>2383</v>
      </c>
      <c r="CH132" s="12" t="s">
        <v>2384</v>
      </c>
      <c r="CI132" s="12" t="s">
        <v>2385</v>
      </c>
      <c r="CJ132" s="12" t="s">
        <v>2136</v>
      </c>
      <c r="CK132" s="12" t="s">
        <v>1504</v>
      </c>
      <c r="CL132" s="12" t="s">
        <v>2386</v>
      </c>
      <c r="CM132" s="12" t="s">
        <v>2387</v>
      </c>
      <c r="CN132" s="12" t="s">
        <v>2388</v>
      </c>
      <c r="CO132" s="12" t="s">
        <v>2389</v>
      </c>
      <c r="CP132" s="12" t="s">
        <v>2390</v>
      </c>
      <c r="CQ132" s="12" t="s">
        <v>2391</v>
      </c>
      <c r="CR132" s="12" t="s">
        <v>2392</v>
      </c>
      <c r="CS132" s="12" t="s">
        <v>2393</v>
      </c>
      <c r="CT132" s="12" t="s">
        <v>494</v>
      </c>
      <c r="CU132" s="12" t="s">
        <v>494</v>
      </c>
      <c r="CV132" s="12" t="s">
        <v>4172</v>
      </c>
      <c r="CW132" s="12" t="s">
        <v>4173</v>
      </c>
      <c r="CX132" s="12" t="s">
        <v>4174</v>
      </c>
    </row>
    <row r="133" spans="1:102" hidden="1" x14ac:dyDescent="0.3">
      <c r="A133" s="12" t="s">
        <v>12</v>
      </c>
      <c r="B133" s="12" t="s">
        <v>2394</v>
      </c>
      <c r="C133" s="12" t="s">
        <v>2395</v>
      </c>
      <c r="D133" s="12" t="s">
        <v>2396</v>
      </c>
      <c r="E133" s="12" t="s">
        <v>277</v>
      </c>
      <c r="F133" s="12" t="s">
        <v>277</v>
      </c>
      <c r="G133" s="12" t="s">
        <v>277</v>
      </c>
      <c r="H133" s="12" t="s">
        <v>277</v>
      </c>
      <c r="I133" s="12" t="s">
        <v>277</v>
      </c>
      <c r="J133" s="12" t="s">
        <v>277</v>
      </c>
      <c r="K133" s="12" t="s">
        <v>277</v>
      </c>
      <c r="L133" s="12" t="s">
        <v>277</v>
      </c>
      <c r="M133" s="12" t="s">
        <v>277</v>
      </c>
      <c r="N133" s="12" t="s">
        <v>277</v>
      </c>
      <c r="O133" s="12" t="s">
        <v>277</v>
      </c>
      <c r="P133" s="12" t="s">
        <v>277</v>
      </c>
      <c r="Q133" s="12" t="s">
        <v>277</v>
      </c>
      <c r="R133" s="12" t="s">
        <v>277</v>
      </c>
      <c r="S133" s="12" t="s">
        <v>277</v>
      </c>
      <c r="T133" s="12" t="s">
        <v>277</v>
      </c>
      <c r="U133" s="12" t="s">
        <v>277</v>
      </c>
      <c r="V133" s="12" t="s">
        <v>277</v>
      </c>
      <c r="W133" s="12" t="s">
        <v>277</v>
      </c>
      <c r="X133" s="12" t="s">
        <v>277</v>
      </c>
      <c r="Y133" s="12" t="s">
        <v>277</v>
      </c>
      <c r="Z133" s="12" t="s">
        <v>277</v>
      </c>
      <c r="AA133" s="12" t="s">
        <v>277</v>
      </c>
      <c r="AB133" s="12" t="s">
        <v>277</v>
      </c>
      <c r="AC133" s="12" t="s">
        <v>277</v>
      </c>
      <c r="AD133" s="12" t="s">
        <v>277</v>
      </c>
      <c r="AE133" s="12" t="s">
        <v>277</v>
      </c>
      <c r="AF133" s="12" t="s">
        <v>277</v>
      </c>
      <c r="AG133" s="12" t="s">
        <v>277</v>
      </c>
      <c r="AH133" s="12" t="s">
        <v>277</v>
      </c>
      <c r="AI133" s="12" t="s">
        <v>277</v>
      </c>
      <c r="AJ133" s="12" t="s">
        <v>277</v>
      </c>
      <c r="AK133" s="12" t="s">
        <v>277</v>
      </c>
      <c r="AL133" s="12" t="s">
        <v>277</v>
      </c>
      <c r="AM133" s="12" t="s">
        <v>277</v>
      </c>
      <c r="AN133" s="12" t="s">
        <v>277</v>
      </c>
      <c r="AO133" s="12" t="s">
        <v>277</v>
      </c>
      <c r="AP133" s="12" t="s">
        <v>278</v>
      </c>
      <c r="AQ133" s="12" t="s">
        <v>278</v>
      </c>
      <c r="AR133" s="12" t="s">
        <v>371</v>
      </c>
      <c r="AS133" s="12" t="s">
        <v>550</v>
      </c>
      <c r="AT133" s="12" t="s">
        <v>282</v>
      </c>
      <c r="AU133" s="12" t="s">
        <v>375</v>
      </c>
      <c r="AV133" s="12" t="s">
        <v>466</v>
      </c>
      <c r="AW133" s="12" t="s">
        <v>958</v>
      </c>
      <c r="AX133" s="12" t="s">
        <v>653</v>
      </c>
      <c r="AY133" s="12" t="s">
        <v>653</v>
      </c>
      <c r="AZ133" s="12" t="s">
        <v>1112</v>
      </c>
      <c r="BA133" s="12" t="s">
        <v>673</v>
      </c>
      <c r="BB133" s="12" t="s">
        <v>823</v>
      </c>
      <c r="BC133" s="12" t="s">
        <v>561</v>
      </c>
      <c r="BD133" s="12" t="s">
        <v>572</v>
      </c>
      <c r="BE133" s="12" t="s">
        <v>1301</v>
      </c>
      <c r="BF133" s="12" t="s">
        <v>573</v>
      </c>
      <c r="BG133" s="12" t="s">
        <v>682</v>
      </c>
      <c r="BH133" s="12" t="s">
        <v>1303</v>
      </c>
      <c r="BI133" s="12" t="s">
        <v>1188</v>
      </c>
      <c r="BJ133" s="12" t="s">
        <v>863</v>
      </c>
      <c r="BK133" s="12" t="s">
        <v>352</v>
      </c>
      <c r="BL133" s="12" t="s">
        <v>2397</v>
      </c>
      <c r="BM133" s="12" t="s">
        <v>2398</v>
      </c>
      <c r="BN133" s="12" t="s">
        <v>1232</v>
      </c>
      <c r="BO133" s="12" t="s">
        <v>2399</v>
      </c>
      <c r="BP133" s="12" t="s">
        <v>1223</v>
      </c>
      <c r="BQ133" s="12" t="s">
        <v>1591</v>
      </c>
      <c r="BR133" s="12" t="s">
        <v>1594</v>
      </c>
      <c r="BS133" s="12" t="s">
        <v>1891</v>
      </c>
      <c r="BT133" s="12" t="s">
        <v>2400</v>
      </c>
      <c r="BU133" s="12" t="s">
        <v>2401</v>
      </c>
      <c r="BV133" s="12" t="s">
        <v>705</v>
      </c>
      <c r="BW133" s="12" t="s">
        <v>2402</v>
      </c>
      <c r="BX133" s="12" t="s">
        <v>715</v>
      </c>
      <c r="BY133" s="12" t="s">
        <v>1475</v>
      </c>
      <c r="BZ133" s="12" t="s">
        <v>2403</v>
      </c>
      <c r="CA133" s="12" t="s">
        <v>890</v>
      </c>
      <c r="CB133" s="12" t="s">
        <v>2404</v>
      </c>
      <c r="CC133" s="12" t="s">
        <v>2405</v>
      </c>
      <c r="CD133" s="12" t="s">
        <v>2406</v>
      </c>
      <c r="CE133" s="12" t="s">
        <v>2407</v>
      </c>
      <c r="CF133" s="12" t="s">
        <v>2408</v>
      </c>
      <c r="CG133" s="12" t="s">
        <v>2409</v>
      </c>
      <c r="CH133" s="12" t="s">
        <v>2410</v>
      </c>
      <c r="CI133" s="12" t="s">
        <v>2411</v>
      </c>
      <c r="CJ133" s="12" t="s">
        <v>2412</v>
      </c>
      <c r="CK133" s="12" t="s">
        <v>2413</v>
      </c>
      <c r="CL133" s="12" t="s">
        <v>2414</v>
      </c>
      <c r="CM133" s="12" t="s">
        <v>2415</v>
      </c>
      <c r="CN133" s="12" t="s">
        <v>2416</v>
      </c>
      <c r="CO133" s="12" t="s">
        <v>2417</v>
      </c>
      <c r="CP133" s="12" t="s">
        <v>852</v>
      </c>
      <c r="CQ133" s="12" t="s">
        <v>2418</v>
      </c>
      <c r="CR133" s="12" t="s">
        <v>2419</v>
      </c>
      <c r="CS133" s="12" t="s">
        <v>2420</v>
      </c>
      <c r="CT133" s="12" t="s">
        <v>2420</v>
      </c>
      <c r="CU133" s="12" t="s">
        <v>2457</v>
      </c>
      <c r="CV133" s="12" t="s">
        <v>4175</v>
      </c>
      <c r="CW133" s="12" t="s">
        <v>4175</v>
      </c>
      <c r="CX133" s="12" t="s">
        <v>489</v>
      </c>
    </row>
    <row r="134" spans="1:102" hidden="1" x14ac:dyDescent="0.3">
      <c r="A134" s="12" t="s">
        <v>12</v>
      </c>
      <c r="B134" s="12" t="s">
        <v>2421</v>
      </c>
      <c r="C134" s="12" t="s">
        <v>2422</v>
      </c>
      <c r="D134" s="12" t="s">
        <v>2423</v>
      </c>
      <c r="E134" s="12" t="s">
        <v>277</v>
      </c>
      <c r="F134" s="12" t="s">
        <v>277</v>
      </c>
      <c r="G134" s="12" t="s">
        <v>277</v>
      </c>
      <c r="H134" s="12" t="s">
        <v>277</v>
      </c>
      <c r="I134" s="12" t="s">
        <v>277</v>
      </c>
      <c r="J134" s="12" t="s">
        <v>277</v>
      </c>
      <c r="K134" s="12" t="s">
        <v>277</v>
      </c>
      <c r="L134" s="12" t="s">
        <v>277</v>
      </c>
      <c r="M134" s="12" t="s">
        <v>278</v>
      </c>
      <c r="N134" s="12" t="s">
        <v>278</v>
      </c>
      <c r="O134" s="12" t="s">
        <v>278</v>
      </c>
      <c r="P134" s="12" t="s">
        <v>322</v>
      </c>
      <c r="Q134" s="12" t="s">
        <v>371</v>
      </c>
      <c r="R134" s="12" t="s">
        <v>371</v>
      </c>
      <c r="S134" s="12" t="s">
        <v>371</v>
      </c>
      <c r="T134" s="12" t="s">
        <v>371</v>
      </c>
      <c r="U134" s="12" t="s">
        <v>371</v>
      </c>
      <c r="V134" s="12" t="s">
        <v>371</v>
      </c>
      <c r="W134" s="12" t="s">
        <v>371</v>
      </c>
      <c r="X134" s="12" t="s">
        <v>371</v>
      </c>
      <c r="Y134" s="12" t="s">
        <v>371</v>
      </c>
      <c r="Z134" s="12" t="s">
        <v>371</v>
      </c>
      <c r="AA134" s="12" t="s">
        <v>371</v>
      </c>
      <c r="AB134" s="12" t="s">
        <v>371</v>
      </c>
      <c r="AC134" s="12" t="s">
        <v>371</v>
      </c>
      <c r="AD134" s="12" t="s">
        <v>371</v>
      </c>
      <c r="AE134" s="12" t="s">
        <v>371</v>
      </c>
      <c r="AF134" s="12" t="s">
        <v>371</v>
      </c>
      <c r="AG134" s="12" t="s">
        <v>371</v>
      </c>
      <c r="AH134" s="12" t="s">
        <v>371</v>
      </c>
      <c r="AI134" s="12" t="s">
        <v>371</v>
      </c>
      <c r="AJ134" s="12" t="s">
        <v>371</v>
      </c>
      <c r="AK134" s="12" t="s">
        <v>371</v>
      </c>
      <c r="AL134" s="12" t="s">
        <v>371</v>
      </c>
      <c r="AM134" s="12" t="s">
        <v>371</v>
      </c>
      <c r="AN134" s="12" t="s">
        <v>371</v>
      </c>
      <c r="AO134" s="12" t="s">
        <v>371</v>
      </c>
      <c r="AP134" s="12" t="s">
        <v>371</v>
      </c>
      <c r="AQ134" s="12" t="s">
        <v>371</v>
      </c>
      <c r="AR134" s="12" t="s">
        <v>371</v>
      </c>
      <c r="AS134" s="12" t="s">
        <v>280</v>
      </c>
      <c r="AT134" s="12" t="s">
        <v>280</v>
      </c>
      <c r="AU134" s="12" t="s">
        <v>568</v>
      </c>
      <c r="AV134" s="12" t="s">
        <v>1716</v>
      </c>
      <c r="AW134" s="12" t="s">
        <v>465</v>
      </c>
      <c r="AX134" s="12" t="s">
        <v>466</v>
      </c>
      <c r="AY134" s="12" t="s">
        <v>417</v>
      </c>
      <c r="AZ134" s="12" t="s">
        <v>958</v>
      </c>
      <c r="BA134" s="12" t="s">
        <v>468</v>
      </c>
      <c r="BB134" s="12" t="s">
        <v>552</v>
      </c>
      <c r="BC134" s="12" t="s">
        <v>819</v>
      </c>
      <c r="BD134" s="12" t="s">
        <v>675</v>
      </c>
      <c r="BE134" s="12" t="s">
        <v>562</v>
      </c>
      <c r="BF134" s="12" t="s">
        <v>421</v>
      </c>
      <c r="BG134" s="12" t="s">
        <v>1117</v>
      </c>
      <c r="BH134" s="12" t="s">
        <v>1712</v>
      </c>
      <c r="BI134" s="12" t="s">
        <v>1301</v>
      </c>
      <c r="BJ134" s="12" t="s">
        <v>513</v>
      </c>
      <c r="BK134" s="12" t="s">
        <v>1207</v>
      </c>
      <c r="BL134" s="12" t="s">
        <v>863</v>
      </c>
      <c r="BM134" s="12" t="s">
        <v>659</v>
      </c>
      <c r="BN134" s="12" t="s">
        <v>832</v>
      </c>
      <c r="BO134" s="12" t="s">
        <v>1765</v>
      </c>
      <c r="BP134" s="12" t="s">
        <v>1888</v>
      </c>
      <c r="BQ134" s="12" t="s">
        <v>2424</v>
      </c>
      <c r="BR134" s="12" t="s">
        <v>843</v>
      </c>
      <c r="BS134" s="12" t="s">
        <v>641</v>
      </c>
      <c r="BT134" s="12" t="s">
        <v>648</v>
      </c>
      <c r="BU134" s="12" t="s">
        <v>393</v>
      </c>
      <c r="BV134" s="12" t="s">
        <v>2425</v>
      </c>
      <c r="BW134" s="12" t="s">
        <v>2426</v>
      </c>
      <c r="BX134" s="12" t="s">
        <v>2427</v>
      </c>
      <c r="BY134" s="12" t="s">
        <v>2428</v>
      </c>
      <c r="BZ134" s="12" t="s">
        <v>2429</v>
      </c>
      <c r="CA134" s="12" t="s">
        <v>2430</v>
      </c>
      <c r="CB134" s="12" t="s">
        <v>2431</v>
      </c>
      <c r="CC134" s="12" t="s">
        <v>2432</v>
      </c>
      <c r="CD134" s="12" t="s">
        <v>2433</v>
      </c>
      <c r="CE134" s="12" t="s">
        <v>2434</v>
      </c>
      <c r="CF134" s="12" t="s">
        <v>2435</v>
      </c>
      <c r="CG134" s="12" t="s">
        <v>2436</v>
      </c>
      <c r="CH134" s="12" t="s">
        <v>2437</v>
      </c>
      <c r="CI134" s="12" t="s">
        <v>2438</v>
      </c>
      <c r="CJ134" s="12" t="s">
        <v>2439</v>
      </c>
      <c r="CK134" s="12" t="s">
        <v>2440</v>
      </c>
      <c r="CL134" s="12" t="s">
        <v>2441</v>
      </c>
      <c r="CM134" s="12" t="s">
        <v>2442</v>
      </c>
      <c r="CN134" s="12" t="s">
        <v>2443</v>
      </c>
      <c r="CO134" s="12" t="s">
        <v>2444</v>
      </c>
      <c r="CP134" s="12" t="s">
        <v>2445</v>
      </c>
      <c r="CQ134" s="12" t="s">
        <v>2446</v>
      </c>
      <c r="CR134" s="12" t="s">
        <v>2447</v>
      </c>
      <c r="CS134" s="12" t="s">
        <v>2448</v>
      </c>
      <c r="CT134" s="12" t="s">
        <v>2449</v>
      </c>
      <c r="CU134" s="12" t="s">
        <v>4176</v>
      </c>
      <c r="CV134" s="12" t="s">
        <v>4177</v>
      </c>
      <c r="CW134" s="12" t="s">
        <v>4178</v>
      </c>
      <c r="CX134" s="12" t="s">
        <v>4179</v>
      </c>
    </row>
    <row r="135" spans="1:102" hidden="1" x14ac:dyDescent="0.3">
      <c r="A135" s="12" t="s">
        <v>12</v>
      </c>
      <c r="B135" s="12" t="s">
        <v>2450</v>
      </c>
      <c r="C135" s="12" t="s">
        <v>2451</v>
      </c>
      <c r="D135" s="12" t="s">
        <v>2452</v>
      </c>
      <c r="E135" s="12" t="s">
        <v>277</v>
      </c>
      <c r="F135" s="12" t="s">
        <v>277</v>
      </c>
      <c r="G135" s="12" t="s">
        <v>277</v>
      </c>
      <c r="H135" s="12" t="s">
        <v>277</v>
      </c>
      <c r="I135" s="12" t="s">
        <v>277</v>
      </c>
      <c r="J135" s="12" t="s">
        <v>277</v>
      </c>
      <c r="K135" s="12" t="s">
        <v>277</v>
      </c>
      <c r="L135" s="12" t="s">
        <v>277</v>
      </c>
      <c r="M135" s="12" t="s">
        <v>277</v>
      </c>
      <c r="N135" s="12" t="s">
        <v>277</v>
      </c>
      <c r="O135" s="12" t="s">
        <v>277</v>
      </c>
      <c r="P135" s="12" t="s">
        <v>277</v>
      </c>
      <c r="Q135" s="12" t="s">
        <v>277</v>
      </c>
      <c r="R135" s="12" t="s">
        <v>277</v>
      </c>
      <c r="S135" s="12" t="s">
        <v>277</v>
      </c>
      <c r="T135" s="12" t="s">
        <v>277</v>
      </c>
      <c r="U135" s="12" t="s">
        <v>277</v>
      </c>
      <c r="V135" s="12" t="s">
        <v>277</v>
      </c>
      <c r="W135" s="12" t="s">
        <v>277</v>
      </c>
      <c r="X135" s="12" t="s">
        <v>277</v>
      </c>
      <c r="Y135" s="12" t="s">
        <v>277</v>
      </c>
      <c r="Z135" s="12" t="s">
        <v>277</v>
      </c>
      <c r="AA135" s="12" t="s">
        <v>277</v>
      </c>
      <c r="AB135" s="12" t="s">
        <v>277</v>
      </c>
      <c r="AC135" s="12" t="s">
        <v>277</v>
      </c>
      <c r="AD135" s="12" t="s">
        <v>277</v>
      </c>
      <c r="AE135" s="12" t="s">
        <v>277</v>
      </c>
      <c r="AF135" s="12" t="s">
        <v>277</v>
      </c>
      <c r="AG135" s="12" t="s">
        <v>277</v>
      </c>
      <c r="AH135" s="12" t="s">
        <v>277</v>
      </c>
      <c r="AI135" s="12" t="s">
        <v>277</v>
      </c>
      <c r="AJ135" s="12" t="s">
        <v>277</v>
      </c>
      <c r="AK135" s="12" t="s">
        <v>277</v>
      </c>
      <c r="AL135" s="12" t="s">
        <v>277</v>
      </c>
      <c r="AM135" s="12" t="s">
        <v>277</v>
      </c>
      <c r="AN135" s="12" t="s">
        <v>277</v>
      </c>
      <c r="AO135" s="12" t="s">
        <v>277</v>
      </c>
      <c r="AP135" s="12" t="s">
        <v>277</v>
      </c>
      <c r="AQ135" s="12" t="s">
        <v>277</v>
      </c>
      <c r="AR135" s="12" t="s">
        <v>277</v>
      </c>
      <c r="AS135" s="12" t="s">
        <v>322</v>
      </c>
      <c r="AT135" s="12" t="s">
        <v>322</v>
      </c>
      <c r="AU135" s="12" t="s">
        <v>322</v>
      </c>
      <c r="AV135" s="12" t="s">
        <v>322</v>
      </c>
      <c r="AW135" s="12" t="s">
        <v>279</v>
      </c>
      <c r="AX135" s="12" t="s">
        <v>279</v>
      </c>
      <c r="AY135" s="12" t="s">
        <v>550</v>
      </c>
      <c r="AZ135" s="12" t="s">
        <v>373</v>
      </c>
      <c r="BA135" s="12" t="s">
        <v>612</v>
      </c>
      <c r="BB135" s="12" t="s">
        <v>466</v>
      </c>
      <c r="BC135" s="12" t="s">
        <v>466</v>
      </c>
      <c r="BD135" s="12" t="s">
        <v>673</v>
      </c>
      <c r="BE135" s="12" t="s">
        <v>558</v>
      </c>
      <c r="BF135" s="12" t="s">
        <v>1116</v>
      </c>
      <c r="BG135" s="12" t="s">
        <v>572</v>
      </c>
      <c r="BH135" s="12" t="s">
        <v>1513</v>
      </c>
      <c r="BI135" s="12" t="s">
        <v>1537</v>
      </c>
      <c r="BJ135" s="12" t="s">
        <v>728</v>
      </c>
      <c r="BK135" s="12" t="s">
        <v>2126</v>
      </c>
      <c r="BL135" s="12" t="s">
        <v>2151</v>
      </c>
      <c r="BM135" s="12" t="s">
        <v>736</v>
      </c>
      <c r="BN135" s="12" t="s">
        <v>984</v>
      </c>
      <c r="BO135" s="12" t="s">
        <v>1875</v>
      </c>
      <c r="BP135" s="12" t="s">
        <v>1889</v>
      </c>
      <c r="BQ135" s="12" t="s">
        <v>2453</v>
      </c>
      <c r="BR135" s="12" t="s">
        <v>2454</v>
      </c>
      <c r="BS135" s="12" t="s">
        <v>1811</v>
      </c>
      <c r="BT135" s="12" t="s">
        <v>999</v>
      </c>
      <c r="BU135" s="12" t="s">
        <v>2455</v>
      </c>
      <c r="BV135" s="12" t="s">
        <v>848</v>
      </c>
      <c r="BW135" s="12" t="s">
        <v>2456</v>
      </c>
      <c r="BX135" s="12" t="s">
        <v>2457</v>
      </c>
      <c r="BY135" s="12" t="s">
        <v>2458</v>
      </c>
      <c r="BZ135" s="12" t="s">
        <v>2459</v>
      </c>
      <c r="CA135" s="12" t="s">
        <v>2460</v>
      </c>
      <c r="CB135" s="12" t="s">
        <v>2461</v>
      </c>
      <c r="CC135" s="12" t="s">
        <v>1334</v>
      </c>
      <c r="CD135" s="12" t="s">
        <v>2462</v>
      </c>
      <c r="CE135" s="12" t="s">
        <v>2463</v>
      </c>
      <c r="CF135" s="12" t="s">
        <v>2464</v>
      </c>
      <c r="CG135" s="12" t="s">
        <v>2465</v>
      </c>
      <c r="CH135" s="12" t="s">
        <v>2466</v>
      </c>
      <c r="CI135" s="12" t="s">
        <v>2467</v>
      </c>
      <c r="CJ135" s="12" t="s">
        <v>2468</v>
      </c>
      <c r="CK135" s="12" t="s">
        <v>2469</v>
      </c>
      <c r="CL135" s="12" t="s">
        <v>2470</v>
      </c>
      <c r="CM135" s="12" t="s">
        <v>2471</v>
      </c>
      <c r="CN135" s="12" t="s">
        <v>2472</v>
      </c>
      <c r="CO135" s="12" t="s">
        <v>2473</v>
      </c>
      <c r="CP135" s="12" t="s">
        <v>2474</v>
      </c>
      <c r="CQ135" s="12" t="s">
        <v>2475</v>
      </c>
      <c r="CR135" s="12" t="s">
        <v>2476</v>
      </c>
      <c r="CS135" s="12" t="s">
        <v>2477</v>
      </c>
      <c r="CT135" s="12" t="s">
        <v>2478</v>
      </c>
      <c r="CU135" s="12" t="s">
        <v>4180</v>
      </c>
      <c r="CV135" s="12" t="s">
        <v>4181</v>
      </c>
      <c r="CW135" s="12" t="s">
        <v>4182</v>
      </c>
      <c r="CX135" s="12" t="s">
        <v>4183</v>
      </c>
    </row>
    <row r="136" spans="1:102" hidden="1" x14ac:dyDescent="0.3">
      <c r="A136" s="12" t="s">
        <v>12</v>
      </c>
      <c r="B136" s="12" t="s">
        <v>2479</v>
      </c>
      <c r="C136" s="12" t="s">
        <v>2480</v>
      </c>
      <c r="D136" s="12" t="s">
        <v>2481</v>
      </c>
      <c r="E136" s="12" t="s">
        <v>277</v>
      </c>
      <c r="F136" s="12" t="s">
        <v>277</v>
      </c>
      <c r="G136" s="12" t="s">
        <v>277</v>
      </c>
      <c r="H136" s="12" t="s">
        <v>277</v>
      </c>
      <c r="I136" s="12" t="s">
        <v>277</v>
      </c>
      <c r="J136" s="12" t="s">
        <v>277</v>
      </c>
      <c r="K136" s="12" t="s">
        <v>277</v>
      </c>
      <c r="L136" s="12" t="s">
        <v>277</v>
      </c>
      <c r="M136" s="12" t="s">
        <v>277</v>
      </c>
      <c r="N136" s="12" t="s">
        <v>277</v>
      </c>
      <c r="O136" s="12" t="s">
        <v>277</v>
      </c>
      <c r="P136" s="12" t="s">
        <v>277</v>
      </c>
      <c r="Q136" s="12" t="s">
        <v>277</v>
      </c>
      <c r="R136" s="12" t="s">
        <v>277</v>
      </c>
      <c r="S136" s="12" t="s">
        <v>277</v>
      </c>
      <c r="T136" s="12" t="s">
        <v>277</v>
      </c>
      <c r="U136" s="12" t="s">
        <v>277</v>
      </c>
      <c r="V136" s="12" t="s">
        <v>277</v>
      </c>
      <c r="W136" s="12" t="s">
        <v>277</v>
      </c>
      <c r="X136" s="12" t="s">
        <v>277</v>
      </c>
      <c r="Y136" s="12" t="s">
        <v>277</v>
      </c>
      <c r="Z136" s="12" t="s">
        <v>277</v>
      </c>
      <c r="AA136" s="12" t="s">
        <v>277</v>
      </c>
      <c r="AB136" s="12" t="s">
        <v>277</v>
      </c>
      <c r="AC136" s="12" t="s">
        <v>277</v>
      </c>
      <c r="AD136" s="12" t="s">
        <v>277</v>
      </c>
      <c r="AE136" s="12" t="s">
        <v>277</v>
      </c>
      <c r="AF136" s="12" t="s">
        <v>277</v>
      </c>
      <c r="AG136" s="12" t="s">
        <v>322</v>
      </c>
      <c r="AH136" s="12" t="s">
        <v>280</v>
      </c>
      <c r="AI136" s="12" t="s">
        <v>507</v>
      </c>
      <c r="AJ136" s="12" t="s">
        <v>568</v>
      </c>
      <c r="AK136" s="12" t="s">
        <v>958</v>
      </c>
      <c r="AL136" s="12" t="s">
        <v>618</v>
      </c>
      <c r="AM136" s="12" t="s">
        <v>824</v>
      </c>
      <c r="AN136" s="12" t="s">
        <v>382</v>
      </c>
      <c r="AO136" s="12" t="s">
        <v>1514</v>
      </c>
      <c r="AP136" s="12" t="s">
        <v>2200</v>
      </c>
      <c r="AQ136" s="12" t="s">
        <v>1074</v>
      </c>
      <c r="AR136" s="12" t="s">
        <v>2482</v>
      </c>
      <c r="AS136" s="12" t="s">
        <v>1488</v>
      </c>
      <c r="AT136" s="12" t="s">
        <v>2483</v>
      </c>
      <c r="AU136" s="12" t="s">
        <v>2484</v>
      </c>
      <c r="AV136" s="12" t="s">
        <v>2485</v>
      </c>
      <c r="AW136" s="12" t="s">
        <v>2486</v>
      </c>
      <c r="AX136" s="12" t="s">
        <v>2487</v>
      </c>
      <c r="AY136" s="12" t="s">
        <v>2488</v>
      </c>
      <c r="AZ136" s="12" t="s">
        <v>2075</v>
      </c>
      <c r="BA136" s="12" t="s">
        <v>2489</v>
      </c>
      <c r="BB136" s="12" t="s">
        <v>2490</v>
      </c>
      <c r="BC136" s="12" t="s">
        <v>2491</v>
      </c>
      <c r="BD136" s="12" t="s">
        <v>2492</v>
      </c>
      <c r="BE136" s="12" t="s">
        <v>2493</v>
      </c>
      <c r="BF136" s="12" t="s">
        <v>2494</v>
      </c>
      <c r="BG136" s="12" t="s">
        <v>2495</v>
      </c>
      <c r="BH136" s="12" t="s">
        <v>2496</v>
      </c>
      <c r="BI136" s="12" t="s">
        <v>2497</v>
      </c>
      <c r="BJ136" s="12" t="s">
        <v>2498</v>
      </c>
      <c r="BK136" s="12" t="s">
        <v>2499</v>
      </c>
      <c r="BL136" s="12" t="s">
        <v>2500</v>
      </c>
      <c r="BM136" s="12" t="s">
        <v>2501</v>
      </c>
      <c r="BN136" s="12" t="s">
        <v>2502</v>
      </c>
      <c r="BO136" s="12" t="s">
        <v>2503</v>
      </c>
      <c r="BP136" s="12" t="s">
        <v>2504</v>
      </c>
      <c r="BQ136" s="12" t="s">
        <v>2505</v>
      </c>
      <c r="BR136" s="12" t="s">
        <v>2506</v>
      </c>
      <c r="BS136" s="12" t="s">
        <v>2507</v>
      </c>
      <c r="BT136" s="12" t="s">
        <v>2508</v>
      </c>
      <c r="BU136" s="12" t="s">
        <v>2509</v>
      </c>
      <c r="BV136" s="12" t="s">
        <v>2510</v>
      </c>
      <c r="BW136" s="12" t="s">
        <v>2511</v>
      </c>
      <c r="BX136" s="12" t="s">
        <v>2512</v>
      </c>
      <c r="BY136" s="12" t="s">
        <v>2513</v>
      </c>
      <c r="BZ136" s="12" t="s">
        <v>2514</v>
      </c>
      <c r="CA136" s="12" t="s">
        <v>2515</v>
      </c>
      <c r="CB136" s="12" t="s">
        <v>2516</v>
      </c>
      <c r="CC136" s="12" t="s">
        <v>2517</v>
      </c>
      <c r="CD136" s="12" t="s">
        <v>2518</v>
      </c>
      <c r="CE136" s="12" t="s">
        <v>2519</v>
      </c>
      <c r="CF136" s="12" t="s">
        <v>2520</v>
      </c>
      <c r="CG136" s="12" t="s">
        <v>2521</v>
      </c>
      <c r="CH136" s="12" t="s">
        <v>2522</v>
      </c>
      <c r="CI136" s="12" t="s">
        <v>2523</v>
      </c>
      <c r="CJ136" s="12" t="s">
        <v>2524</v>
      </c>
      <c r="CK136" s="12" t="s">
        <v>2525</v>
      </c>
      <c r="CL136" s="12" t="s">
        <v>2526</v>
      </c>
      <c r="CM136" s="12" t="s">
        <v>2527</v>
      </c>
      <c r="CN136" s="12" t="s">
        <v>2528</v>
      </c>
      <c r="CO136" s="12" t="s">
        <v>2529</v>
      </c>
      <c r="CP136" s="12" t="s">
        <v>2530</v>
      </c>
      <c r="CQ136" s="12" t="s">
        <v>2531</v>
      </c>
      <c r="CR136" s="12" t="s">
        <v>2532</v>
      </c>
      <c r="CS136" s="12" t="s">
        <v>2533</v>
      </c>
      <c r="CT136" s="12" t="s">
        <v>2534</v>
      </c>
      <c r="CU136" s="12" t="s">
        <v>4184</v>
      </c>
      <c r="CV136" s="12" t="s">
        <v>4185</v>
      </c>
      <c r="CW136" s="12" t="s">
        <v>4186</v>
      </c>
      <c r="CX136" s="12" t="s">
        <v>4187</v>
      </c>
    </row>
    <row r="137" spans="1:102" hidden="1" x14ac:dyDescent="0.3">
      <c r="A137" s="12" t="s">
        <v>12</v>
      </c>
      <c r="B137" s="12" t="s">
        <v>2535</v>
      </c>
      <c r="C137" s="12" t="s">
        <v>275</v>
      </c>
      <c r="D137" s="12" t="s">
        <v>2536</v>
      </c>
      <c r="E137" s="12" t="s">
        <v>277</v>
      </c>
      <c r="F137" s="12" t="s">
        <v>277</v>
      </c>
      <c r="G137" s="12" t="s">
        <v>277</v>
      </c>
      <c r="H137" s="12" t="s">
        <v>277</v>
      </c>
      <c r="I137" s="12" t="s">
        <v>277</v>
      </c>
      <c r="J137" s="12" t="s">
        <v>277</v>
      </c>
      <c r="K137" s="12" t="s">
        <v>277</v>
      </c>
      <c r="L137" s="12" t="s">
        <v>277</v>
      </c>
      <c r="M137" s="12" t="s">
        <v>277</v>
      </c>
      <c r="N137" s="12" t="s">
        <v>277</v>
      </c>
      <c r="O137" s="12" t="s">
        <v>277</v>
      </c>
      <c r="P137" s="12" t="s">
        <v>277</v>
      </c>
      <c r="Q137" s="12" t="s">
        <v>277</v>
      </c>
      <c r="R137" s="12" t="s">
        <v>277</v>
      </c>
      <c r="S137" s="12" t="s">
        <v>277</v>
      </c>
      <c r="T137" s="12" t="s">
        <v>277</v>
      </c>
      <c r="U137" s="12" t="s">
        <v>277</v>
      </c>
      <c r="V137" s="12" t="s">
        <v>277</v>
      </c>
      <c r="W137" s="12" t="s">
        <v>277</v>
      </c>
      <c r="X137" s="12" t="s">
        <v>277</v>
      </c>
      <c r="Y137" s="12" t="s">
        <v>277</v>
      </c>
      <c r="Z137" s="12" t="s">
        <v>277</v>
      </c>
      <c r="AA137" s="12" t="s">
        <v>277</v>
      </c>
      <c r="AB137" s="12" t="s">
        <v>277</v>
      </c>
      <c r="AC137" s="12" t="s">
        <v>277</v>
      </c>
      <c r="AD137" s="12" t="s">
        <v>277</v>
      </c>
      <c r="AE137" s="12" t="s">
        <v>277</v>
      </c>
      <c r="AF137" s="12" t="s">
        <v>277</v>
      </c>
      <c r="AG137" s="12" t="s">
        <v>277</v>
      </c>
      <c r="AH137" s="12" t="s">
        <v>277</v>
      </c>
      <c r="AI137" s="12" t="s">
        <v>277</v>
      </c>
      <c r="AJ137" s="12" t="s">
        <v>277</v>
      </c>
      <c r="AK137" s="12" t="s">
        <v>277</v>
      </c>
      <c r="AL137" s="12" t="s">
        <v>278</v>
      </c>
      <c r="AM137" s="12" t="s">
        <v>278</v>
      </c>
      <c r="AN137" s="12" t="s">
        <v>280</v>
      </c>
      <c r="AO137" s="12" t="s">
        <v>281</v>
      </c>
      <c r="AP137" s="12" t="s">
        <v>281</v>
      </c>
      <c r="AQ137" s="12" t="s">
        <v>567</v>
      </c>
      <c r="AR137" s="12" t="s">
        <v>373</v>
      </c>
      <c r="AS137" s="12" t="s">
        <v>375</v>
      </c>
      <c r="AT137" s="12" t="s">
        <v>551</v>
      </c>
      <c r="AU137" s="12" t="s">
        <v>616</v>
      </c>
      <c r="AV137" s="12" t="s">
        <v>616</v>
      </c>
      <c r="AW137" s="12" t="s">
        <v>287</v>
      </c>
      <c r="AX137" s="12" t="s">
        <v>378</v>
      </c>
      <c r="AY137" s="12" t="s">
        <v>379</v>
      </c>
      <c r="AZ137" s="12" t="s">
        <v>379</v>
      </c>
      <c r="BA137" s="12" t="s">
        <v>553</v>
      </c>
      <c r="BB137" s="12" t="s">
        <v>553</v>
      </c>
      <c r="BC137" s="12" t="s">
        <v>553</v>
      </c>
      <c r="BD137" s="12" t="s">
        <v>1430</v>
      </c>
      <c r="BE137" s="12" t="s">
        <v>291</v>
      </c>
      <c r="BF137" s="12" t="s">
        <v>1198</v>
      </c>
      <c r="BG137" s="12" t="s">
        <v>1448</v>
      </c>
      <c r="BH137" s="12" t="s">
        <v>1799</v>
      </c>
      <c r="BI137" s="12" t="s">
        <v>423</v>
      </c>
      <c r="BJ137" s="12" t="s">
        <v>2537</v>
      </c>
      <c r="BK137" s="12" t="s">
        <v>1585</v>
      </c>
      <c r="BL137" s="12" t="s">
        <v>825</v>
      </c>
      <c r="BM137" s="12" t="s">
        <v>1122</v>
      </c>
      <c r="BN137" s="12" t="s">
        <v>474</v>
      </c>
      <c r="BO137" s="12" t="s">
        <v>1308</v>
      </c>
      <c r="BP137" s="12" t="s">
        <v>1065</v>
      </c>
      <c r="BQ137" s="12" t="s">
        <v>1887</v>
      </c>
      <c r="BR137" s="12" t="s">
        <v>830</v>
      </c>
      <c r="BS137" s="12" t="s">
        <v>735</v>
      </c>
      <c r="BT137" s="12" t="s">
        <v>1781</v>
      </c>
      <c r="BU137" s="12" t="s">
        <v>2538</v>
      </c>
      <c r="BV137" s="12" t="s">
        <v>1939</v>
      </c>
      <c r="BW137" s="12" t="s">
        <v>2539</v>
      </c>
      <c r="BX137" s="12" t="s">
        <v>1224</v>
      </c>
      <c r="BY137" s="12" t="s">
        <v>481</v>
      </c>
      <c r="BZ137" s="12" t="s">
        <v>1082</v>
      </c>
      <c r="CA137" s="12" t="s">
        <v>2128</v>
      </c>
      <c r="CB137" s="12" t="s">
        <v>2540</v>
      </c>
      <c r="CC137" s="12" t="s">
        <v>2541</v>
      </c>
      <c r="CD137" s="12" t="s">
        <v>2542</v>
      </c>
      <c r="CE137" s="12" t="s">
        <v>1820</v>
      </c>
      <c r="CF137" s="12" t="s">
        <v>317</v>
      </c>
      <c r="CG137" s="12" t="s">
        <v>2543</v>
      </c>
      <c r="CH137" s="12" t="s">
        <v>1471</v>
      </c>
      <c r="CI137" s="12" t="s">
        <v>1476</v>
      </c>
      <c r="CJ137" s="12" t="s">
        <v>1478</v>
      </c>
      <c r="CK137" s="12" t="s">
        <v>1479</v>
      </c>
      <c r="CL137" s="12" t="s">
        <v>2134</v>
      </c>
      <c r="CM137" s="12" t="s">
        <v>2544</v>
      </c>
      <c r="CN137" s="12" t="s">
        <v>2545</v>
      </c>
      <c r="CO137" s="12" t="s">
        <v>1496</v>
      </c>
      <c r="CP137" s="12" t="s">
        <v>2546</v>
      </c>
      <c r="CQ137" s="12" t="s">
        <v>2547</v>
      </c>
      <c r="CR137" s="12" t="s">
        <v>2548</v>
      </c>
      <c r="CS137" s="12" t="s">
        <v>2456</v>
      </c>
      <c r="CT137" s="12" t="s">
        <v>2549</v>
      </c>
      <c r="CU137" s="12" t="s">
        <v>2387</v>
      </c>
      <c r="CV137" s="12" t="s">
        <v>4188</v>
      </c>
      <c r="CW137" s="12" t="s">
        <v>4189</v>
      </c>
      <c r="CX137" s="12" t="s">
        <v>4190</v>
      </c>
    </row>
    <row r="138" spans="1:102" hidden="1" x14ac:dyDescent="0.3">
      <c r="A138" s="12" t="s">
        <v>12</v>
      </c>
      <c r="B138" s="12" t="s">
        <v>2550</v>
      </c>
      <c r="C138" s="12" t="s">
        <v>2551</v>
      </c>
      <c r="D138" s="12" t="s">
        <v>2552</v>
      </c>
      <c r="E138" s="12" t="s">
        <v>277</v>
      </c>
      <c r="F138" s="12" t="s">
        <v>277</v>
      </c>
      <c r="G138" s="12" t="s">
        <v>277</v>
      </c>
      <c r="H138" s="12" t="s">
        <v>277</v>
      </c>
      <c r="I138" s="12" t="s">
        <v>277</v>
      </c>
      <c r="J138" s="12" t="s">
        <v>277</v>
      </c>
      <c r="K138" s="12" t="s">
        <v>277</v>
      </c>
      <c r="L138" s="12" t="s">
        <v>277</v>
      </c>
      <c r="M138" s="12" t="s">
        <v>277</v>
      </c>
      <c r="N138" s="12" t="s">
        <v>277</v>
      </c>
      <c r="O138" s="12" t="s">
        <v>277</v>
      </c>
      <c r="P138" s="12" t="s">
        <v>277</v>
      </c>
      <c r="Q138" s="12" t="s">
        <v>277</v>
      </c>
      <c r="R138" s="12" t="s">
        <v>277</v>
      </c>
      <c r="S138" s="12" t="s">
        <v>277</v>
      </c>
      <c r="T138" s="12" t="s">
        <v>277</v>
      </c>
      <c r="U138" s="12" t="s">
        <v>277</v>
      </c>
      <c r="V138" s="12" t="s">
        <v>277</v>
      </c>
      <c r="W138" s="12" t="s">
        <v>277</v>
      </c>
      <c r="X138" s="12" t="s">
        <v>277</v>
      </c>
      <c r="Y138" s="12" t="s">
        <v>277</v>
      </c>
      <c r="Z138" s="12" t="s">
        <v>277</v>
      </c>
      <c r="AA138" s="12" t="s">
        <v>277</v>
      </c>
      <c r="AB138" s="12" t="s">
        <v>277</v>
      </c>
      <c r="AC138" s="12" t="s">
        <v>277</v>
      </c>
      <c r="AD138" s="12" t="s">
        <v>277</v>
      </c>
      <c r="AE138" s="12" t="s">
        <v>277</v>
      </c>
      <c r="AF138" s="12" t="s">
        <v>277</v>
      </c>
      <c r="AG138" s="12" t="s">
        <v>277</v>
      </c>
      <c r="AH138" s="12" t="s">
        <v>277</v>
      </c>
      <c r="AI138" s="12" t="s">
        <v>277</v>
      </c>
      <c r="AJ138" s="12" t="s">
        <v>277</v>
      </c>
      <c r="AK138" s="12" t="s">
        <v>277</v>
      </c>
      <c r="AL138" s="12" t="s">
        <v>277</v>
      </c>
      <c r="AM138" s="12" t="s">
        <v>277</v>
      </c>
      <c r="AN138" s="12" t="s">
        <v>277</v>
      </c>
      <c r="AO138" s="12" t="s">
        <v>277</v>
      </c>
      <c r="AP138" s="12" t="s">
        <v>277</v>
      </c>
      <c r="AQ138" s="12" t="s">
        <v>278</v>
      </c>
      <c r="AR138" s="12" t="s">
        <v>278</v>
      </c>
      <c r="AS138" s="12" t="s">
        <v>278</v>
      </c>
      <c r="AT138" s="12" t="s">
        <v>322</v>
      </c>
      <c r="AU138" s="12" t="s">
        <v>550</v>
      </c>
      <c r="AV138" s="12" t="s">
        <v>550</v>
      </c>
      <c r="AW138" s="12" t="s">
        <v>507</v>
      </c>
      <c r="AX138" s="12" t="s">
        <v>507</v>
      </c>
      <c r="AY138" s="12" t="s">
        <v>373</v>
      </c>
      <c r="AZ138" s="12" t="s">
        <v>284</v>
      </c>
      <c r="BA138" s="12" t="s">
        <v>466</v>
      </c>
      <c r="BB138" s="12" t="s">
        <v>958</v>
      </c>
      <c r="BC138" s="12" t="s">
        <v>958</v>
      </c>
      <c r="BD138" s="12" t="s">
        <v>381</v>
      </c>
      <c r="BE138" s="12" t="s">
        <v>1054</v>
      </c>
      <c r="BF138" s="12" t="s">
        <v>1054</v>
      </c>
      <c r="BG138" s="12" t="s">
        <v>681</v>
      </c>
      <c r="BH138" s="12" t="s">
        <v>342</v>
      </c>
      <c r="BI138" s="12" t="s">
        <v>1436</v>
      </c>
      <c r="BJ138" s="12" t="s">
        <v>1102</v>
      </c>
      <c r="BK138" s="12" t="s">
        <v>2553</v>
      </c>
      <c r="BL138" s="12" t="s">
        <v>2554</v>
      </c>
      <c r="BM138" s="12" t="s">
        <v>311</v>
      </c>
      <c r="BN138" s="12" t="s">
        <v>2555</v>
      </c>
      <c r="BO138" s="12" t="s">
        <v>717</v>
      </c>
      <c r="BP138" s="12" t="s">
        <v>1500</v>
      </c>
      <c r="BQ138" s="12" t="s">
        <v>2556</v>
      </c>
      <c r="BR138" s="12" t="s">
        <v>2557</v>
      </c>
      <c r="BS138" s="12" t="s">
        <v>2558</v>
      </c>
      <c r="BT138" s="12" t="s">
        <v>2559</v>
      </c>
      <c r="BU138" s="12" t="s">
        <v>411</v>
      </c>
      <c r="BV138" s="12" t="s">
        <v>2560</v>
      </c>
      <c r="BW138" s="12" t="s">
        <v>2561</v>
      </c>
      <c r="BX138" s="12" t="s">
        <v>2562</v>
      </c>
      <c r="BY138" s="12" t="s">
        <v>2563</v>
      </c>
      <c r="BZ138" s="12" t="s">
        <v>2564</v>
      </c>
      <c r="CA138" s="12" t="s">
        <v>2565</v>
      </c>
      <c r="CB138" s="12" t="s">
        <v>2566</v>
      </c>
      <c r="CC138" s="12" t="s">
        <v>2567</v>
      </c>
      <c r="CD138" s="12" t="s">
        <v>2568</v>
      </c>
      <c r="CE138" s="12" t="s">
        <v>2569</v>
      </c>
      <c r="CF138" s="12" t="s">
        <v>2570</v>
      </c>
      <c r="CG138" s="12" t="s">
        <v>2571</v>
      </c>
      <c r="CH138" s="12" t="s">
        <v>2572</v>
      </c>
      <c r="CI138" s="12" t="s">
        <v>2573</v>
      </c>
      <c r="CJ138" s="12" t="s">
        <v>2574</v>
      </c>
      <c r="CK138" s="12" t="s">
        <v>2575</v>
      </c>
      <c r="CL138" s="12" t="s">
        <v>2576</v>
      </c>
      <c r="CM138" s="12" t="s">
        <v>2577</v>
      </c>
      <c r="CN138" s="12" t="s">
        <v>2578</v>
      </c>
      <c r="CO138" s="12" t="s">
        <v>2579</v>
      </c>
      <c r="CP138" s="12" t="s">
        <v>2580</v>
      </c>
      <c r="CQ138" s="12" t="s">
        <v>2581</v>
      </c>
      <c r="CR138" s="12" t="s">
        <v>2582</v>
      </c>
      <c r="CS138" s="12" t="s">
        <v>2583</v>
      </c>
      <c r="CT138" s="12" t="s">
        <v>2584</v>
      </c>
      <c r="CU138" s="12" t="s">
        <v>4191</v>
      </c>
      <c r="CV138" s="12" t="s">
        <v>4192</v>
      </c>
      <c r="CW138" s="12" t="s">
        <v>4193</v>
      </c>
      <c r="CX138" s="12" t="s">
        <v>4194</v>
      </c>
    </row>
    <row r="139" spans="1:102" hidden="1" x14ac:dyDescent="0.3">
      <c r="A139" s="12" t="s">
        <v>12</v>
      </c>
      <c r="B139" s="12" t="s">
        <v>2585</v>
      </c>
      <c r="C139" s="12" t="s">
        <v>2586</v>
      </c>
      <c r="D139" s="12" t="s">
        <v>2587</v>
      </c>
      <c r="E139" s="12" t="s">
        <v>277</v>
      </c>
      <c r="F139" s="12" t="s">
        <v>277</v>
      </c>
      <c r="G139" s="12" t="s">
        <v>277</v>
      </c>
      <c r="H139" s="12" t="s">
        <v>277</v>
      </c>
      <c r="I139" s="12" t="s">
        <v>277</v>
      </c>
      <c r="J139" s="12" t="s">
        <v>277</v>
      </c>
      <c r="K139" s="12" t="s">
        <v>277</v>
      </c>
      <c r="L139" s="12" t="s">
        <v>277</v>
      </c>
      <c r="M139" s="12" t="s">
        <v>277</v>
      </c>
      <c r="N139" s="12" t="s">
        <v>277</v>
      </c>
      <c r="O139" s="12" t="s">
        <v>277</v>
      </c>
      <c r="P139" s="12" t="s">
        <v>277</v>
      </c>
      <c r="Q139" s="12" t="s">
        <v>277</v>
      </c>
      <c r="R139" s="12" t="s">
        <v>277</v>
      </c>
      <c r="S139" s="12" t="s">
        <v>277</v>
      </c>
      <c r="T139" s="12" t="s">
        <v>277</v>
      </c>
      <c r="U139" s="12" t="s">
        <v>277</v>
      </c>
      <c r="V139" s="12" t="s">
        <v>277</v>
      </c>
      <c r="W139" s="12" t="s">
        <v>277</v>
      </c>
      <c r="X139" s="12" t="s">
        <v>277</v>
      </c>
      <c r="Y139" s="12" t="s">
        <v>277</v>
      </c>
      <c r="Z139" s="12" t="s">
        <v>277</v>
      </c>
      <c r="AA139" s="12" t="s">
        <v>277</v>
      </c>
      <c r="AB139" s="12" t="s">
        <v>277</v>
      </c>
      <c r="AC139" s="12" t="s">
        <v>277</v>
      </c>
      <c r="AD139" s="12" t="s">
        <v>277</v>
      </c>
      <c r="AE139" s="12" t="s">
        <v>277</v>
      </c>
      <c r="AF139" s="12" t="s">
        <v>277</v>
      </c>
      <c r="AG139" s="12" t="s">
        <v>277</v>
      </c>
      <c r="AH139" s="12" t="s">
        <v>277</v>
      </c>
      <c r="AI139" s="12" t="s">
        <v>278</v>
      </c>
      <c r="AJ139" s="12" t="s">
        <v>278</v>
      </c>
      <c r="AK139" s="12" t="s">
        <v>278</v>
      </c>
      <c r="AL139" s="12" t="s">
        <v>278</v>
      </c>
      <c r="AM139" s="12" t="s">
        <v>278</v>
      </c>
      <c r="AN139" s="12" t="s">
        <v>322</v>
      </c>
      <c r="AO139" s="12" t="s">
        <v>371</v>
      </c>
      <c r="AP139" s="12" t="s">
        <v>279</v>
      </c>
      <c r="AQ139" s="12" t="s">
        <v>281</v>
      </c>
      <c r="AR139" s="12" t="s">
        <v>323</v>
      </c>
      <c r="AS139" s="12" t="s">
        <v>323</v>
      </c>
      <c r="AT139" s="12" t="s">
        <v>324</v>
      </c>
      <c r="AU139" s="12" t="s">
        <v>461</v>
      </c>
      <c r="AV139" s="12" t="s">
        <v>374</v>
      </c>
      <c r="AW139" s="12" t="s">
        <v>376</v>
      </c>
      <c r="AX139" s="12" t="s">
        <v>958</v>
      </c>
      <c r="AY139" s="12" t="s">
        <v>618</v>
      </c>
      <c r="AZ139" s="12" t="s">
        <v>618</v>
      </c>
      <c r="BA139" s="12" t="s">
        <v>419</v>
      </c>
      <c r="BB139" s="12" t="s">
        <v>470</v>
      </c>
      <c r="BC139" s="12" t="s">
        <v>560</v>
      </c>
      <c r="BD139" s="12" t="s">
        <v>975</v>
      </c>
      <c r="BE139" s="12" t="s">
        <v>1321</v>
      </c>
      <c r="BF139" s="12" t="s">
        <v>1726</v>
      </c>
      <c r="BG139" s="12" t="s">
        <v>862</v>
      </c>
      <c r="BH139" s="12" t="s">
        <v>1188</v>
      </c>
      <c r="BI139" s="12" t="s">
        <v>346</v>
      </c>
      <c r="BJ139" s="12" t="s">
        <v>2588</v>
      </c>
      <c r="BK139" s="12" t="s">
        <v>1420</v>
      </c>
      <c r="BL139" s="12" t="s">
        <v>1915</v>
      </c>
      <c r="BM139" s="12" t="s">
        <v>2589</v>
      </c>
      <c r="BN139" s="12" t="s">
        <v>2590</v>
      </c>
      <c r="BO139" s="12" t="s">
        <v>1823</v>
      </c>
      <c r="BP139" s="12" t="s">
        <v>2591</v>
      </c>
      <c r="BQ139" s="12" t="s">
        <v>2592</v>
      </c>
      <c r="BR139" s="12" t="s">
        <v>2593</v>
      </c>
      <c r="BS139" s="12" t="s">
        <v>2594</v>
      </c>
      <c r="BT139" s="12" t="s">
        <v>2595</v>
      </c>
      <c r="BU139" s="12" t="s">
        <v>2596</v>
      </c>
      <c r="BV139" s="12" t="s">
        <v>2597</v>
      </c>
      <c r="BW139" s="12" t="s">
        <v>2598</v>
      </c>
      <c r="BX139" s="12" t="s">
        <v>2599</v>
      </c>
      <c r="BY139" s="12" t="s">
        <v>2600</v>
      </c>
      <c r="BZ139" s="12" t="s">
        <v>2601</v>
      </c>
      <c r="CA139" s="12" t="s">
        <v>2602</v>
      </c>
      <c r="CB139" s="12" t="s">
        <v>2603</v>
      </c>
      <c r="CC139" s="12" t="s">
        <v>2604</v>
      </c>
      <c r="CD139" s="12" t="s">
        <v>2605</v>
      </c>
      <c r="CE139" s="12" t="s">
        <v>2606</v>
      </c>
      <c r="CF139" s="12" t="s">
        <v>2607</v>
      </c>
      <c r="CG139" s="12" t="s">
        <v>2608</v>
      </c>
      <c r="CH139" s="12" t="s">
        <v>2609</v>
      </c>
      <c r="CI139" s="12" t="s">
        <v>2610</v>
      </c>
      <c r="CJ139" s="12" t="s">
        <v>2611</v>
      </c>
      <c r="CK139" s="12" t="s">
        <v>2612</v>
      </c>
      <c r="CL139" s="12" t="s">
        <v>2613</v>
      </c>
      <c r="CM139" s="12" t="s">
        <v>2614</v>
      </c>
      <c r="CN139" s="12" t="s">
        <v>2615</v>
      </c>
      <c r="CO139" s="12" t="s">
        <v>2616</v>
      </c>
      <c r="CP139" s="12" t="s">
        <v>2617</v>
      </c>
      <c r="CQ139" s="12" t="s">
        <v>2618</v>
      </c>
      <c r="CR139" s="12" t="s">
        <v>2619</v>
      </c>
      <c r="CS139" s="12" t="s">
        <v>2620</v>
      </c>
      <c r="CT139" s="12" t="s">
        <v>2621</v>
      </c>
      <c r="CU139" s="12" t="s">
        <v>4195</v>
      </c>
      <c r="CV139" s="12" t="s">
        <v>4196</v>
      </c>
      <c r="CW139" s="12" t="s">
        <v>4197</v>
      </c>
      <c r="CX139" s="12" t="s">
        <v>4198</v>
      </c>
    </row>
    <row r="140" spans="1:102" hidden="1" x14ac:dyDescent="0.3">
      <c r="A140" s="12" t="s">
        <v>12</v>
      </c>
      <c r="B140" s="12" t="s">
        <v>77</v>
      </c>
      <c r="C140" s="12" t="s">
        <v>2622</v>
      </c>
      <c r="D140" s="12" t="s">
        <v>2623</v>
      </c>
      <c r="E140" s="12" t="s">
        <v>277</v>
      </c>
      <c r="F140" s="12" t="s">
        <v>277</v>
      </c>
      <c r="G140" s="12" t="s">
        <v>277</v>
      </c>
      <c r="H140" s="12" t="s">
        <v>277</v>
      </c>
      <c r="I140" s="12" t="s">
        <v>277</v>
      </c>
      <c r="J140" s="12" t="s">
        <v>277</v>
      </c>
      <c r="K140" s="12" t="s">
        <v>277</v>
      </c>
      <c r="L140" s="12" t="s">
        <v>277</v>
      </c>
      <c r="M140" s="12" t="s">
        <v>277</v>
      </c>
      <c r="N140" s="12" t="s">
        <v>322</v>
      </c>
      <c r="O140" s="12" t="s">
        <v>322</v>
      </c>
      <c r="P140" s="12" t="s">
        <v>322</v>
      </c>
      <c r="Q140" s="12" t="s">
        <v>322</v>
      </c>
      <c r="R140" s="12" t="s">
        <v>322</v>
      </c>
      <c r="S140" s="12" t="s">
        <v>322</v>
      </c>
      <c r="T140" s="12" t="s">
        <v>322</v>
      </c>
      <c r="U140" s="12" t="s">
        <v>371</v>
      </c>
      <c r="V140" s="12" t="s">
        <v>371</v>
      </c>
      <c r="W140" s="12" t="s">
        <v>371</v>
      </c>
      <c r="X140" s="12" t="s">
        <v>371</v>
      </c>
      <c r="Y140" s="12" t="s">
        <v>371</v>
      </c>
      <c r="Z140" s="12" t="s">
        <v>371</v>
      </c>
      <c r="AA140" s="12" t="s">
        <v>371</v>
      </c>
      <c r="AB140" s="12" t="s">
        <v>371</v>
      </c>
      <c r="AC140" s="12" t="s">
        <v>371</v>
      </c>
      <c r="AD140" s="12" t="s">
        <v>371</v>
      </c>
      <c r="AE140" s="12" t="s">
        <v>371</v>
      </c>
      <c r="AF140" s="12" t="s">
        <v>371</v>
      </c>
      <c r="AG140" s="12" t="s">
        <v>371</v>
      </c>
      <c r="AH140" s="12" t="s">
        <v>371</v>
      </c>
      <c r="AI140" s="12" t="s">
        <v>374</v>
      </c>
      <c r="AJ140" s="12" t="s">
        <v>552</v>
      </c>
      <c r="AK140" s="12" t="s">
        <v>1321</v>
      </c>
      <c r="AL140" s="12" t="s">
        <v>693</v>
      </c>
      <c r="AM140" s="12" t="s">
        <v>1440</v>
      </c>
      <c r="AN140" s="12" t="s">
        <v>731</v>
      </c>
      <c r="AO140" s="12" t="s">
        <v>750</v>
      </c>
      <c r="AP140" s="12" t="s">
        <v>2624</v>
      </c>
      <c r="AQ140" s="12" t="s">
        <v>2625</v>
      </c>
      <c r="AR140" s="12" t="s">
        <v>2626</v>
      </c>
      <c r="AS140" s="12" t="s">
        <v>2627</v>
      </c>
      <c r="AT140" s="12" t="s">
        <v>2628</v>
      </c>
      <c r="AU140" s="12" t="s">
        <v>2629</v>
      </c>
      <c r="AV140" s="12" t="s">
        <v>1951</v>
      </c>
      <c r="AW140" s="12" t="s">
        <v>2630</v>
      </c>
      <c r="AX140" s="12" t="s">
        <v>2631</v>
      </c>
      <c r="AY140" s="12" t="s">
        <v>2632</v>
      </c>
      <c r="AZ140" s="12" t="s">
        <v>2633</v>
      </c>
      <c r="BA140" s="12" t="s">
        <v>2634</v>
      </c>
      <c r="BB140" s="12" t="s">
        <v>2635</v>
      </c>
      <c r="BC140" s="12" t="s">
        <v>2635</v>
      </c>
      <c r="BD140" s="12" t="s">
        <v>2636</v>
      </c>
      <c r="BE140" s="12" t="s">
        <v>2637</v>
      </c>
      <c r="BF140" s="12" t="s">
        <v>2638</v>
      </c>
      <c r="BG140" s="12" t="s">
        <v>2639</v>
      </c>
      <c r="BH140" s="12" t="s">
        <v>2640</v>
      </c>
      <c r="BI140" s="12" t="s">
        <v>2641</v>
      </c>
      <c r="BJ140" s="12" t="s">
        <v>2642</v>
      </c>
      <c r="BK140" s="12" t="s">
        <v>2643</v>
      </c>
      <c r="BL140" s="12" t="s">
        <v>2644</v>
      </c>
      <c r="BM140" s="12" t="s">
        <v>2645</v>
      </c>
      <c r="BN140" s="12" t="s">
        <v>2646</v>
      </c>
      <c r="BO140" s="12" t="s">
        <v>2647</v>
      </c>
      <c r="BP140" s="12" t="s">
        <v>2648</v>
      </c>
      <c r="BQ140" s="12" t="s">
        <v>2649</v>
      </c>
      <c r="BR140" s="12" t="s">
        <v>2650</v>
      </c>
      <c r="BS140" s="12" t="s">
        <v>2651</v>
      </c>
      <c r="BT140" s="12" t="s">
        <v>2652</v>
      </c>
      <c r="BU140" s="12" t="s">
        <v>2653</v>
      </c>
      <c r="BV140" s="12" t="s">
        <v>2654</v>
      </c>
      <c r="BW140" s="12" t="s">
        <v>2655</v>
      </c>
      <c r="BX140" s="12" t="s">
        <v>2656</v>
      </c>
      <c r="BY140" s="12" t="s">
        <v>2657</v>
      </c>
      <c r="BZ140" s="12" t="s">
        <v>2658</v>
      </c>
      <c r="CA140" s="12" t="s">
        <v>2659</v>
      </c>
      <c r="CB140" s="12" t="s">
        <v>2660</v>
      </c>
      <c r="CC140" s="12" t="s">
        <v>2661</v>
      </c>
      <c r="CD140" s="12" t="s">
        <v>2662</v>
      </c>
      <c r="CE140" s="12" t="s">
        <v>2663</v>
      </c>
      <c r="CF140" s="12" t="s">
        <v>2664</v>
      </c>
      <c r="CG140" s="12" t="s">
        <v>2665</v>
      </c>
      <c r="CH140" s="12" t="s">
        <v>2666</v>
      </c>
      <c r="CI140" s="12" t="s">
        <v>2667</v>
      </c>
      <c r="CJ140" s="12" t="s">
        <v>2668</v>
      </c>
      <c r="CK140" s="12" t="s">
        <v>2669</v>
      </c>
      <c r="CL140" s="12" t="s">
        <v>2670</v>
      </c>
      <c r="CM140" s="12" t="s">
        <v>2671</v>
      </c>
      <c r="CN140" s="12" t="s">
        <v>2672</v>
      </c>
      <c r="CO140" s="12" t="s">
        <v>2673</v>
      </c>
      <c r="CP140" s="12" t="s">
        <v>2674</v>
      </c>
      <c r="CQ140" s="12" t="s">
        <v>2675</v>
      </c>
      <c r="CR140" s="12" t="s">
        <v>2676</v>
      </c>
      <c r="CS140" s="12" t="s">
        <v>2677</v>
      </c>
      <c r="CT140" s="12" t="s">
        <v>2678</v>
      </c>
      <c r="CU140" s="12" t="s">
        <v>4199</v>
      </c>
      <c r="CV140" s="12" t="s">
        <v>4200</v>
      </c>
      <c r="CW140" s="12" t="s">
        <v>4201</v>
      </c>
      <c r="CX140" s="12" t="s">
        <v>4202</v>
      </c>
    </row>
    <row r="141" spans="1:102" hidden="1" x14ac:dyDescent="0.3">
      <c r="A141" s="12" t="s">
        <v>12</v>
      </c>
      <c r="B141" s="12" t="s">
        <v>2679</v>
      </c>
      <c r="C141" s="12" t="s">
        <v>2680</v>
      </c>
      <c r="D141" s="12" t="s">
        <v>2681</v>
      </c>
      <c r="E141" s="12" t="s">
        <v>277</v>
      </c>
      <c r="F141" s="12" t="s">
        <v>277</v>
      </c>
      <c r="G141" s="12" t="s">
        <v>277</v>
      </c>
      <c r="H141" s="12" t="s">
        <v>277</v>
      </c>
      <c r="I141" s="12" t="s">
        <v>277</v>
      </c>
      <c r="J141" s="12" t="s">
        <v>277</v>
      </c>
      <c r="K141" s="12" t="s">
        <v>277</v>
      </c>
      <c r="L141" s="12" t="s">
        <v>277</v>
      </c>
      <c r="M141" s="12" t="s">
        <v>277</v>
      </c>
      <c r="N141" s="12" t="s">
        <v>277</v>
      </c>
      <c r="O141" s="12" t="s">
        <v>277</v>
      </c>
      <c r="P141" s="12" t="s">
        <v>277</v>
      </c>
      <c r="Q141" s="12" t="s">
        <v>277</v>
      </c>
      <c r="R141" s="12" t="s">
        <v>277</v>
      </c>
      <c r="S141" s="12" t="s">
        <v>277</v>
      </c>
      <c r="T141" s="12" t="s">
        <v>277</v>
      </c>
      <c r="U141" s="12" t="s">
        <v>277</v>
      </c>
      <c r="V141" s="12" t="s">
        <v>277</v>
      </c>
      <c r="W141" s="12" t="s">
        <v>277</v>
      </c>
      <c r="X141" s="12" t="s">
        <v>277</v>
      </c>
      <c r="Y141" s="12" t="s">
        <v>277</v>
      </c>
      <c r="Z141" s="12" t="s">
        <v>277</v>
      </c>
      <c r="AA141" s="12" t="s">
        <v>277</v>
      </c>
      <c r="AB141" s="12" t="s">
        <v>277</v>
      </c>
      <c r="AC141" s="12" t="s">
        <v>277</v>
      </c>
      <c r="AD141" s="12" t="s">
        <v>277</v>
      </c>
      <c r="AE141" s="12" t="s">
        <v>277</v>
      </c>
      <c r="AF141" s="12" t="s">
        <v>277</v>
      </c>
      <c r="AG141" s="12" t="s">
        <v>277</v>
      </c>
      <c r="AH141" s="12" t="s">
        <v>277</v>
      </c>
      <c r="AI141" s="12" t="s">
        <v>277</v>
      </c>
      <c r="AJ141" s="12" t="s">
        <v>277</v>
      </c>
      <c r="AK141" s="12" t="s">
        <v>277</v>
      </c>
      <c r="AL141" s="12" t="s">
        <v>277</v>
      </c>
      <c r="AM141" s="12" t="s">
        <v>277</v>
      </c>
      <c r="AN141" s="12" t="s">
        <v>277</v>
      </c>
      <c r="AO141" s="12" t="s">
        <v>277</v>
      </c>
      <c r="AP141" s="12" t="s">
        <v>277</v>
      </c>
      <c r="AQ141" s="12" t="s">
        <v>277</v>
      </c>
      <c r="AR141" s="12" t="s">
        <v>277</v>
      </c>
      <c r="AS141" s="12" t="s">
        <v>277</v>
      </c>
      <c r="AT141" s="12" t="s">
        <v>277</v>
      </c>
      <c r="AU141" s="12" t="s">
        <v>277</v>
      </c>
      <c r="AV141" s="12" t="s">
        <v>277</v>
      </c>
      <c r="AW141" s="12" t="s">
        <v>277</v>
      </c>
      <c r="AX141" s="12" t="s">
        <v>277</v>
      </c>
      <c r="AY141" s="12" t="s">
        <v>277</v>
      </c>
      <c r="AZ141" s="12" t="s">
        <v>277</v>
      </c>
      <c r="BA141" s="12" t="s">
        <v>277</v>
      </c>
      <c r="BB141" s="12" t="s">
        <v>278</v>
      </c>
      <c r="BC141" s="12" t="s">
        <v>322</v>
      </c>
      <c r="BD141" s="12" t="s">
        <v>454</v>
      </c>
      <c r="BE141" s="12" t="s">
        <v>454</v>
      </c>
      <c r="BF141" s="12" t="s">
        <v>323</v>
      </c>
      <c r="BG141" s="12" t="s">
        <v>323</v>
      </c>
      <c r="BH141" s="12" t="s">
        <v>324</v>
      </c>
      <c r="BI141" s="12" t="s">
        <v>567</v>
      </c>
      <c r="BJ141" s="12" t="s">
        <v>461</v>
      </c>
      <c r="BK141" s="12" t="s">
        <v>283</v>
      </c>
      <c r="BL141" s="12" t="s">
        <v>283</v>
      </c>
      <c r="BM141" s="12" t="s">
        <v>373</v>
      </c>
      <c r="BN141" s="12" t="s">
        <v>373</v>
      </c>
      <c r="BO141" s="12" t="s">
        <v>284</v>
      </c>
      <c r="BP141" s="12" t="s">
        <v>375</v>
      </c>
      <c r="BQ141" s="12" t="s">
        <v>375</v>
      </c>
      <c r="BR141" s="12" t="s">
        <v>375</v>
      </c>
      <c r="BS141" s="12" t="s">
        <v>1716</v>
      </c>
      <c r="BT141" s="12" t="s">
        <v>551</v>
      </c>
      <c r="BU141" s="12" t="s">
        <v>670</v>
      </c>
      <c r="BV141" s="12" t="s">
        <v>670</v>
      </c>
      <c r="BW141" s="12" t="s">
        <v>795</v>
      </c>
      <c r="BX141" s="12" t="s">
        <v>671</v>
      </c>
      <c r="BY141" s="12" t="s">
        <v>671</v>
      </c>
      <c r="BZ141" s="12" t="s">
        <v>418</v>
      </c>
      <c r="CA141" s="12" t="s">
        <v>1112</v>
      </c>
      <c r="CB141" s="12" t="s">
        <v>1112</v>
      </c>
      <c r="CC141" s="12" t="s">
        <v>879</v>
      </c>
      <c r="CD141" s="12" t="s">
        <v>879</v>
      </c>
      <c r="CE141" s="12" t="s">
        <v>879</v>
      </c>
      <c r="CF141" s="12" t="s">
        <v>879</v>
      </c>
      <c r="CG141" s="12" t="s">
        <v>569</v>
      </c>
      <c r="CH141" s="12" t="s">
        <v>673</v>
      </c>
      <c r="CI141" s="12" t="s">
        <v>819</v>
      </c>
      <c r="CJ141" s="12" t="s">
        <v>819</v>
      </c>
      <c r="CK141" s="12" t="s">
        <v>1449</v>
      </c>
      <c r="CL141" s="12" t="s">
        <v>1519</v>
      </c>
      <c r="CM141" s="12" t="s">
        <v>1519</v>
      </c>
      <c r="CN141" s="12" t="s">
        <v>885</v>
      </c>
      <c r="CO141" s="12" t="s">
        <v>1214</v>
      </c>
      <c r="CP141" s="12" t="s">
        <v>342</v>
      </c>
      <c r="CQ141" s="12" t="s">
        <v>342</v>
      </c>
      <c r="CR141" s="12" t="s">
        <v>1122</v>
      </c>
      <c r="CS141" s="12" t="s">
        <v>655</v>
      </c>
      <c r="CT141" s="12" t="s">
        <v>1094</v>
      </c>
      <c r="CU141" s="12" t="s">
        <v>657</v>
      </c>
      <c r="CV141" s="12" t="s">
        <v>1444</v>
      </c>
      <c r="CW141" s="12" t="s">
        <v>729</v>
      </c>
      <c r="CX141" s="12" t="s">
        <v>729</v>
      </c>
    </row>
    <row r="142" spans="1:102" hidden="1" x14ac:dyDescent="0.3">
      <c r="A142" s="12" t="s">
        <v>12</v>
      </c>
      <c r="B142" s="12" t="s">
        <v>2682</v>
      </c>
      <c r="C142" s="12" t="s">
        <v>2683</v>
      </c>
      <c r="D142" s="12" t="s">
        <v>2684</v>
      </c>
      <c r="E142" s="12" t="s">
        <v>322</v>
      </c>
      <c r="F142" s="12" t="s">
        <v>322</v>
      </c>
      <c r="G142" s="12" t="s">
        <v>322</v>
      </c>
      <c r="H142" s="12" t="s">
        <v>322</v>
      </c>
      <c r="I142" s="12" t="s">
        <v>279</v>
      </c>
      <c r="J142" s="12" t="s">
        <v>279</v>
      </c>
      <c r="K142" s="12" t="s">
        <v>281</v>
      </c>
      <c r="L142" s="12" t="s">
        <v>281</v>
      </c>
      <c r="M142" s="12" t="s">
        <v>282</v>
      </c>
      <c r="N142" s="12" t="s">
        <v>461</v>
      </c>
      <c r="O142" s="12" t="s">
        <v>374</v>
      </c>
      <c r="P142" s="12" t="s">
        <v>374</v>
      </c>
      <c r="Q142" s="12" t="s">
        <v>374</v>
      </c>
      <c r="R142" s="12" t="s">
        <v>285</v>
      </c>
      <c r="S142" s="12" t="s">
        <v>285</v>
      </c>
      <c r="T142" s="12" t="s">
        <v>285</v>
      </c>
      <c r="U142" s="12" t="s">
        <v>456</v>
      </c>
      <c r="V142" s="12" t="s">
        <v>456</v>
      </c>
      <c r="W142" s="12" t="s">
        <v>375</v>
      </c>
      <c r="X142" s="12" t="s">
        <v>375</v>
      </c>
      <c r="Y142" s="12" t="s">
        <v>375</v>
      </c>
      <c r="Z142" s="12" t="s">
        <v>568</v>
      </c>
      <c r="AA142" s="12" t="s">
        <v>568</v>
      </c>
      <c r="AB142" s="12" t="s">
        <v>652</v>
      </c>
      <c r="AC142" s="12" t="s">
        <v>958</v>
      </c>
      <c r="AD142" s="12" t="s">
        <v>331</v>
      </c>
      <c r="AE142" s="12" t="s">
        <v>672</v>
      </c>
      <c r="AF142" s="12" t="s">
        <v>288</v>
      </c>
      <c r="AG142" s="12" t="s">
        <v>289</v>
      </c>
      <c r="AH142" s="12" t="s">
        <v>290</v>
      </c>
      <c r="AI142" s="12" t="s">
        <v>563</v>
      </c>
      <c r="AJ142" s="12" t="s">
        <v>679</v>
      </c>
      <c r="AK142" s="12" t="s">
        <v>1213</v>
      </c>
      <c r="AL142" s="12" t="s">
        <v>1431</v>
      </c>
      <c r="AM142" s="12" t="s">
        <v>293</v>
      </c>
      <c r="AN142" s="12" t="s">
        <v>1674</v>
      </c>
      <c r="AO142" s="12" t="s">
        <v>825</v>
      </c>
      <c r="AP142" s="12" t="s">
        <v>826</v>
      </c>
      <c r="AQ142" s="12" t="s">
        <v>1206</v>
      </c>
      <c r="AR142" s="12" t="s">
        <v>827</v>
      </c>
      <c r="AS142" s="12" t="s">
        <v>1385</v>
      </c>
      <c r="AT142" s="12" t="s">
        <v>1063</v>
      </c>
      <c r="AU142" s="12" t="s">
        <v>1064</v>
      </c>
      <c r="AV142" s="12" t="s">
        <v>1539</v>
      </c>
      <c r="AW142" s="12" t="s">
        <v>662</v>
      </c>
      <c r="AX142" s="12" t="s">
        <v>2685</v>
      </c>
      <c r="AY142" s="12" t="s">
        <v>477</v>
      </c>
      <c r="AZ142" s="12" t="s">
        <v>388</v>
      </c>
      <c r="BA142" s="12" t="s">
        <v>1105</v>
      </c>
      <c r="BB142" s="12" t="s">
        <v>1769</v>
      </c>
      <c r="BC142" s="12" t="s">
        <v>1769</v>
      </c>
      <c r="BD142" s="12" t="s">
        <v>2686</v>
      </c>
      <c r="BE142" s="12" t="s">
        <v>1744</v>
      </c>
      <c r="BF142" s="12" t="s">
        <v>2687</v>
      </c>
      <c r="BG142" s="12" t="s">
        <v>2687</v>
      </c>
      <c r="BH142" s="12" t="s">
        <v>1082</v>
      </c>
      <c r="BI142" s="12" t="s">
        <v>1372</v>
      </c>
      <c r="BJ142" s="12" t="s">
        <v>2688</v>
      </c>
      <c r="BK142" s="12" t="s">
        <v>1891</v>
      </c>
      <c r="BL142" s="12" t="s">
        <v>645</v>
      </c>
      <c r="BM142" s="12" t="s">
        <v>2689</v>
      </c>
      <c r="BN142" s="12" t="s">
        <v>2625</v>
      </c>
      <c r="BO142" s="12" t="s">
        <v>2690</v>
      </c>
      <c r="BP142" s="12" t="s">
        <v>2691</v>
      </c>
      <c r="BQ142" s="12" t="s">
        <v>2692</v>
      </c>
      <c r="BR142" s="12" t="s">
        <v>396</v>
      </c>
      <c r="BS142" s="12" t="s">
        <v>2693</v>
      </c>
      <c r="BT142" s="12" t="s">
        <v>2694</v>
      </c>
      <c r="BU142" s="12" t="s">
        <v>2694</v>
      </c>
      <c r="BV142" s="12" t="s">
        <v>2695</v>
      </c>
      <c r="BW142" s="12" t="s">
        <v>2696</v>
      </c>
      <c r="BX142" s="12" t="s">
        <v>2697</v>
      </c>
      <c r="BY142" s="12" t="s">
        <v>2698</v>
      </c>
      <c r="BZ142" s="12" t="s">
        <v>2699</v>
      </c>
      <c r="CA142" s="12" t="s">
        <v>2699</v>
      </c>
      <c r="CB142" s="12" t="s">
        <v>2700</v>
      </c>
      <c r="CC142" s="12" t="s">
        <v>2701</v>
      </c>
      <c r="CD142" s="12" t="s">
        <v>2702</v>
      </c>
      <c r="CE142" s="12" t="s">
        <v>2703</v>
      </c>
      <c r="CF142" s="12" t="s">
        <v>2704</v>
      </c>
      <c r="CG142" s="12" t="s">
        <v>2705</v>
      </c>
      <c r="CH142" s="12" t="s">
        <v>2706</v>
      </c>
      <c r="CI142" s="12" t="s">
        <v>2707</v>
      </c>
      <c r="CJ142" s="12" t="s">
        <v>2708</v>
      </c>
      <c r="CK142" s="12" t="s">
        <v>2709</v>
      </c>
      <c r="CL142" s="12" t="s">
        <v>2710</v>
      </c>
      <c r="CM142" s="12" t="s">
        <v>2711</v>
      </c>
      <c r="CN142" s="12" t="s">
        <v>2712</v>
      </c>
      <c r="CO142" s="12" t="s">
        <v>2713</v>
      </c>
      <c r="CP142" s="12" t="s">
        <v>2713</v>
      </c>
      <c r="CQ142" s="12" t="s">
        <v>2714</v>
      </c>
      <c r="CR142" s="12" t="s">
        <v>2715</v>
      </c>
      <c r="CS142" s="12" t="s">
        <v>2716</v>
      </c>
      <c r="CT142" s="12" t="s">
        <v>2717</v>
      </c>
      <c r="CU142" s="12" t="s">
        <v>4203</v>
      </c>
      <c r="CV142" s="12" t="s">
        <v>4204</v>
      </c>
      <c r="CW142" s="12" t="s">
        <v>4205</v>
      </c>
      <c r="CX142" s="12" t="s">
        <v>4206</v>
      </c>
    </row>
    <row r="143" spans="1:102" hidden="1" x14ac:dyDescent="0.3">
      <c r="A143" s="12" t="s">
        <v>12</v>
      </c>
      <c r="B143" s="12" t="s">
        <v>2718</v>
      </c>
      <c r="C143" s="12" t="s">
        <v>2719</v>
      </c>
      <c r="D143" s="12" t="s">
        <v>2720</v>
      </c>
      <c r="E143" s="12" t="s">
        <v>277</v>
      </c>
      <c r="F143" s="12" t="s">
        <v>277</v>
      </c>
      <c r="G143" s="12" t="s">
        <v>277</v>
      </c>
      <c r="H143" s="12" t="s">
        <v>277</v>
      </c>
      <c r="I143" s="12" t="s">
        <v>277</v>
      </c>
      <c r="J143" s="12" t="s">
        <v>277</v>
      </c>
      <c r="K143" s="12" t="s">
        <v>277</v>
      </c>
      <c r="L143" s="12" t="s">
        <v>277</v>
      </c>
      <c r="M143" s="12" t="s">
        <v>277</v>
      </c>
      <c r="N143" s="12" t="s">
        <v>277</v>
      </c>
      <c r="O143" s="12" t="s">
        <v>277</v>
      </c>
      <c r="P143" s="12" t="s">
        <v>277</v>
      </c>
      <c r="Q143" s="12" t="s">
        <v>277</v>
      </c>
      <c r="R143" s="12" t="s">
        <v>277</v>
      </c>
      <c r="S143" s="12" t="s">
        <v>277</v>
      </c>
      <c r="T143" s="12" t="s">
        <v>277</v>
      </c>
      <c r="U143" s="12" t="s">
        <v>277</v>
      </c>
      <c r="V143" s="12" t="s">
        <v>277</v>
      </c>
      <c r="W143" s="12" t="s">
        <v>277</v>
      </c>
      <c r="X143" s="12" t="s">
        <v>277</v>
      </c>
      <c r="Y143" s="12" t="s">
        <v>277</v>
      </c>
      <c r="Z143" s="12" t="s">
        <v>277</v>
      </c>
      <c r="AA143" s="12" t="s">
        <v>277</v>
      </c>
      <c r="AB143" s="12" t="s">
        <v>277</v>
      </c>
      <c r="AC143" s="12" t="s">
        <v>277</v>
      </c>
      <c r="AD143" s="12" t="s">
        <v>277</v>
      </c>
      <c r="AE143" s="12" t="s">
        <v>277</v>
      </c>
      <c r="AF143" s="12" t="s">
        <v>277</v>
      </c>
      <c r="AG143" s="12" t="s">
        <v>277</v>
      </c>
      <c r="AH143" s="12" t="s">
        <v>277</v>
      </c>
      <c r="AI143" s="12" t="s">
        <v>277</v>
      </c>
      <c r="AJ143" s="12" t="s">
        <v>277</v>
      </c>
      <c r="AK143" s="12" t="s">
        <v>277</v>
      </c>
      <c r="AL143" s="12" t="s">
        <v>277</v>
      </c>
      <c r="AM143" s="12" t="s">
        <v>277</v>
      </c>
      <c r="AN143" s="12" t="s">
        <v>277</v>
      </c>
      <c r="AO143" s="12" t="s">
        <v>277</v>
      </c>
      <c r="AP143" s="12" t="s">
        <v>277</v>
      </c>
      <c r="AQ143" s="12" t="s">
        <v>277</v>
      </c>
      <c r="AR143" s="12" t="s">
        <v>277</v>
      </c>
      <c r="AS143" s="12" t="s">
        <v>277</v>
      </c>
      <c r="AT143" s="12" t="s">
        <v>278</v>
      </c>
      <c r="AU143" s="12" t="s">
        <v>278</v>
      </c>
      <c r="AV143" s="12" t="s">
        <v>278</v>
      </c>
      <c r="AW143" s="12" t="s">
        <v>278</v>
      </c>
      <c r="AX143" s="12" t="s">
        <v>278</v>
      </c>
      <c r="AY143" s="12" t="s">
        <v>278</v>
      </c>
      <c r="AZ143" s="12" t="s">
        <v>278</v>
      </c>
      <c r="BA143" s="12" t="s">
        <v>278</v>
      </c>
      <c r="BB143" s="12" t="s">
        <v>278</v>
      </c>
      <c r="BC143" s="12" t="s">
        <v>278</v>
      </c>
      <c r="BD143" s="12" t="s">
        <v>278</v>
      </c>
      <c r="BE143" s="12" t="s">
        <v>278</v>
      </c>
      <c r="BF143" s="12" t="s">
        <v>454</v>
      </c>
      <c r="BG143" s="12" t="s">
        <v>372</v>
      </c>
      <c r="BH143" s="12" t="s">
        <v>466</v>
      </c>
      <c r="BI143" s="12" t="s">
        <v>508</v>
      </c>
      <c r="BJ143" s="12" t="s">
        <v>673</v>
      </c>
      <c r="BK143" s="12" t="s">
        <v>823</v>
      </c>
      <c r="BL143" s="12" t="s">
        <v>823</v>
      </c>
      <c r="BM143" s="12" t="s">
        <v>571</v>
      </c>
      <c r="BN143" s="12" t="s">
        <v>1053</v>
      </c>
      <c r="BO143" s="12" t="s">
        <v>1799</v>
      </c>
      <c r="BP143" s="12" t="s">
        <v>1513</v>
      </c>
      <c r="BQ143" s="12" t="s">
        <v>341</v>
      </c>
      <c r="BR143" s="12" t="s">
        <v>514</v>
      </c>
      <c r="BS143" s="12" t="s">
        <v>748</v>
      </c>
      <c r="BT143" s="12" t="s">
        <v>344</v>
      </c>
      <c r="BU143" s="12" t="s">
        <v>963</v>
      </c>
      <c r="BV143" s="12" t="s">
        <v>1385</v>
      </c>
      <c r="BW143" s="12" t="s">
        <v>727</v>
      </c>
      <c r="BX143" s="12" t="s">
        <v>298</v>
      </c>
      <c r="BY143" s="12" t="s">
        <v>1216</v>
      </c>
      <c r="BZ143" s="12" t="s">
        <v>980</v>
      </c>
      <c r="CA143" s="12" t="s">
        <v>1096</v>
      </c>
      <c r="CB143" s="12" t="s">
        <v>299</v>
      </c>
      <c r="CC143" s="12" t="s">
        <v>576</v>
      </c>
      <c r="CD143" s="12" t="s">
        <v>1137</v>
      </c>
      <c r="CE143" s="12" t="s">
        <v>1011</v>
      </c>
      <c r="CF143" s="12" t="s">
        <v>1011</v>
      </c>
      <c r="CG143" s="12" t="s">
        <v>1390</v>
      </c>
      <c r="CH143" s="12" t="s">
        <v>1417</v>
      </c>
      <c r="CI143" s="12" t="s">
        <v>1700</v>
      </c>
      <c r="CJ143" s="12" t="s">
        <v>623</v>
      </c>
      <c r="CK143" s="12" t="s">
        <v>2721</v>
      </c>
      <c r="CL143" s="12" t="s">
        <v>2093</v>
      </c>
      <c r="CM143" s="12" t="s">
        <v>519</v>
      </c>
      <c r="CN143" s="12" t="s">
        <v>1394</v>
      </c>
      <c r="CO143" s="12" t="s">
        <v>1777</v>
      </c>
      <c r="CP143" s="12" t="s">
        <v>1231</v>
      </c>
      <c r="CQ143" s="12" t="s">
        <v>432</v>
      </c>
      <c r="CR143" s="12" t="s">
        <v>664</v>
      </c>
      <c r="CS143" s="12" t="s">
        <v>665</v>
      </c>
      <c r="CT143" s="12" t="s">
        <v>967</v>
      </c>
      <c r="CU143" s="12" t="s">
        <v>302</v>
      </c>
      <c r="CV143" s="12" t="s">
        <v>2377</v>
      </c>
      <c r="CW143" s="12" t="s">
        <v>2820</v>
      </c>
      <c r="CX143" s="12" t="s">
        <v>2820</v>
      </c>
    </row>
    <row r="144" spans="1:102" hidden="1" x14ac:dyDescent="0.3">
      <c r="A144" s="12" t="s">
        <v>12</v>
      </c>
      <c r="B144" s="12" t="s">
        <v>2722</v>
      </c>
      <c r="C144" s="12" t="s">
        <v>2723</v>
      </c>
      <c r="D144" s="12" t="s">
        <v>2724</v>
      </c>
      <c r="E144" s="12" t="s">
        <v>277</v>
      </c>
      <c r="F144" s="12" t="s">
        <v>277</v>
      </c>
      <c r="G144" s="12" t="s">
        <v>277</v>
      </c>
      <c r="H144" s="12" t="s">
        <v>277</v>
      </c>
      <c r="I144" s="12" t="s">
        <v>277</v>
      </c>
      <c r="J144" s="12" t="s">
        <v>277</v>
      </c>
      <c r="K144" s="12" t="s">
        <v>277</v>
      </c>
      <c r="L144" s="12" t="s">
        <v>277</v>
      </c>
      <c r="M144" s="12" t="s">
        <v>277</v>
      </c>
      <c r="N144" s="12" t="s">
        <v>277</v>
      </c>
      <c r="O144" s="12" t="s">
        <v>277</v>
      </c>
      <c r="P144" s="12" t="s">
        <v>277</v>
      </c>
      <c r="Q144" s="12" t="s">
        <v>277</v>
      </c>
      <c r="R144" s="12" t="s">
        <v>277</v>
      </c>
      <c r="S144" s="12" t="s">
        <v>277</v>
      </c>
      <c r="T144" s="12" t="s">
        <v>277</v>
      </c>
      <c r="U144" s="12" t="s">
        <v>277</v>
      </c>
      <c r="V144" s="12" t="s">
        <v>277</v>
      </c>
      <c r="W144" s="12" t="s">
        <v>277</v>
      </c>
      <c r="X144" s="12" t="s">
        <v>277</v>
      </c>
      <c r="Y144" s="12" t="s">
        <v>277</v>
      </c>
      <c r="Z144" s="12" t="s">
        <v>277</v>
      </c>
      <c r="AA144" s="12" t="s">
        <v>277</v>
      </c>
      <c r="AB144" s="12" t="s">
        <v>277</v>
      </c>
      <c r="AC144" s="12" t="s">
        <v>277</v>
      </c>
      <c r="AD144" s="12" t="s">
        <v>277</v>
      </c>
      <c r="AE144" s="12" t="s">
        <v>277</v>
      </c>
      <c r="AF144" s="12" t="s">
        <v>277</v>
      </c>
      <c r="AG144" s="12" t="s">
        <v>277</v>
      </c>
      <c r="AH144" s="12" t="s">
        <v>277</v>
      </c>
      <c r="AI144" s="12" t="s">
        <v>277</v>
      </c>
      <c r="AJ144" s="12" t="s">
        <v>277</v>
      </c>
      <c r="AK144" s="12" t="s">
        <v>277</v>
      </c>
      <c r="AL144" s="12" t="s">
        <v>277</v>
      </c>
      <c r="AM144" s="12" t="s">
        <v>277</v>
      </c>
      <c r="AN144" s="12" t="s">
        <v>277</v>
      </c>
      <c r="AO144" s="12" t="s">
        <v>277</v>
      </c>
      <c r="AP144" s="12" t="s">
        <v>277</v>
      </c>
      <c r="AQ144" s="12" t="s">
        <v>277</v>
      </c>
      <c r="AR144" s="12" t="s">
        <v>277</v>
      </c>
      <c r="AS144" s="12" t="s">
        <v>277</v>
      </c>
      <c r="AT144" s="12" t="s">
        <v>277</v>
      </c>
      <c r="AU144" s="12" t="s">
        <v>277</v>
      </c>
      <c r="AV144" s="12" t="s">
        <v>277</v>
      </c>
      <c r="AW144" s="12" t="s">
        <v>277</v>
      </c>
      <c r="AX144" s="12" t="s">
        <v>277</v>
      </c>
      <c r="AY144" s="12" t="s">
        <v>277</v>
      </c>
      <c r="AZ144" s="12" t="s">
        <v>277</v>
      </c>
      <c r="BA144" s="12" t="s">
        <v>277</v>
      </c>
      <c r="BB144" s="12" t="s">
        <v>277</v>
      </c>
      <c r="BC144" s="12" t="s">
        <v>277</v>
      </c>
      <c r="BD144" s="12" t="s">
        <v>279</v>
      </c>
      <c r="BE144" s="12" t="s">
        <v>550</v>
      </c>
      <c r="BF144" s="12" t="s">
        <v>460</v>
      </c>
      <c r="BG144" s="12" t="s">
        <v>323</v>
      </c>
      <c r="BH144" s="12" t="s">
        <v>326</v>
      </c>
      <c r="BI144" s="12" t="s">
        <v>616</v>
      </c>
      <c r="BJ144" s="12" t="s">
        <v>795</v>
      </c>
      <c r="BK144" s="12" t="s">
        <v>690</v>
      </c>
      <c r="BL144" s="12" t="s">
        <v>418</v>
      </c>
      <c r="BM144" s="12" t="s">
        <v>379</v>
      </c>
      <c r="BN144" s="12" t="s">
        <v>552</v>
      </c>
      <c r="BO144" s="12" t="s">
        <v>674</v>
      </c>
      <c r="BP144" s="12" t="s">
        <v>883</v>
      </c>
      <c r="BQ144" s="12" t="s">
        <v>678</v>
      </c>
      <c r="BR144" s="12" t="s">
        <v>1512</v>
      </c>
      <c r="BS144" s="12" t="s">
        <v>826</v>
      </c>
      <c r="BT144" s="12" t="s">
        <v>2725</v>
      </c>
      <c r="BU144" s="12" t="s">
        <v>386</v>
      </c>
      <c r="BV144" s="12" t="s">
        <v>1443</v>
      </c>
      <c r="BW144" s="12" t="s">
        <v>1389</v>
      </c>
      <c r="BX144" s="12" t="s">
        <v>664</v>
      </c>
      <c r="BY144" s="12" t="s">
        <v>1541</v>
      </c>
      <c r="BZ144" s="12" t="s">
        <v>1071</v>
      </c>
      <c r="CA144" s="12" t="s">
        <v>363</v>
      </c>
      <c r="CB144" s="12" t="s">
        <v>1873</v>
      </c>
      <c r="CC144" s="12" t="s">
        <v>2726</v>
      </c>
      <c r="CD144" s="12" t="s">
        <v>2424</v>
      </c>
      <c r="CE144" s="12" t="s">
        <v>630</v>
      </c>
      <c r="CF144" s="12" t="s">
        <v>2727</v>
      </c>
      <c r="CG144" s="12" t="s">
        <v>2095</v>
      </c>
      <c r="CH144" s="12" t="s">
        <v>2728</v>
      </c>
      <c r="CI144" s="12" t="s">
        <v>2729</v>
      </c>
      <c r="CJ144" s="12" t="s">
        <v>1820</v>
      </c>
      <c r="CK144" s="12" t="s">
        <v>2730</v>
      </c>
      <c r="CL144" s="12" t="s">
        <v>2731</v>
      </c>
      <c r="CM144" s="12" t="s">
        <v>1014</v>
      </c>
      <c r="CN144" s="12" t="s">
        <v>2158</v>
      </c>
      <c r="CO144" s="12" t="s">
        <v>2732</v>
      </c>
      <c r="CP144" s="12" t="s">
        <v>2733</v>
      </c>
      <c r="CQ144" s="12" t="s">
        <v>2734</v>
      </c>
      <c r="CR144" s="12" t="s">
        <v>2735</v>
      </c>
      <c r="CS144" s="12" t="s">
        <v>2736</v>
      </c>
      <c r="CT144" s="12" t="s">
        <v>2737</v>
      </c>
      <c r="CU144" s="12" t="s">
        <v>4207</v>
      </c>
      <c r="CV144" s="12" t="s">
        <v>4208</v>
      </c>
      <c r="CW144" s="12" t="s">
        <v>4209</v>
      </c>
      <c r="CX144" s="12" t="s">
        <v>4210</v>
      </c>
    </row>
    <row r="145" spans="1:102" hidden="1" x14ac:dyDescent="0.3">
      <c r="A145" s="12" t="s">
        <v>12</v>
      </c>
      <c r="B145" s="12" t="s">
        <v>2738</v>
      </c>
      <c r="C145" s="12" t="s">
        <v>2739</v>
      </c>
      <c r="D145" s="12" t="s">
        <v>2740</v>
      </c>
      <c r="E145" s="12" t="s">
        <v>277</v>
      </c>
      <c r="F145" s="12" t="s">
        <v>277</v>
      </c>
      <c r="G145" s="12" t="s">
        <v>277</v>
      </c>
      <c r="H145" s="12" t="s">
        <v>277</v>
      </c>
      <c r="I145" s="12" t="s">
        <v>277</v>
      </c>
      <c r="J145" s="12" t="s">
        <v>277</v>
      </c>
      <c r="K145" s="12" t="s">
        <v>277</v>
      </c>
      <c r="L145" s="12" t="s">
        <v>277</v>
      </c>
      <c r="M145" s="12" t="s">
        <v>277</v>
      </c>
      <c r="N145" s="12" t="s">
        <v>277</v>
      </c>
      <c r="O145" s="12" t="s">
        <v>277</v>
      </c>
      <c r="P145" s="12" t="s">
        <v>277</v>
      </c>
      <c r="Q145" s="12" t="s">
        <v>277</v>
      </c>
      <c r="R145" s="12" t="s">
        <v>277</v>
      </c>
      <c r="S145" s="12" t="s">
        <v>277</v>
      </c>
      <c r="T145" s="12" t="s">
        <v>277</v>
      </c>
      <c r="U145" s="12" t="s">
        <v>277</v>
      </c>
      <c r="V145" s="12" t="s">
        <v>277</v>
      </c>
      <c r="W145" s="12" t="s">
        <v>277</v>
      </c>
      <c r="X145" s="12" t="s">
        <v>277</v>
      </c>
      <c r="Y145" s="12" t="s">
        <v>277</v>
      </c>
      <c r="Z145" s="12" t="s">
        <v>277</v>
      </c>
      <c r="AA145" s="12" t="s">
        <v>277</v>
      </c>
      <c r="AB145" s="12" t="s">
        <v>277</v>
      </c>
      <c r="AC145" s="12" t="s">
        <v>277</v>
      </c>
      <c r="AD145" s="12" t="s">
        <v>277</v>
      </c>
      <c r="AE145" s="12" t="s">
        <v>277</v>
      </c>
      <c r="AF145" s="12" t="s">
        <v>277</v>
      </c>
      <c r="AG145" s="12" t="s">
        <v>277</v>
      </c>
      <c r="AH145" s="12" t="s">
        <v>277</v>
      </c>
      <c r="AI145" s="12" t="s">
        <v>277</v>
      </c>
      <c r="AJ145" s="12" t="s">
        <v>277</v>
      </c>
      <c r="AK145" s="12" t="s">
        <v>277</v>
      </c>
      <c r="AL145" s="12" t="s">
        <v>277</v>
      </c>
      <c r="AM145" s="12" t="s">
        <v>277</v>
      </c>
      <c r="AN145" s="12" t="s">
        <v>277</v>
      </c>
      <c r="AO145" s="12" t="s">
        <v>277</v>
      </c>
      <c r="AP145" s="12" t="s">
        <v>277</v>
      </c>
      <c r="AQ145" s="12" t="s">
        <v>277</v>
      </c>
      <c r="AR145" s="12" t="s">
        <v>277</v>
      </c>
      <c r="AS145" s="12" t="s">
        <v>277</v>
      </c>
      <c r="AT145" s="12" t="s">
        <v>277</v>
      </c>
      <c r="AU145" s="12" t="s">
        <v>277</v>
      </c>
      <c r="AV145" s="12" t="s">
        <v>277</v>
      </c>
      <c r="AW145" s="12" t="s">
        <v>277</v>
      </c>
      <c r="AX145" s="12" t="s">
        <v>277</v>
      </c>
      <c r="AY145" s="12" t="s">
        <v>277</v>
      </c>
      <c r="AZ145" s="12" t="s">
        <v>277</v>
      </c>
      <c r="BA145" s="12" t="s">
        <v>277</v>
      </c>
      <c r="BB145" s="12" t="s">
        <v>277</v>
      </c>
      <c r="BC145" s="12" t="s">
        <v>277</v>
      </c>
      <c r="BD145" s="12" t="s">
        <v>278</v>
      </c>
      <c r="BE145" s="12" t="s">
        <v>278</v>
      </c>
      <c r="BF145" s="12" t="s">
        <v>371</v>
      </c>
      <c r="BG145" s="12" t="s">
        <v>371</v>
      </c>
      <c r="BH145" s="12" t="s">
        <v>371</v>
      </c>
      <c r="BI145" s="12" t="s">
        <v>371</v>
      </c>
      <c r="BJ145" s="12" t="s">
        <v>281</v>
      </c>
      <c r="BK145" s="12" t="s">
        <v>281</v>
      </c>
      <c r="BL145" s="12" t="s">
        <v>281</v>
      </c>
      <c r="BM145" s="12" t="s">
        <v>461</v>
      </c>
      <c r="BN145" s="12" t="s">
        <v>283</v>
      </c>
      <c r="BO145" s="12" t="s">
        <v>456</v>
      </c>
      <c r="BP145" s="12" t="s">
        <v>568</v>
      </c>
      <c r="BQ145" s="12" t="s">
        <v>465</v>
      </c>
      <c r="BR145" s="12" t="s">
        <v>465</v>
      </c>
      <c r="BS145" s="12" t="s">
        <v>327</v>
      </c>
      <c r="BT145" s="12" t="s">
        <v>328</v>
      </c>
      <c r="BU145" s="12" t="s">
        <v>653</v>
      </c>
      <c r="BV145" s="12" t="s">
        <v>331</v>
      </c>
      <c r="BW145" s="12" t="s">
        <v>883</v>
      </c>
      <c r="BX145" s="12" t="s">
        <v>291</v>
      </c>
      <c r="BY145" s="12" t="s">
        <v>679</v>
      </c>
      <c r="BZ145" s="12" t="s">
        <v>975</v>
      </c>
      <c r="CA145" s="12" t="s">
        <v>1712</v>
      </c>
      <c r="CB145" s="12" t="s">
        <v>473</v>
      </c>
      <c r="CC145" s="12" t="s">
        <v>1513</v>
      </c>
      <c r="CD145" s="12" t="s">
        <v>1432</v>
      </c>
      <c r="CE145" s="12" t="s">
        <v>620</v>
      </c>
      <c r="CF145" s="12" t="s">
        <v>1674</v>
      </c>
      <c r="CG145" s="12" t="s">
        <v>978</v>
      </c>
      <c r="CH145" s="12" t="s">
        <v>340</v>
      </c>
      <c r="CI145" s="12" t="s">
        <v>1585</v>
      </c>
      <c r="CJ145" s="12" t="s">
        <v>2741</v>
      </c>
      <c r="CK145" s="12" t="s">
        <v>1727</v>
      </c>
      <c r="CL145" s="12" t="s">
        <v>1864</v>
      </c>
      <c r="CM145" s="12" t="s">
        <v>748</v>
      </c>
      <c r="CN145" s="12" t="s">
        <v>1192</v>
      </c>
      <c r="CO145" s="12" t="s">
        <v>2742</v>
      </c>
      <c r="CP145" s="12" t="s">
        <v>297</v>
      </c>
      <c r="CQ145" s="12" t="s">
        <v>1438</v>
      </c>
      <c r="CR145" s="12" t="s">
        <v>1439</v>
      </c>
      <c r="CS145" s="12" t="s">
        <v>1309</v>
      </c>
      <c r="CT145" s="12" t="s">
        <v>1755</v>
      </c>
      <c r="CU145" s="12" t="s">
        <v>1443</v>
      </c>
      <c r="CV145" s="12" t="s">
        <v>694</v>
      </c>
      <c r="CW145" s="12" t="s">
        <v>1758</v>
      </c>
      <c r="CX145" s="12" t="s">
        <v>3630</v>
      </c>
    </row>
    <row r="146" spans="1:102" hidden="1" x14ac:dyDescent="0.3">
      <c r="A146" s="12" t="s">
        <v>12</v>
      </c>
      <c r="B146" s="12" t="s">
        <v>2743</v>
      </c>
      <c r="C146" s="12" t="s">
        <v>2683</v>
      </c>
      <c r="D146" s="12" t="s">
        <v>2744</v>
      </c>
      <c r="E146" s="12" t="s">
        <v>278</v>
      </c>
      <c r="F146" s="12" t="s">
        <v>278</v>
      </c>
      <c r="G146" s="12" t="s">
        <v>322</v>
      </c>
      <c r="H146" s="12" t="s">
        <v>322</v>
      </c>
      <c r="I146" s="12" t="s">
        <v>371</v>
      </c>
      <c r="J146" s="12" t="s">
        <v>279</v>
      </c>
      <c r="K146" s="12" t="s">
        <v>279</v>
      </c>
      <c r="L146" s="12" t="s">
        <v>279</v>
      </c>
      <c r="M146" s="12" t="s">
        <v>279</v>
      </c>
      <c r="N146" s="12" t="s">
        <v>282</v>
      </c>
      <c r="O146" s="12" t="s">
        <v>324</v>
      </c>
      <c r="P146" s="12" t="s">
        <v>461</v>
      </c>
      <c r="Q146" s="12" t="s">
        <v>461</v>
      </c>
      <c r="R146" s="12" t="s">
        <v>283</v>
      </c>
      <c r="S146" s="12" t="s">
        <v>373</v>
      </c>
      <c r="T146" s="12" t="s">
        <v>325</v>
      </c>
      <c r="U146" s="12" t="s">
        <v>286</v>
      </c>
      <c r="V146" s="12" t="s">
        <v>286</v>
      </c>
      <c r="W146" s="12" t="s">
        <v>456</v>
      </c>
      <c r="X146" s="12" t="s">
        <v>612</v>
      </c>
      <c r="Y146" s="12" t="s">
        <v>568</v>
      </c>
      <c r="Z146" s="12" t="s">
        <v>568</v>
      </c>
      <c r="AA146" s="12" t="s">
        <v>568</v>
      </c>
      <c r="AB146" s="12" t="s">
        <v>568</v>
      </c>
      <c r="AC146" s="12" t="s">
        <v>568</v>
      </c>
      <c r="AD146" s="12" t="s">
        <v>652</v>
      </c>
      <c r="AE146" s="12" t="s">
        <v>1716</v>
      </c>
      <c r="AF146" s="12" t="s">
        <v>465</v>
      </c>
      <c r="AG146" s="12" t="s">
        <v>465</v>
      </c>
      <c r="AH146" s="12" t="s">
        <v>336</v>
      </c>
      <c r="AI146" s="12" t="s">
        <v>2213</v>
      </c>
      <c r="AJ146" s="12" t="s">
        <v>354</v>
      </c>
      <c r="AK146" s="12" t="s">
        <v>2745</v>
      </c>
      <c r="AL146" s="12" t="s">
        <v>527</v>
      </c>
      <c r="AM146" s="12" t="s">
        <v>1985</v>
      </c>
      <c r="AN146" s="12" t="s">
        <v>1460</v>
      </c>
      <c r="AO146" s="12" t="s">
        <v>2746</v>
      </c>
      <c r="AP146" s="12" t="s">
        <v>2747</v>
      </c>
      <c r="AQ146" s="12" t="s">
        <v>2748</v>
      </c>
      <c r="AR146" s="12" t="s">
        <v>2749</v>
      </c>
      <c r="AS146" s="12" t="s">
        <v>2048</v>
      </c>
      <c r="AT146" s="12" t="s">
        <v>2750</v>
      </c>
      <c r="AU146" s="12" t="s">
        <v>2751</v>
      </c>
      <c r="AV146" s="12" t="s">
        <v>2752</v>
      </c>
      <c r="AW146" s="12" t="s">
        <v>2753</v>
      </c>
      <c r="AX146" s="12" t="s">
        <v>2754</v>
      </c>
      <c r="AY146" s="12" t="s">
        <v>2755</v>
      </c>
      <c r="AZ146" s="12" t="s">
        <v>2756</v>
      </c>
      <c r="BA146" s="12" t="s">
        <v>2757</v>
      </c>
      <c r="BB146" s="12" t="s">
        <v>2758</v>
      </c>
      <c r="BC146" s="12" t="s">
        <v>2759</v>
      </c>
      <c r="BD146" s="12" t="s">
        <v>2760</v>
      </c>
      <c r="BE146" s="12" t="s">
        <v>2761</v>
      </c>
      <c r="BF146" s="12" t="s">
        <v>2762</v>
      </c>
      <c r="BG146" s="12" t="s">
        <v>2763</v>
      </c>
      <c r="BH146" s="12" t="s">
        <v>2764</v>
      </c>
      <c r="BI146" s="12" t="s">
        <v>2765</v>
      </c>
      <c r="BJ146" s="12" t="s">
        <v>2766</v>
      </c>
      <c r="BK146" s="12" t="s">
        <v>2767</v>
      </c>
      <c r="BL146" s="12" t="s">
        <v>2768</v>
      </c>
      <c r="BM146" s="12" t="s">
        <v>2769</v>
      </c>
      <c r="BN146" s="12" t="s">
        <v>2769</v>
      </c>
      <c r="BO146" s="12" t="s">
        <v>2770</v>
      </c>
      <c r="BP146" s="12" t="s">
        <v>2771</v>
      </c>
      <c r="BQ146" s="12" t="s">
        <v>2772</v>
      </c>
      <c r="BR146" s="12" t="s">
        <v>2773</v>
      </c>
      <c r="BS146" s="12" t="s">
        <v>2774</v>
      </c>
      <c r="BT146" s="12" t="s">
        <v>2775</v>
      </c>
      <c r="BU146" s="12" t="s">
        <v>2776</v>
      </c>
      <c r="BV146" s="12" t="s">
        <v>2777</v>
      </c>
      <c r="BW146" s="12" t="s">
        <v>2778</v>
      </c>
      <c r="BX146" s="12" t="s">
        <v>2779</v>
      </c>
      <c r="BY146" s="12" t="s">
        <v>2780</v>
      </c>
      <c r="BZ146" s="12" t="s">
        <v>2781</v>
      </c>
      <c r="CA146" s="12" t="s">
        <v>2782</v>
      </c>
      <c r="CB146" s="12" t="s">
        <v>2783</v>
      </c>
      <c r="CC146" s="12" t="s">
        <v>2784</v>
      </c>
      <c r="CD146" s="12" t="s">
        <v>2785</v>
      </c>
      <c r="CE146" s="12" t="s">
        <v>2786</v>
      </c>
      <c r="CF146" s="12" t="s">
        <v>2787</v>
      </c>
      <c r="CG146" s="12" t="s">
        <v>2788</v>
      </c>
      <c r="CH146" s="12" t="s">
        <v>2789</v>
      </c>
      <c r="CI146" s="12" t="s">
        <v>2790</v>
      </c>
      <c r="CJ146" s="12" t="s">
        <v>2791</v>
      </c>
      <c r="CK146" s="12" t="s">
        <v>2792</v>
      </c>
      <c r="CL146" s="12" t="s">
        <v>2793</v>
      </c>
      <c r="CM146" s="12" t="s">
        <v>2794</v>
      </c>
      <c r="CN146" s="12" t="s">
        <v>2795</v>
      </c>
      <c r="CO146" s="12" t="s">
        <v>2796</v>
      </c>
      <c r="CP146" s="12" t="s">
        <v>2797</v>
      </c>
      <c r="CQ146" s="12" t="s">
        <v>2798</v>
      </c>
      <c r="CR146" s="12" t="s">
        <v>2799</v>
      </c>
      <c r="CS146" s="12" t="s">
        <v>2800</v>
      </c>
      <c r="CT146" s="12" t="s">
        <v>2801</v>
      </c>
      <c r="CU146" s="12" t="s">
        <v>4211</v>
      </c>
      <c r="CV146" s="12" t="s">
        <v>4212</v>
      </c>
      <c r="CW146" s="12" t="s">
        <v>4213</v>
      </c>
      <c r="CX146" s="12" t="s">
        <v>4214</v>
      </c>
    </row>
    <row r="147" spans="1:102" hidden="1" x14ac:dyDescent="0.3">
      <c r="A147" s="12" t="s">
        <v>12</v>
      </c>
      <c r="B147" s="12" t="s">
        <v>2802</v>
      </c>
      <c r="C147" s="12" t="s">
        <v>2803</v>
      </c>
      <c r="D147" s="12" t="s">
        <v>2804</v>
      </c>
      <c r="E147" s="12" t="s">
        <v>277</v>
      </c>
      <c r="F147" s="12" t="s">
        <v>277</v>
      </c>
      <c r="G147" s="12" t="s">
        <v>277</v>
      </c>
      <c r="H147" s="12" t="s">
        <v>277</v>
      </c>
      <c r="I147" s="12" t="s">
        <v>277</v>
      </c>
      <c r="J147" s="12" t="s">
        <v>277</v>
      </c>
      <c r="K147" s="12" t="s">
        <v>277</v>
      </c>
      <c r="L147" s="12" t="s">
        <v>277</v>
      </c>
      <c r="M147" s="12" t="s">
        <v>277</v>
      </c>
      <c r="N147" s="12" t="s">
        <v>277</v>
      </c>
      <c r="O147" s="12" t="s">
        <v>277</v>
      </c>
      <c r="P147" s="12" t="s">
        <v>277</v>
      </c>
      <c r="Q147" s="12" t="s">
        <v>277</v>
      </c>
      <c r="R147" s="12" t="s">
        <v>277</v>
      </c>
      <c r="S147" s="12" t="s">
        <v>277</v>
      </c>
      <c r="T147" s="12" t="s">
        <v>277</v>
      </c>
      <c r="U147" s="12" t="s">
        <v>277</v>
      </c>
      <c r="V147" s="12" t="s">
        <v>277</v>
      </c>
      <c r="W147" s="12" t="s">
        <v>277</v>
      </c>
      <c r="X147" s="12" t="s">
        <v>277</v>
      </c>
      <c r="Y147" s="12" t="s">
        <v>277</v>
      </c>
      <c r="Z147" s="12" t="s">
        <v>277</v>
      </c>
      <c r="AA147" s="12" t="s">
        <v>277</v>
      </c>
      <c r="AB147" s="12" t="s">
        <v>277</v>
      </c>
      <c r="AC147" s="12" t="s">
        <v>277</v>
      </c>
      <c r="AD147" s="12" t="s">
        <v>277</v>
      </c>
      <c r="AE147" s="12" t="s">
        <v>277</v>
      </c>
      <c r="AF147" s="12" t="s">
        <v>277</v>
      </c>
      <c r="AG147" s="12" t="s">
        <v>277</v>
      </c>
      <c r="AH147" s="12" t="s">
        <v>277</v>
      </c>
      <c r="AI147" s="12" t="s">
        <v>277</v>
      </c>
      <c r="AJ147" s="12" t="s">
        <v>277</v>
      </c>
      <c r="AK147" s="12" t="s">
        <v>277</v>
      </c>
      <c r="AL147" s="12" t="s">
        <v>278</v>
      </c>
      <c r="AM147" s="12" t="s">
        <v>282</v>
      </c>
      <c r="AN147" s="12" t="s">
        <v>375</v>
      </c>
      <c r="AO147" s="12" t="s">
        <v>958</v>
      </c>
      <c r="AP147" s="12" t="s">
        <v>467</v>
      </c>
      <c r="AQ147" s="12" t="s">
        <v>467</v>
      </c>
      <c r="AR147" s="12" t="s">
        <v>467</v>
      </c>
      <c r="AS147" s="12" t="s">
        <v>468</v>
      </c>
      <c r="AT147" s="12" t="s">
        <v>468</v>
      </c>
      <c r="AU147" s="12" t="s">
        <v>468</v>
      </c>
      <c r="AV147" s="12" t="s">
        <v>1112</v>
      </c>
      <c r="AW147" s="12" t="s">
        <v>1112</v>
      </c>
      <c r="AX147" s="12" t="s">
        <v>618</v>
      </c>
      <c r="AY147" s="12" t="s">
        <v>332</v>
      </c>
      <c r="AZ147" s="12" t="s">
        <v>332</v>
      </c>
      <c r="BA147" s="12" t="s">
        <v>673</v>
      </c>
      <c r="BB147" s="12" t="s">
        <v>674</v>
      </c>
      <c r="BC147" s="12" t="s">
        <v>555</v>
      </c>
      <c r="BD147" s="12" t="s">
        <v>555</v>
      </c>
      <c r="BE147" s="12" t="s">
        <v>336</v>
      </c>
      <c r="BF147" s="12" t="s">
        <v>571</v>
      </c>
      <c r="BG147" s="12" t="s">
        <v>337</v>
      </c>
      <c r="BH147" s="12" t="s">
        <v>1732</v>
      </c>
      <c r="BI147" s="12" t="s">
        <v>1712</v>
      </c>
      <c r="BJ147" s="12" t="s">
        <v>1203</v>
      </c>
      <c r="BK147" s="12" t="s">
        <v>1431</v>
      </c>
      <c r="BL147" s="12" t="s">
        <v>977</v>
      </c>
      <c r="BM147" s="12" t="s">
        <v>424</v>
      </c>
      <c r="BN147" s="12" t="s">
        <v>1674</v>
      </c>
      <c r="BO147" s="12" t="s">
        <v>978</v>
      </c>
      <c r="BP147" s="12" t="s">
        <v>683</v>
      </c>
      <c r="BQ147" s="12" t="s">
        <v>1585</v>
      </c>
      <c r="BR147" s="12" t="s">
        <v>1727</v>
      </c>
      <c r="BS147" s="12" t="s">
        <v>514</v>
      </c>
      <c r="BT147" s="12" t="s">
        <v>1191</v>
      </c>
      <c r="BU147" s="12" t="s">
        <v>474</v>
      </c>
      <c r="BV147" s="12" t="s">
        <v>1305</v>
      </c>
      <c r="BW147" s="12" t="s">
        <v>1530</v>
      </c>
      <c r="BX147" s="12" t="s">
        <v>1217</v>
      </c>
      <c r="BY147" s="12" t="s">
        <v>1777</v>
      </c>
      <c r="BZ147" s="12" t="s">
        <v>1543</v>
      </c>
      <c r="CA147" s="12" t="s">
        <v>2805</v>
      </c>
      <c r="CB147" s="12" t="s">
        <v>307</v>
      </c>
      <c r="CC147" s="12" t="s">
        <v>629</v>
      </c>
      <c r="CD147" s="12" t="s">
        <v>2806</v>
      </c>
      <c r="CE147" s="12" t="s">
        <v>1373</v>
      </c>
      <c r="CF147" s="12" t="s">
        <v>2807</v>
      </c>
      <c r="CG147" s="12" t="s">
        <v>2326</v>
      </c>
      <c r="CH147" s="12" t="s">
        <v>1087</v>
      </c>
      <c r="CI147" s="12" t="s">
        <v>2808</v>
      </c>
      <c r="CJ147" s="12" t="s">
        <v>1235</v>
      </c>
      <c r="CK147" s="12" t="s">
        <v>582</v>
      </c>
      <c r="CL147" s="12" t="s">
        <v>1492</v>
      </c>
      <c r="CM147" s="12" t="s">
        <v>2809</v>
      </c>
      <c r="CN147" s="12" t="s">
        <v>2810</v>
      </c>
      <c r="CO147" s="12" t="s">
        <v>2811</v>
      </c>
      <c r="CP147" s="12" t="s">
        <v>2734</v>
      </c>
      <c r="CQ147" s="12" t="s">
        <v>2812</v>
      </c>
      <c r="CR147" s="12" t="s">
        <v>2813</v>
      </c>
      <c r="CS147" s="12" t="s">
        <v>2814</v>
      </c>
      <c r="CT147" s="12" t="s">
        <v>2815</v>
      </c>
      <c r="CU147" s="12" t="s">
        <v>4215</v>
      </c>
      <c r="CV147" s="12" t="s">
        <v>4216</v>
      </c>
      <c r="CW147" s="12" t="s">
        <v>4217</v>
      </c>
      <c r="CX147" s="12" t="s">
        <v>4218</v>
      </c>
    </row>
    <row r="148" spans="1:102" hidden="1" x14ac:dyDescent="0.3">
      <c r="A148" s="12" t="s">
        <v>12</v>
      </c>
      <c r="B148" s="12" t="s">
        <v>2816</v>
      </c>
      <c r="C148" s="12" t="s">
        <v>2817</v>
      </c>
      <c r="D148" s="12" t="s">
        <v>2818</v>
      </c>
      <c r="E148" s="12" t="s">
        <v>277</v>
      </c>
      <c r="F148" s="12" t="s">
        <v>277</v>
      </c>
      <c r="G148" s="12" t="s">
        <v>277</v>
      </c>
      <c r="H148" s="12" t="s">
        <v>277</v>
      </c>
      <c r="I148" s="12" t="s">
        <v>277</v>
      </c>
      <c r="J148" s="12" t="s">
        <v>277</v>
      </c>
      <c r="K148" s="12" t="s">
        <v>277</v>
      </c>
      <c r="L148" s="12" t="s">
        <v>277</v>
      </c>
      <c r="M148" s="12" t="s">
        <v>277</v>
      </c>
      <c r="N148" s="12" t="s">
        <v>277</v>
      </c>
      <c r="O148" s="12" t="s">
        <v>277</v>
      </c>
      <c r="P148" s="12" t="s">
        <v>277</v>
      </c>
      <c r="Q148" s="12" t="s">
        <v>277</v>
      </c>
      <c r="R148" s="12" t="s">
        <v>277</v>
      </c>
      <c r="S148" s="12" t="s">
        <v>277</v>
      </c>
      <c r="T148" s="12" t="s">
        <v>277</v>
      </c>
      <c r="U148" s="12" t="s">
        <v>277</v>
      </c>
      <c r="V148" s="12" t="s">
        <v>277</v>
      </c>
      <c r="W148" s="12" t="s">
        <v>277</v>
      </c>
      <c r="X148" s="12" t="s">
        <v>277</v>
      </c>
      <c r="Y148" s="12" t="s">
        <v>277</v>
      </c>
      <c r="Z148" s="12" t="s">
        <v>277</v>
      </c>
      <c r="AA148" s="12" t="s">
        <v>277</v>
      </c>
      <c r="AB148" s="12" t="s">
        <v>277</v>
      </c>
      <c r="AC148" s="12" t="s">
        <v>277</v>
      </c>
      <c r="AD148" s="12" t="s">
        <v>277</v>
      </c>
      <c r="AE148" s="12" t="s">
        <v>277</v>
      </c>
      <c r="AF148" s="12" t="s">
        <v>277</v>
      </c>
      <c r="AG148" s="12" t="s">
        <v>277</v>
      </c>
      <c r="AH148" s="12" t="s">
        <v>277</v>
      </c>
      <c r="AI148" s="12" t="s">
        <v>277</v>
      </c>
      <c r="AJ148" s="12" t="s">
        <v>277</v>
      </c>
      <c r="AK148" s="12" t="s">
        <v>277</v>
      </c>
      <c r="AL148" s="12" t="s">
        <v>277</v>
      </c>
      <c r="AM148" s="12" t="s">
        <v>277</v>
      </c>
      <c r="AN148" s="12" t="s">
        <v>277</v>
      </c>
      <c r="AO148" s="12" t="s">
        <v>277</v>
      </c>
      <c r="AP148" s="12" t="s">
        <v>277</v>
      </c>
      <c r="AQ148" s="12" t="s">
        <v>277</v>
      </c>
      <c r="AR148" s="12" t="s">
        <v>277</v>
      </c>
      <c r="AS148" s="12" t="s">
        <v>277</v>
      </c>
      <c r="AT148" s="12" t="s">
        <v>277</v>
      </c>
      <c r="AU148" s="12" t="s">
        <v>277</v>
      </c>
      <c r="AV148" s="12" t="s">
        <v>277</v>
      </c>
      <c r="AW148" s="12" t="s">
        <v>277</v>
      </c>
      <c r="AX148" s="12" t="s">
        <v>277</v>
      </c>
      <c r="AY148" s="12" t="s">
        <v>277</v>
      </c>
      <c r="AZ148" s="12" t="s">
        <v>277</v>
      </c>
      <c r="BA148" s="12" t="s">
        <v>277</v>
      </c>
      <c r="BB148" s="12" t="s">
        <v>277</v>
      </c>
      <c r="BC148" s="12" t="s">
        <v>277</v>
      </c>
      <c r="BD148" s="12" t="s">
        <v>277</v>
      </c>
      <c r="BE148" s="12" t="s">
        <v>277</v>
      </c>
      <c r="BF148" s="12" t="s">
        <v>277</v>
      </c>
      <c r="BG148" s="12" t="s">
        <v>277</v>
      </c>
      <c r="BH148" s="12" t="s">
        <v>277</v>
      </c>
      <c r="BI148" s="12" t="s">
        <v>371</v>
      </c>
      <c r="BJ148" s="12" t="s">
        <v>371</v>
      </c>
      <c r="BK148" s="12" t="s">
        <v>550</v>
      </c>
      <c r="BL148" s="12" t="s">
        <v>455</v>
      </c>
      <c r="BM148" s="12" t="s">
        <v>455</v>
      </c>
      <c r="BN148" s="12" t="s">
        <v>283</v>
      </c>
      <c r="BO148" s="12" t="s">
        <v>328</v>
      </c>
      <c r="BP148" s="12" t="s">
        <v>795</v>
      </c>
      <c r="BQ148" s="12" t="s">
        <v>795</v>
      </c>
      <c r="BR148" s="12" t="s">
        <v>1112</v>
      </c>
      <c r="BS148" s="12" t="s">
        <v>1112</v>
      </c>
      <c r="BT148" s="12" t="s">
        <v>289</v>
      </c>
      <c r="BU148" s="12" t="s">
        <v>290</v>
      </c>
      <c r="BV148" s="12" t="s">
        <v>959</v>
      </c>
      <c r="BW148" s="12" t="s">
        <v>678</v>
      </c>
      <c r="BX148" s="12" t="s">
        <v>1198</v>
      </c>
      <c r="BY148" s="12" t="s">
        <v>1732</v>
      </c>
      <c r="BZ148" s="12" t="s">
        <v>619</v>
      </c>
      <c r="CA148" s="12" t="s">
        <v>1213</v>
      </c>
      <c r="CB148" s="12" t="s">
        <v>2741</v>
      </c>
      <c r="CC148" s="12" t="s">
        <v>826</v>
      </c>
      <c r="CD148" s="12" t="s">
        <v>2742</v>
      </c>
      <c r="CE148" s="12" t="s">
        <v>2819</v>
      </c>
      <c r="CF148" s="12" t="s">
        <v>797</v>
      </c>
      <c r="CG148" s="12" t="s">
        <v>1756</v>
      </c>
      <c r="CH148" s="12" t="s">
        <v>349</v>
      </c>
      <c r="CI148" s="12" t="s">
        <v>829</v>
      </c>
      <c r="CJ148" s="12" t="s">
        <v>2357</v>
      </c>
      <c r="CK148" s="12" t="s">
        <v>2820</v>
      </c>
      <c r="CL148" s="12" t="s">
        <v>434</v>
      </c>
      <c r="CM148" s="12" t="s">
        <v>1546</v>
      </c>
      <c r="CN148" s="12" t="s">
        <v>735</v>
      </c>
      <c r="CO148" s="12" t="s">
        <v>1783</v>
      </c>
      <c r="CP148" s="12" t="s">
        <v>2398</v>
      </c>
      <c r="CQ148" s="12" t="s">
        <v>1412</v>
      </c>
      <c r="CR148" s="12" t="s">
        <v>1870</v>
      </c>
      <c r="CS148" s="12" t="s">
        <v>1685</v>
      </c>
      <c r="CT148" s="12" t="s">
        <v>307</v>
      </c>
      <c r="CU148" s="12" t="s">
        <v>307</v>
      </c>
      <c r="CV148" s="12" t="s">
        <v>1589</v>
      </c>
      <c r="CW148" s="12" t="s">
        <v>1932</v>
      </c>
      <c r="CX148" s="12" t="s">
        <v>2985</v>
      </c>
    </row>
    <row r="149" spans="1:102" hidden="1" x14ac:dyDescent="0.3">
      <c r="A149" s="12" t="s">
        <v>12</v>
      </c>
      <c r="B149" s="12" t="s">
        <v>2821</v>
      </c>
      <c r="C149" s="12" t="s">
        <v>2822</v>
      </c>
      <c r="D149" s="12" t="s">
        <v>2823</v>
      </c>
      <c r="E149" s="12" t="s">
        <v>277</v>
      </c>
      <c r="F149" s="12" t="s">
        <v>277</v>
      </c>
      <c r="G149" s="12" t="s">
        <v>277</v>
      </c>
      <c r="H149" s="12" t="s">
        <v>277</v>
      </c>
      <c r="I149" s="12" t="s">
        <v>277</v>
      </c>
      <c r="J149" s="12" t="s">
        <v>277</v>
      </c>
      <c r="K149" s="12" t="s">
        <v>277</v>
      </c>
      <c r="L149" s="12" t="s">
        <v>277</v>
      </c>
      <c r="M149" s="12" t="s">
        <v>277</v>
      </c>
      <c r="N149" s="12" t="s">
        <v>277</v>
      </c>
      <c r="O149" s="12" t="s">
        <v>277</v>
      </c>
      <c r="P149" s="12" t="s">
        <v>277</v>
      </c>
      <c r="Q149" s="12" t="s">
        <v>277</v>
      </c>
      <c r="R149" s="12" t="s">
        <v>277</v>
      </c>
      <c r="S149" s="12" t="s">
        <v>277</v>
      </c>
      <c r="T149" s="12" t="s">
        <v>277</v>
      </c>
      <c r="U149" s="12" t="s">
        <v>277</v>
      </c>
      <c r="V149" s="12" t="s">
        <v>277</v>
      </c>
      <c r="W149" s="12" t="s">
        <v>277</v>
      </c>
      <c r="X149" s="12" t="s">
        <v>277</v>
      </c>
      <c r="Y149" s="12" t="s">
        <v>277</v>
      </c>
      <c r="Z149" s="12" t="s">
        <v>277</v>
      </c>
      <c r="AA149" s="12" t="s">
        <v>277</v>
      </c>
      <c r="AB149" s="12" t="s">
        <v>277</v>
      </c>
      <c r="AC149" s="12" t="s">
        <v>277</v>
      </c>
      <c r="AD149" s="12" t="s">
        <v>277</v>
      </c>
      <c r="AE149" s="12" t="s">
        <v>277</v>
      </c>
      <c r="AF149" s="12" t="s">
        <v>277</v>
      </c>
      <c r="AG149" s="12" t="s">
        <v>277</v>
      </c>
      <c r="AH149" s="12" t="s">
        <v>277</v>
      </c>
      <c r="AI149" s="12" t="s">
        <v>277</v>
      </c>
      <c r="AJ149" s="12" t="s">
        <v>277</v>
      </c>
      <c r="AK149" s="12" t="s">
        <v>277</v>
      </c>
      <c r="AL149" s="12" t="s">
        <v>277</v>
      </c>
      <c r="AM149" s="12" t="s">
        <v>277</v>
      </c>
      <c r="AN149" s="12" t="s">
        <v>277</v>
      </c>
      <c r="AO149" s="12" t="s">
        <v>277</v>
      </c>
      <c r="AP149" s="12" t="s">
        <v>277</v>
      </c>
      <c r="AQ149" s="12" t="s">
        <v>277</v>
      </c>
      <c r="AR149" s="12" t="s">
        <v>277</v>
      </c>
      <c r="AS149" s="12" t="s">
        <v>278</v>
      </c>
      <c r="AT149" s="12" t="s">
        <v>278</v>
      </c>
      <c r="AU149" s="12" t="s">
        <v>278</v>
      </c>
      <c r="AV149" s="12" t="s">
        <v>278</v>
      </c>
      <c r="AW149" s="12" t="s">
        <v>278</v>
      </c>
      <c r="AX149" s="12" t="s">
        <v>278</v>
      </c>
      <c r="AY149" s="12" t="s">
        <v>322</v>
      </c>
      <c r="AZ149" s="12" t="s">
        <v>550</v>
      </c>
      <c r="BA149" s="12" t="s">
        <v>454</v>
      </c>
      <c r="BB149" s="12" t="s">
        <v>323</v>
      </c>
      <c r="BC149" s="12" t="s">
        <v>323</v>
      </c>
      <c r="BD149" s="12" t="s">
        <v>372</v>
      </c>
      <c r="BE149" s="12" t="s">
        <v>375</v>
      </c>
      <c r="BF149" s="12" t="s">
        <v>1716</v>
      </c>
      <c r="BG149" s="12" t="s">
        <v>466</v>
      </c>
      <c r="BH149" s="12" t="s">
        <v>690</v>
      </c>
      <c r="BI149" s="12" t="s">
        <v>553</v>
      </c>
      <c r="BJ149" s="12" t="s">
        <v>676</v>
      </c>
      <c r="BK149" s="12" t="s">
        <v>678</v>
      </c>
      <c r="BL149" s="12" t="s">
        <v>1448</v>
      </c>
      <c r="BM149" s="12" t="s">
        <v>382</v>
      </c>
      <c r="BN149" s="12" t="s">
        <v>682</v>
      </c>
      <c r="BO149" s="12" t="s">
        <v>340</v>
      </c>
      <c r="BP149" s="12" t="s">
        <v>621</v>
      </c>
      <c r="BQ149" s="12" t="s">
        <v>1207</v>
      </c>
      <c r="BR149" s="12" t="s">
        <v>2819</v>
      </c>
      <c r="BS149" s="12" t="s">
        <v>657</v>
      </c>
      <c r="BT149" s="12" t="s">
        <v>1733</v>
      </c>
      <c r="BU149" s="12" t="s">
        <v>430</v>
      </c>
      <c r="BV149" s="12" t="s">
        <v>2824</v>
      </c>
      <c r="BW149" s="12" t="s">
        <v>355</v>
      </c>
      <c r="BX149" s="12" t="s">
        <v>830</v>
      </c>
      <c r="BY149" s="12" t="s">
        <v>625</v>
      </c>
      <c r="BZ149" s="12" t="s">
        <v>1124</v>
      </c>
      <c r="CA149" s="12" t="s">
        <v>983</v>
      </c>
      <c r="CB149" s="12" t="s">
        <v>1101</v>
      </c>
      <c r="CC149" s="12" t="s">
        <v>361</v>
      </c>
      <c r="CD149" s="12" t="s">
        <v>1073</v>
      </c>
      <c r="CE149" s="12" t="s">
        <v>478</v>
      </c>
      <c r="CF149" s="12" t="s">
        <v>1870</v>
      </c>
      <c r="CG149" s="12" t="s">
        <v>2538</v>
      </c>
      <c r="CH149" s="12" t="s">
        <v>1692</v>
      </c>
      <c r="CI149" s="12" t="s">
        <v>750</v>
      </c>
      <c r="CJ149" s="12" t="s">
        <v>1888</v>
      </c>
      <c r="CK149" s="12" t="s">
        <v>2825</v>
      </c>
      <c r="CL149" s="12" t="s">
        <v>1078</v>
      </c>
      <c r="CM149" s="12" t="s">
        <v>1589</v>
      </c>
      <c r="CN149" s="12" t="s">
        <v>1915</v>
      </c>
      <c r="CO149" s="12" t="s">
        <v>2424</v>
      </c>
      <c r="CP149" s="12" t="s">
        <v>2826</v>
      </c>
      <c r="CQ149" s="12" t="s">
        <v>2827</v>
      </c>
      <c r="CR149" s="12" t="s">
        <v>1604</v>
      </c>
      <c r="CS149" s="12" t="s">
        <v>1747</v>
      </c>
      <c r="CT149" s="12" t="s">
        <v>309</v>
      </c>
      <c r="CU149" s="12" t="s">
        <v>989</v>
      </c>
      <c r="CV149" s="12" t="s">
        <v>2727</v>
      </c>
      <c r="CW149" s="12" t="s">
        <v>579</v>
      </c>
      <c r="CX149" s="12" t="s">
        <v>4219</v>
      </c>
    </row>
    <row r="150" spans="1:102" hidden="1" x14ac:dyDescent="0.3">
      <c r="A150" s="12" t="s">
        <v>12</v>
      </c>
      <c r="B150" s="12" t="s">
        <v>2828</v>
      </c>
      <c r="C150" s="12" t="s">
        <v>2829</v>
      </c>
      <c r="D150" s="12" t="s">
        <v>2830</v>
      </c>
      <c r="E150" s="12" t="s">
        <v>277</v>
      </c>
      <c r="F150" s="12" t="s">
        <v>277</v>
      </c>
      <c r="G150" s="12" t="s">
        <v>277</v>
      </c>
      <c r="H150" s="12" t="s">
        <v>277</v>
      </c>
      <c r="I150" s="12" t="s">
        <v>277</v>
      </c>
      <c r="J150" s="12" t="s">
        <v>277</v>
      </c>
      <c r="K150" s="12" t="s">
        <v>277</v>
      </c>
      <c r="L150" s="12" t="s">
        <v>277</v>
      </c>
      <c r="M150" s="12" t="s">
        <v>277</v>
      </c>
      <c r="N150" s="12" t="s">
        <v>277</v>
      </c>
      <c r="O150" s="12" t="s">
        <v>277</v>
      </c>
      <c r="P150" s="12" t="s">
        <v>277</v>
      </c>
      <c r="Q150" s="12" t="s">
        <v>277</v>
      </c>
      <c r="R150" s="12" t="s">
        <v>277</v>
      </c>
      <c r="S150" s="12" t="s">
        <v>277</v>
      </c>
      <c r="T150" s="12" t="s">
        <v>277</v>
      </c>
      <c r="U150" s="12" t="s">
        <v>277</v>
      </c>
      <c r="V150" s="12" t="s">
        <v>277</v>
      </c>
      <c r="W150" s="12" t="s">
        <v>277</v>
      </c>
      <c r="X150" s="12" t="s">
        <v>277</v>
      </c>
      <c r="Y150" s="12" t="s">
        <v>277</v>
      </c>
      <c r="Z150" s="12" t="s">
        <v>277</v>
      </c>
      <c r="AA150" s="12" t="s">
        <v>277</v>
      </c>
      <c r="AB150" s="12" t="s">
        <v>277</v>
      </c>
      <c r="AC150" s="12" t="s">
        <v>277</v>
      </c>
      <c r="AD150" s="12" t="s">
        <v>277</v>
      </c>
      <c r="AE150" s="12" t="s">
        <v>277</v>
      </c>
      <c r="AF150" s="12" t="s">
        <v>277</v>
      </c>
      <c r="AG150" s="12" t="s">
        <v>277</v>
      </c>
      <c r="AH150" s="12" t="s">
        <v>277</v>
      </c>
      <c r="AI150" s="12" t="s">
        <v>278</v>
      </c>
      <c r="AJ150" s="12" t="s">
        <v>278</v>
      </c>
      <c r="AK150" s="12" t="s">
        <v>278</v>
      </c>
      <c r="AL150" s="12" t="s">
        <v>278</v>
      </c>
      <c r="AM150" s="12" t="s">
        <v>278</v>
      </c>
      <c r="AN150" s="12" t="s">
        <v>322</v>
      </c>
      <c r="AO150" s="12" t="s">
        <v>322</v>
      </c>
      <c r="AP150" s="12" t="s">
        <v>322</v>
      </c>
      <c r="AQ150" s="12" t="s">
        <v>279</v>
      </c>
      <c r="AR150" s="12" t="s">
        <v>323</v>
      </c>
      <c r="AS150" s="12" t="s">
        <v>567</v>
      </c>
      <c r="AT150" s="12" t="s">
        <v>567</v>
      </c>
      <c r="AU150" s="12" t="s">
        <v>567</v>
      </c>
      <c r="AV150" s="12" t="s">
        <v>283</v>
      </c>
      <c r="AW150" s="12" t="s">
        <v>285</v>
      </c>
      <c r="AX150" s="12" t="s">
        <v>285</v>
      </c>
      <c r="AY150" s="12" t="s">
        <v>551</v>
      </c>
      <c r="AZ150" s="12" t="s">
        <v>551</v>
      </c>
      <c r="BA150" s="12" t="s">
        <v>745</v>
      </c>
      <c r="BB150" s="12" t="s">
        <v>618</v>
      </c>
      <c r="BC150" s="12" t="s">
        <v>618</v>
      </c>
      <c r="BD150" s="12" t="s">
        <v>554</v>
      </c>
      <c r="BE150" s="12" t="s">
        <v>557</v>
      </c>
      <c r="BF150" s="12" t="s">
        <v>291</v>
      </c>
      <c r="BG150" s="12" t="s">
        <v>291</v>
      </c>
      <c r="BH150" s="12" t="s">
        <v>292</v>
      </c>
      <c r="BI150" s="12" t="s">
        <v>422</v>
      </c>
      <c r="BJ150" s="12" t="s">
        <v>961</v>
      </c>
      <c r="BK150" s="12" t="s">
        <v>885</v>
      </c>
      <c r="BL150" s="12" t="s">
        <v>1061</v>
      </c>
      <c r="BM150" s="12" t="s">
        <v>1728</v>
      </c>
      <c r="BN150" s="12" t="s">
        <v>426</v>
      </c>
      <c r="BO150" s="12" t="s">
        <v>1095</v>
      </c>
      <c r="BP150" s="12" t="s">
        <v>347</v>
      </c>
      <c r="BQ150" s="12" t="s">
        <v>981</v>
      </c>
      <c r="BR150" s="12" t="s">
        <v>1700</v>
      </c>
      <c r="BS150" s="12" t="s">
        <v>2201</v>
      </c>
      <c r="BT150" s="12" t="s">
        <v>666</v>
      </c>
      <c r="BU150" s="12" t="s">
        <v>355</v>
      </c>
      <c r="BV150" s="12" t="s">
        <v>1542</v>
      </c>
      <c r="BW150" s="12" t="s">
        <v>1543</v>
      </c>
      <c r="BX150" s="12" t="s">
        <v>358</v>
      </c>
      <c r="BY150" s="12" t="s">
        <v>1778</v>
      </c>
      <c r="BZ150" s="12" t="s">
        <v>695</v>
      </c>
      <c r="CA150" s="12" t="s">
        <v>738</v>
      </c>
      <c r="CB150" s="12" t="s">
        <v>739</v>
      </c>
      <c r="CC150" s="12" t="s">
        <v>361</v>
      </c>
      <c r="CD150" s="12" t="s">
        <v>1104</v>
      </c>
      <c r="CE150" s="12" t="s">
        <v>1408</v>
      </c>
      <c r="CF150" s="12" t="s">
        <v>364</v>
      </c>
      <c r="CG150" s="12" t="s">
        <v>2831</v>
      </c>
      <c r="CH150" s="12" t="s">
        <v>2538</v>
      </c>
      <c r="CI150" s="12" t="s">
        <v>1325</v>
      </c>
      <c r="CJ150" s="12" t="s">
        <v>799</v>
      </c>
      <c r="CK150" s="12" t="s">
        <v>1126</v>
      </c>
      <c r="CL150" s="12" t="s">
        <v>366</v>
      </c>
      <c r="CM150" s="12" t="s">
        <v>2832</v>
      </c>
      <c r="CN150" s="12" t="s">
        <v>837</v>
      </c>
      <c r="CO150" s="12" t="s">
        <v>444</v>
      </c>
      <c r="CP150" s="12" t="s">
        <v>2833</v>
      </c>
      <c r="CQ150" s="12" t="s">
        <v>2833</v>
      </c>
      <c r="CR150" s="12" t="s">
        <v>1589</v>
      </c>
      <c r="CS150" s="12" t="s">
        <v>838</v>
      </c>
      <c r="CT150" s="12" t="s">
        <v>445</v>
      </c>
      <c r="CU150" s="12" t="s">
        <v>446</v>
      </c>
      <c r="CV150" s="12" t="s">
        <v>3226</v>
      </c>
      <c r="CW150" s="12" t="s">
        <v>2094</v>
      </c>
      <c r="CX150" s="12" t="s">
        <v>448</v>
      </c>
    </row>
    <row r="151" spans="1:102" hidden="1" x14ac:dyDescent="0.3">
      <c r="A151" s="12" t="s">
        <v>12</v>
      </c>
      <c r="B151" s="12" t="s">
        <v>2834</v>
      </c>
      <c r="C151" s="12" t="s">
        <v>2835</v>
      </c>
      <c r="D151" s="12" t="s">
        <v>2836</v>
      </c>
      <c r="E151" s="12" t="s">
        <v>277</v>
      </c>
      <c r="F151" s="12" t="s">
        <v>277</v>
      </c>
      <c r="G151" s="12" t="s">
        <v>277</v>
      </c>
      <c r="H151" s="12" t="s">
        <v>277</v>
      </c>
      <c r="I151" s="12" t="s">
        <v>277</v>
      </c>
      <c r="J151" s="12" t="s">
        <v>277</v>
      </c>
      <c r="K151" s="12" t="s">
        <v>277</v>
      </c>
      <c r="L151" s="12" t="s">
        <v>277</v>
      </c>
      <c r="M151" s="12" t="s">
        <v>277</v>
      </c>
      <c r="N151" s="12" t="s">
        <v>277</v>
      </c>
      <c r="O151" s="12" t="s">
        <v>277</v>
      </c>
      <c r="P151" s="12" t="s">
        <v>277</v>
      </c>
      <c r="Q151" s="12" t="s">
        <v>277</v>
      </c>
      <c r="R151" s="12" t="s">
        <v>277</v>
      </c>
      <c r="S151" s="12" t="s">
        <v>277</v>
      </c>
      <c r="T151" s="12" t="s">
        <v>277</v>
      </c>
      <c r="U151" s="12" t="s">
        <v>277</v>
      </c>
      <c r="V151" s="12" t="s">
        <v>277</v>
      </c>
      <c r="W151" s="12" t="s">
        <v>277</v>
      </c>
      <c r="X151" s="12" t="s">
        <v>277</v>
      </c>
      <c r="Y151" s="12" t="s">
        <v>277</v>
      </c>
      <c r="Z151" s="12" t="s">
        <v>277</v>
      </c>
      <c r="AA151" s="12" t="s">
        <v>277</v>
      </c>
      <c r="AB151" s="12" t="s">
        <v>277</v>
      </c>
      <c r="AC151" s="12" t="s">
        <v>277</v>
      </c>
      <c r="AD151" s="12" t="s">
        <v>277</v>
      </c>
      <c r="AE151" s="12" t="s">
        <v>277</v>
      </c>
      <c r="AF151" s="12" t="s">
        <v>277</v>
      </c>
      <c r="AG151" s="12" t="s">
        <v>277</v>
      </c>
      <c r="AH151" s="12" t="s">
        <v>277</v>
      </c>
      <c r="AI151" s="12" t="s">
        <v>277</v>
      </c>
      <c r="AJ151" s="12" t="s">
        <v>277</v>
      </c>
      <c r="AK151" s="12" t="s">
        <v>277</v>
      </c>
      <c r="AL151" s="12" t="s">
        <v>277</v>
      </c>
      <c r="AM151" s="12" t="s">
        <v>277</v>
      </c>
      <c r="AN151" s="12" t="s">
        <v>277</v>
      </c>
      <c r="AO151" s="12" t="s">
        <v>277</v>
      </c>
      <c r="AP151" s="12" t="s">
        <v>277</v>
      </c>
      <c r="AQ151" s="12" t="s">
        <v>277</v>
      </c>
      <c r="AR151" s="12" t="s">
        <v>277</v>
      </c>
      <c r="AS151" s="12" t="s">
        <v>277</v>
      </c>
      <c r="AT151" s="12" t="s">
        <v>277</v>
      </c>
      <c r="AU151" s="12" t="s">
        <v>277</v>
      </c>
      <c r="AV151" s="12" t="s">
        <v>277</v>
      </c>
      <c r="AW151" s="12" t="s">
        <v>277</v>
      </c>
      <c r="AX151" s="12" t="s">
        <v>277</v>
      </c>
      <c r="AY151" s="12" t="s">
        <v>277</v>
      </c>
      <c r="AZ151" s="12" t="s">
        <v>277</v>
      </c>
      <c r="BA151" s="12" t="s">
        <v>277</v>
      </c>
      <c r="BB151" s="12" t="s">
        <v>277</v>
      </c>
      <c r="BC151" s="12" t="s">
        <v>277</v>
      </c>
      <c r="BD151" s="12" t="s">
        <v>277</v>
      </c>
      <c r="BE151" s="12" t="s">
        <v>277</v>
      </c>
      <c r="BF151" s="12" t="s">
        <v>277</v>
      </c>
      <c r="BG151" s="12" t="s">
        <v>278</v>
      </c>
      <c r="BH151" s="12" t="s">
        <v>278</v>
      </c>
      <c r="BI151" s="12" t="s">
        <v>322</v>
      </c>
      <c r="BJ151" s="12" t="s">
        <v>322</v>
      </c>
      <c r="BK151" s="12" t="s">
        <v>322</v>
      </c>
      <c r="BL151" s="12" t="s">
        <v>371</v>
      </c>
      <c r="BM151" s="12" t="s">
        <v>371</v>
      </c>
      <c r="BN151" s="12" t="s">
        <v>371</v>
      </c>
      <c r="BO151" s="12" t="s">
        <v>371</v>
      </c>
      <c r="BP151" s="12" t="s">
        <v>371</v>
      </c>
      <c r="BQ151" s="12" t="s">
        <v>371</v>
      </c>
      <c r="BR151" s="12" t="s">
        <v>371</v>
      </c>
      <c r="BS151" s="12" t="s">
        <v>371</v>
      </c>
      <c r="BT151" s="12" t="s">
        <v>371</v>
      </c>
      <c r="BU151" s="12" t="s">
        <v>371</v>
      </c>
      <c r="BV151" s="12" t="s">
        <v>371</v>
      </c>
      <c r="BW151" s="12" t="s">
        <v>550</v>
      </c>
      <c r="BX151" s="12" t="s">
        <v>550</v>
      </c>
      <c r="BY151" s="12" t="s">
        <v>281</v>
      </c>
      <c r="BZ151" s="12" t="s">
        <v>323</v>
      </c>
      <c r="CA151" s="12" t="s">
        <v>567</v>
      </c>
      <c r="CB151" s="12" t="s">
        <v>455</v>
      </c>
      <c r="CC151" s="12" t="s">
        <v>455</v>
      </c>
      <c r="CD151" s="12" t="s">
        <v>465</v>
      </c>
      <c r="CE151" s="12" t="s">
        <v>465</v>
      </c>
      <c r="CF151" s="12" t="s">
        <v>376</v>
      </c>
      <c r="CG151" s="12" t="s">
        <v>377</v>
      </c>
      <c r="CH151" s="12" t="s">
        <v>653</v>
      </c>
      <c r="CI151" s="12" t="s">
        <v>331</v>
      </c>
      <c r="CJ151" s="12" t="s">
        <v>331</v>
      </c>
      <c r="CK151" s="12" t="s">
        <v>331</v>
      </c>
      <c r="CL151" s="12" t="s">
        <v>331</v>
      </c>
      <c r="CM151" s="12" t="s">
        <v>334</v>
      </c>
      <c r="CN151" s="12" t="s">
        <v>334</v>
      </c>
      <c r="CO151" s="12" t="s">
        <v>556</v>
      </c>
      <c r="CP151" s="12" t="s">
        <v>559</v>
      </c>
      <c r="CQ151" s="12" t="s">
        <v>1430</v>
      </c>
      <c r="CR151" s="12" t="s">
        <v>1430</v>
      </c>
      <c r="CS151" s="12" t="s">
        <v>1430</v>
      </c>
      <c r="CT151" s="12" t="s">
        <v>1116</v>
      </c>
      <c r="CU151" s="12" t="s">
        <v>292</v>
      </c>
      <c r="CV151" s="12" t="s">
        <v>1448</v>
      </c>
      <c r="CW151" s="12" t="s">
        <v>1448</v>
      </c>
      <c r="CX151" s="12" t="s">
        <v>1711</v>
      </c>
    </row>
    <row r="152" spans="1:102" hidden="1" x14ac:dyDescent="0.3">
      <c r="A152" s="12" t="s">
        <v>12</v>
      </c>
      <c r="B152" s="12" t="s">
        <v>2837</v>
      </c>
      <c r="C152" s="12" t="s">
        <v>2838</v>
      </c>
      <c r="D152" s="12" t="s">
        <v>2839</v>
      </c>
      <c r="E152" s="12" t="s">
        <v>277</v>
      </c>
      <c r="F152" s="12" t="s">
        <v>277</v>
      </c>
      <c r="G152" s="12" t="s">
        <v>277</v>
      </c>
      <c r="H152" s="12" t="s">
        <v>277</v>
      </c>
      <c r="I152" s="12" t="s">
        <v>277</v>
      </c>
      <c r="J152" s="12" t="s">
        <v>277</v>
      </c>
      <c r="K152" s="12" t="s">
        <v>277</v>
      </c>
      <c r="L152" s="12" t="s">
        <v>277</v>
      </c>
      <c r="M152" s="12" t="s">
        <v>277</v>
      </c>
      <c r="N152" s="12" t="s">
        <v>277</v>
      </c>
      <c r="O152" s="12" t="s">
        <v>277</v>
      </c>
      <c r="P152" s="12" t="s">
        <v>277</v>
      </c>
      <c r="Q152" s="12" t="s">
        <v>277</v>
      </c>
      <c r="R152" s="12" t="s">
        <v>277</v>
      </c>
      <c r="S152" s="12" t="s">
        <v>277</v>
      </c>
      <c r="T152" s="12" t="s">
        <v>277</v>
      </c>
      <c r="U152" s="12" t="s">
        <v>277</v>
      </c>
      <c r="V152" s="12" t="s">
        <v>277</v>
      </c>
      <c r="W152" s="12" t="s">
        <v>277</v>
      </c>
      <c r="X152" s="12" t="s">
        <v>277</v>
      </c>
      <c r="Y152" s="12" t="s">
        <v>277</v>
      </c>
      <c r="Z152" s="12" t="s">
        <v>277</v>
      </c>
      <c r="AA152" s="12" t="s">
        <v>277</v>
      </c>
      <c r="AB152" s="12" t="s">
        <v>277</v>
      </c>
      <c r="AC152" s="12" t="s">
        <v>277</v>
      </c>
      <c r="AD152" s="12" t="s">
        <v>277</v>
      </c>
      <c r="AE152" s="12" t="s">
        <v>277</v>
      </c>
      <c r="AF152" s="12" t="s">
        <v>277</v>
      </c>
      <c r="AG152" s="12" t="s">
        <v>277</v>
      </c>
      <c r="AH152" s="12" t="s">
        <v>277</v>
      </c>
      <c r="AI152" s="12" t="s">
        <v>277</v>
      </c>
      <c r="AJ152" s="12" t="s">
        <v>277</v>
      </c>
      <c r="AK152" s="12" t="s">
        <v>277</v>
      </c>
      <c r="AL152" s="12" t="s">
        <v>277</v>
      </c>
      <c r="AM152" s="12" t="s">
        <v>277</v>
      </c>
      <c r="AN152" s="12" t="s">
        <v>277</v>
      </c>
      <c r="AO152" s="12" t="s">
        <v>277</v>
      </c>
      <c r="AP152" s="12" t="s">
        <v>277</v>
      </c>
      <c r="AQ152" s="12" t="s">
        <v>277</v>
      </c>
      <c r="AR152" s="12" t="s">
        <v>277</v>
      </c>
      <c r="AS152" s="12" t="s">
        <v>277</v>
      </c>
      <c r="AT152" s="12" t="s">
        <v>277</v>
      </c>
      <c r="AU152" s="12" t="s">
        <v>278</v>
      </c>
      <c r="AV152" s="12" t="s">
        <v>278</v>
      </c>
      <c r="AW152" s="12" t="s">
        <v>278</v>
      </c>
      <c r="AX152" s="12" t="s">
        <v>278</v>
      </c>
      <c r="AY152" s="12" t="s">
        <v>278</v>
      </c>
      <c r="AZ152" s="12" t="s">
        <v>278</v>
      </c>
      <c r="BA152" s="12" t="s">
        <v>278</v>
      </c>
      <c r="BB152" s="12" t="s">
        <v>278</v>
      </c>
      <c r="BC152" s="12" t="s">
        <v>278</v>
      </c>
      <c r="BD152" s="12" t="s">
        <v>278</v>
      </c>
      <c r="BE152" s="12" t="s">
        <v>279</v>
      </c>
      <c r="BF152" s="12" t="s">
        <v>279</v>
      </c>
      <c r="BG152" s="12" t="s">
        <v>279</v>
      </c>
      <c r="BH152" s="12" t="s">
        <v>281</v>
      </c>
      <c r="BI152" s="12" t="s">
        <v>568</v>
      </c>
      <c r="BJ152" s="12" t="s">
        <v>568</v>
      </c>
      <c r="BK152" s="12" t="s">
        <v>568</v>
      </c>
      <c r="BL152" s="12" t="s">
        <v>376</v>
      </c>
      <c r="BM152" s="12" t="s">
        <v>376</v>
      </c>
      <c r="BN152" s="12" t="s">
        <v>329</v>
      </c>
      <c r="BO152" s="12" t="s">
        <v>329</v>
      </c>
      <c r="BP152" s="12" t="s">
        <v>329</v>
      </c>
      <c r="BQ152" s="12" t="s">
        <v>468</v>
      </c>
      <c r="BR152" s="12" t="s">
        <v>468</v>
      </c>
      <c r="BS152" s="12" t="s">
        <v>468</v>
      </c>
      <c r="BT152" s="12" t="s">
        <v>468</v>
      </c>
      <c r="BU152" s="12" t="s">
        <v>552</v>
      </c>
      <c r="BV152" s="12" t="s">
        <v>469</v>
      </c>
      <c r="BW152" s="12" t="s">
        <v>469</v>
      </c>
      <c r="BX152" s="12" t="s">
        <v>419</v>
      </c>
      <c r="BY152" s="12" t="s">
        <v>419</v>
      </c>
      <c r="BZ152" s="12" t="s">
        <v>554</v>
      </c>
      <c r="CA152" s="12" t="s">
        <v>554</v>
      </c>
      <c r="CB152" s="12" t="s">
        <v>554</v>
      </c>
      <c r="CC152" s="12" t="s">
        <v>509</v>
      </c>
      <c r="CD152" s="12" t="s">
        <v>509</v>
      </c>
      <c r="CE152" s="12" t="s">
        <v>509</v>
      </c>
      <c r="CF152" s="12" t="s">
        <v>470</v>
      </c>
      <c r="CG152" s="12" t="s">
        <v>470</v>
      </c>
      <c r="CH152" s="12" t="s">
        <v>470</v>
      </c>
      <c r="CI152" s="12" t="s">
        <v>470</v>
      </c>
      <c r="CJ152" s="12" t="s">
        <v>470</v>
      </c>
      <c r="CK152" s="12" t="s">
        <v>470</v>
      </c>
      <c r="CL152" s="12" t="s">
        <v>470</v>
      </c>
      <c r="CM152" s="12" t="s">
        <v>470</v>
      </c>
      <c r="CN152" s="12" t="s">
        <v>470</v>
      </c>
      <c r="CO152" s="12" t="s">
        <v>883</v>
      </c>
      <c r="CP152" s="12" t="s">
        <v>883</v>
      </c>
      <c r="CQ152" s="12" t="s">
        <v>883</v>
      </c>
      <c r="CR152" s="12" t="s">
        <v>883</v>
      </c>
      <c r="CS152" s="12" t="s">
        <v>883</v>
      </c>
      <c r="CT152" s="12" t="s">
        <v>883</v>
      </c>
      <c r="CU152" s="12" t="s">
        <v>883</v>
      </c>
      <c r="CV152" s="12" t="s">
        <v>675</v>
      </c>
      <c r="CW152" s="12" t="s">
        <v>675</v>
      </c>
      <c r="CX152" s="12" t="s">
        <v>675</v>
      </c>
    </row>
    <row r="153" spans="1:102" hidden="1" x14ac:dyDescent="0.3">
      <c r="A153" s="12" t="s">
        <v>12</v>
      </c>
      <c r="B153" s="12" t="s">
        <v>2840</v>
      </c>
      <c r="C153" s="12" t="s">
        <v>2841</v>
      </c>
      <c r="D153" s="12" t="s">
        <v>2842</v>
      </c>
      <c r="E153" s="12" t="s">
        <v>277</v>
      </c>
      <c r="F153" s="12" t="s">
        <v>277</v>
      </c>
      <c r="G153" s="12" t="s">
        <v>277</v>
      </c>
      <c r="H153" s="12" t="s">
        <v>277</v>
      </c>
      <c r="I153" s="12" t="s">
        <v>277</v>
      </c>
      <c r="J153" s="12" t="s">
        <v>277</v>
      </c>
      <c r="K153" s="12" t="s">
        <v>277</v>
      </c>
      <c r="L153" s="12" t="s">
        <v>277</v>
      </c>
      <c r="M153" s="12" t="s">
        <v>277</v>
      </c>
      <c r="N153" s="12" t="s">
        <v>277</v>
      </c>
      <c r="O153" s="12" t="s">
        <v>277</v>
      </c>
      <c r="P153" s="12" t="s">
        <v>277</v>
      </c>
      <c r="Q153" s="12" t="s">
        <v>277</v>
      </c>
      <c r="R153" s="12" t="s">
        <v>277</v>
      </c>
      <c r="S153" s="12" t="s">
        <v>277</v>
      </c>
      <c r="T153" s="12" t="s">
        <v>277</v>
      </c>
      <c r="U153" s="12" t="s">
        <v>277</v>
      </c>
      <c r="V153" s="12" t="s">
        <v>277</v>
      </c>
      <c r="W153" s="12" t="s">
        <v>277</v>
      </c>
      <c r="X153" s="12" t="s">
        <v>277</v>
      </c>
      <c r="Y153" s="12" t="s">
        <v>277</v>
      </c>
      <c r="Z153" s="12" t="s">
        <v>277</v>
      </c>
      <c r="AA153" s="12" t="s">
        <v>277</v>
      </c>
      <c r="AB153" s="12" t="s">
        <v>277</v>
      </c>
      <c r="AC153" s="12" t="s">
        <v>277</v>
      </c>
      <c r="AD153" s="12" t="s">
        <v>277</v>
      </c>
      <c r="AE153" s="12" t="s">
        <v>277</v>
      </c>
      <c r="AF153" s="12" t="s">
        <v>277</v>
      </c>
      <c r="AG153" s="12" t="s">
        <v>277</v>
      </c>
      <c r="AH153" s="12" t="s">
        <v>277</v>
      </c>
      <c r="AI153" s="12" t="s">
        <v>277</v>
      </c>
      <c r="AJ153" s="12" t="s">
        <v>277</v>
      </c>
      <c r="AK153" s="12" t="s">
        <v>277</v>
      </c>
      <c r="AL153" s="12" t="s">
        <v>277</v>
      </c>
      <c r="AM153" s="12" t="s">
        <v>277</v>
      </c>
      <c r="AN153" s="12" t="s">
        <v>277</v>
      </c>
      <c r="AO153" s="12" t="s">
        <v>277</v>
      </c>
      <c r="AP153" s="12" t="s">
        <v>278</v>
      </c>
      <c r="AQ153" s="12" t="s">
        <v>278</v>
      </c>
      <c r="AR153" s="12" t="s">
        <v>278</v>
      </c>
      <c r="AS153" s="12" t="s">
        <v>278</v>
      </c>
      <c r="AT153" s="12" t="s">
        <v>278</v>
      </c>
      <c r="AU153" s="12" t="s">
        <v>278</v>
      </c>
      <c r="AV153" s="12" t="s">
        <v>278</v>
      </c>
      <c r="AW153" s="12" t="s">
        <v>278</v>
      </c>
      <c r="AX153" s="12" t="s">
        <v>278</v>
      </c>
      <c r="AY153" s="12" t="s">
        <v>278</v>
      </c>
      <c r="AZ153" s="12" t="s">
        <v>278</v>
      </c>
      <c r="BA153" s="12" t="s">
        <v>278</v>
      </c>
      <c r="BB153" s="12" t="s">
        <v>371</v>
      </c>
      <c r="BC153" s="12" t="s">
        <v>371</v>
      </c>
      <c r="BD153" s="12" t="s">
        <v>550</v>
      </c>
      <c r="BE153" s="12" t="s">
        <v>454</v>
      </c>
      <c r="BF153" s="12" t="s">
        <v>324</v>
      </c>
      <c r="BG153" s="12" t="s">
        <v>372</v>
      </c>
      <c r="BH153" s="12" t="s">
        <v>456</v>
      </c>
      <c r="BI153" s="12" t="s">
        <v>612</v>
      </c>
      <c r="BJ153" s="12" t="s">
        <v>670</v>
      </c>
      <c r="BK153" s="12" t="s">
        <v>690</v>
      </c>
      <c r="BL153" s="12" t="s">
        <v>1051</v>
      </c>
      <c r="BM153" s="12" t="s">
        <v>1519</v>
      </c>
      <c r="BN153" s="12" t="s">
        <v>1432</v>
      </c>
      <c r="BO153" s="12" t="s">
        <v>796</v>
      </c>
      <c r="BP153" s="12" t="s">
        <v>1385</v>
      </c>
      <c r="BQ153" s="12" t="s">
        <v>298</v>
      </c>
      <c r="BR153" s="12" t="s">
        <v>1137</v>
      </c>
      <c r="BS153" s="12" t="s">
        <v>1865</v>
      </c>
      <c r="BT153" s="12" t="s">
        <v>732</v>
      </c>
      <c r="BU153" s="12" t="s">
        <v>1401</v>
      </c>
      <c r="BV153" s="12" t="s">
        <v>1324</v>
      </c>
      <c r="BW153" s="12" t="s">
        <v>1105</v>
      </c>
      <c r="BX153" s="12" t="s">
        <v>1221</v>
      </c>
      <c r="BY153" s="12" t="s">
        <v>445</v>
      </c>
      <c r="BZ153" s="12" t="s">
        <v>1702</v>
      </c>
      <c r="CA153" s="12" t="s">
        <v>841</v>
      </c>
      <c r="CB153" s="12" t="s">
        <v>2843</v>
      </c>
      <c r="CC153" s="12" t="s">
        <v>2153</v>
      </c>
      <c r="CD153" s="12" t="s">
        <v>1665</v>
      </c>
      <c r="CE153" s="12" t="s">
        <v>2844</v>
      </c>
      <c r="CF153" s="12" t="s">
        <v>643</v>
      </c>
      <c r="CG153" s="12" t="s">
        <v>314</v>
      </c>
      <c r="CH153" s="12" t="s">
        <v>2845</v>
      </c>
      <c r="CI153" s="12" t="s">
        <v>2846</v>
      </c>
      <c r="CJ153" s="12" t="s">
        <v>2097</v>
      </c>
      <c r="CK153" s="12" t="s">
        <v>2729</v>
      </c>
      <c r="CL153" s="12" t="s">
        <v>2625</v>
      </c>
      <c r="CM153" s="12" t="s">
        <v>2130</v>
      </c>
      <c r="CN153" s="12" t="s">
        <v>2847</v>
      </c>
      <c r="CO153" s="12" t="s">
        <v>2848</v>
      </c>
      <c r="CP153" s="12" t="s">
        <v>1988</v>
      </c>
      <c r="CQ153" s="12" t="s">
        <v>1470</v>
      </c>
      <c r="CR153" s="12" t="s">
        <v>1168</v>
      </c>
      <c r="CS153" s="12" t="s">
        <v>810</v>
      </c>
      <c r="CT153" s="12" t="s">
        <v>2384</v>
      </c>
      <c r="CU153" s="12" t="s">
        <v>4220</v>
      </c>
      <c r="CV153" s="12" t="s">
        <v>2961</v>
      </c>
      <c r="CW153" s="12" t="s">
        <v>4221</v>
      </c>
      <c r="CX153" s="12" t="s">
        <v>3505</v>
      </c>
    </row>
    <row r="154" spans="1:102" hidden="1" x14ac:dyDescent="0.3">
      <c r="A154" s="12" t="s">
        <v>12</v>
      </c>
      <c r="B154" s="12" t="s">
        <v>2849</v>
      </c>
      <c r="C154" s="12" t="s">
        <v>2850</v>
      </c>
      <c r="D154" s="12" t="s">
        <v>2851</v>
      </c>
      <c r="E154" s="12" t="s">
        <v>277</v>
      </c>
      <c r="F154" s="12" t="s">
        <v>277</v>
      </c>
      <c r="G154" s="12" t="s">
        <v>277</v>
      </c>
      <c r="H154" s="12" t="s">
        <v>277</v>
      </c>
      <c r="I154" s="12" t="s">
        <v>277</v>
      </c>
      <c r="J154" s="12" t="s">
        <v>277</v>
      </c>
      <c r="K154" s="12" t="s">
        <v>277</v>
      </c>
      <c r="L154" s="12" t="s">
        <v>277</v>
      </c>
      <c r="M154" s="12" t="s">
        <v>277</v>
      </c>
      <c r="N154" s="12" t="s">
        <v>277</v>
      </c>
      <c r="O154" s="12" t="s">
        <v>277</v>
      </c>
      <c r="P154" s="12" t="s">
        <v>277</v>
      </c>
      <c r="Q154" s="12" t="s">
        <v>277</v>
      </c>
      <c r="R154" s="12" t="s">
        <v>277</v>
      </c>
      <c r="S154" s="12" t="s">
        <v>277</v>
      </c>
      <c r="T154" s="12" t="s">
        <v>277</v>
      </c>
      <c r="U154" s="12" t="s">
        <v>277</v>
      </c>
      <c r="V154" s="12" t="s">
        <v>277</v>
      </c>
      <c r="W154" s="12" t="s">
        <v>277</v>
      </c>
      <c r="X154" s="12" t="s">
        <v>277</v>
      </c>
      <c r="Y154" s="12" t="s">
        <v>277</v>
      </c>
      <c r="Z154" s="12" t="s">
        <v>277</v>
      </c>
      <c r="AA154" s="12" t="s">
        <v>277</v>
      </c>
      <c r="AB154" s="12" t="s">
        <v>277</v>
      </c>
      <c r="AC154" s="12" t="s">
        <v>277</v>
      </c>
      <c r="AD154" s="12" t="s">
        <v>277</v>
      </c>
      <c r="AE154" s="12" t="s">
        <v>277</v>
      </c>
      <c r="AF154" s="12" t="s">
        <v>277</v>
      </c>
      <c r="AG154" s="12" t="s">
        <v>277</v>
      </c>
      <c r="AH154" s="12" t="s">
        <v>277</v>
      </c>
      <c r="AI154" s="12" t="s">
        <v>277</v>
      </c>
      <c r="AJ154" s="12" t="s">
        <v>277</v>
      </c>
      <c r="AK154" s="12" t="s">
        <v>277</v>
      </c>
      <c r="AL154" s="12" t="s">
        <v>277</v>
      </c>
      <c r="AM154" s="12" t="s">
        <v>277</v>
      </c>
      <c r="AN154" s="12" t="s">
        <v>277</v>
      </c>
      <c r="AO154" s="12" t="s">
        <v>277</v>
      </c>
      <c r="AP154" s="12" t="s">
        <v>277</v>
      </c>
      <c r="AQ154" s="12" t="s">
        <v>278</v>
      </c>
      <c r="AR154" s="12" t="s">
        <v>278</v>
      </c>
      <c r="AS154" s="12" t="s">
        <v>278</v>
      </c>
      <c r="AT154" s="12" t="s">
        <v>278</v>
      </c>
      <c r="AU154" s="12" t="s">
        <v>278</v>
      </c>
      <c r="AV154" s="12" t="s">
        <v>278</v>
      </c>
      <c r="AW154" s="12" t="s">
        <v>322</v>
      </c>
      <c r="AX154" s="12" t="s">
        <v>322</v>
      </c>
      <c r="AY154" s="12" t="s">
        <v>371</v>
      </c>
      <c r="AZ154" s="12" t="s">
        <v>371</v>
      </c>
      <c r="BA154" s="12" t="s">
        <v>280</v>
      </c>
      <c r="BB154" s="12" t="s">
        <v>281</v>
      </c>
      <c r="BC154" s="12" t="s">
        <v>373</v>
      </c>
      <c r="BD154" s="12" t="s">
        <v>466</v>
      </c>
      <c r="BE154" s="12" t="s">
        <v>329</v>
      </c>
      <c r="BF154" s="12" t="s">
        <v>331</v>
      </c>
      <c r="BG154" s="12" t="s">
        <v>554</v>
      </c>
      <c r="BH154" s="12" t="s">
        <v>724</v>
      </c>
      <c r="BI154" s="12" t="s">
        <v>1186</v>
      </c>
      <c r="BJ154" s="12" t="s">
        <v>1754</v>
      </c>
      <c r="BK154" s="12" t="s">
        <v>303</v>
      </c>
      <c r="BL154" s="12" t="s">
        <v>2274</v>
      </c>
      <c r="BM154" s="12" t="s">
        <v>1838</v>
      </c>
      <c r="BN154" s="12" t="s">
        <v>2852</v>
      </c>
      <c r="BO154" s="12" t="s">
        <v>2853</v>
      </c>
      <c r="BP154" s="12" t="s">
        <v>1465</v>
      </c>
      <c r="BQ154" s="12" t="s">
        <v>2854</v>
      </c>
      <c r="BR154" s="12" t="s">
        <v>2139</v>
      </c>
      <c r="BS154" s="12" t="s">
        <v>2855</v>
      </c>
      <c r="BT154" s="12" t="s">
        <v>1908</v>
      </c>
      <c r="BU154" s="12" t="s">
        <v>2856</v>
      </c>
      <c r="BV154" s="12" t="s">
        <v>2696</v>
      </c>
      <c r="BW154" s="12" t="s">
        <v>2857</v>
      </c>
      <c r="BX154" s="12" t="s">
        <v>2163</v>
      </c>
      <c r="BY154" s="12" t="s">
        <v>2858</v>
      </c>
      <c r="BZ154" s="12" t="s">
        <v>2859</v>
      </c>
      <c r="CA154" s="12" t="s">
        <v>2860</v>
      </c>
      <c r="CB154" s="12" t="s">
        <v>2861</v>
      </c>
      <c r="CC154" s="12" t="s">
        <v>2862</v>
      </c>
      <c r="CD154" s="12" t="s">
        <v>2863</v>
      </c>
      <c r="CE154" s="12" t="s">
        <v>2864</v>
      </c>
      <c r="CF154" s="12" t="s">
        <v>2865</v>
      </c>
      <c r="CG154" s="12" t="s">
        <v>2866</v>
      </c>
      <c r="CH154" s="12" t="s">
        <v>895</v>
      </c>
      <c r="CI154" s="12" t="s">
        <v>2867</v>
      </c>
      <c r="CJ154" s="12" t="s">
        <v>2868</v>
      </c>
      <c r="CK154" s="12" t="s">
        <v>2869</v>
      </c>
      <c r="CL154" s="12" t="s">
        <v>2870</v>
      </c>
      <c r="CM154" s="12" t="s">
        <v>2871</v>
      </c>
      <c r="CN154" s="12" t="s">
        <v>2872</v>
      </c>
      <c r="CO154" s="12" t="s">
        <v>2873</v>
      </c>
      <c r="CP154" s="12" t="s">
        <v>2874</v>
      </c>
      <c r="CQ154" s="12" t="s">
        <v>2875</v>
      </c>
      <c r="CR154" s="12" t="s">
        <v>2700</v>
      </c>
      <c r="CS154" s="12" t="s">
        <v>2876</v>
      </c>
      <c r="CT154" s="12" t="s">
        <v>2877</v>
      </c>
      <c r="CU154" s="12" t="s">
        <v>3334</v>
      </c>
      <c r="CV154" s="12" t="s">
        <v>4222</v>
      </c>
      <c r="CW154" s="12" t="s">
        <v>4223</v>
      </c>
      <c r="CX154" s="12" t="s">
        <v>4224</v>
      </c>
    </row>
    <row r="155" spans="1:102" hidden="1" x14ac:dyDescent="0.3">
      <c r="A155" s="12" t="s">
        <v>12</v>
      </c>
      <c r="B155" s="12" t="s">
        <v>2878</v>
      </c>
      <c r="C155" s="12" t="s">
        <v>2879</v>
      </c>
      <c r="D155" s="12" t="s">
        <v>2880</v>
      </c>
      <c r="E155" s="12" t="s">
        <v>277</v>
      </c>
      <c r="F155" s="12" t="s">
        <v>277</v>
      </c>
      <c r="G155" s="12" t="s">
        <v>277</v>
      </c>
      <c r="H155" s="12" t="s">
        <v>277</v>
      </c>
      <c r="I155" s="12" t="s">
        <v>277</v>
      </c>
      <c r="J155" s="12" t="s">
        <v>277</v>
      </c>
      <c r="K155" s="12" t="s">
        <v>277</v>
      </c>
      <c r="L155" s="12" t="s">
        <v>277</v>
      </c>
      <c r="M155" s="12" t="s">
        <v>277</v>
      </c>
      <c r="N155" s="12" t="s">
        <v>277</v>
      </c>
      <c r="O155" s="12" t="s">
        <v>277</v>
      </c>
      <c r="P155" s="12" t="s">
        <v>277</v>
      </c>
      <c r="Q155" s="12" t="s">
        <v>277</v>
      </c>
      <c r="R155" s="12" t="s">
        <v>277</v>
      </c>
      <c r="S155" s="12" t="s">
        <v>277</v>
      </c>
      <c r="T155" s="12" t="s">
        <v>277</v>
      </c>
      <c r="U155" s="12" t="s">
        <v>277</v>
      </c>
      <c r="V155" s="12" t="s">
        <v>277</v>
      </c>
      <c r="W155" s="12" t="s">
        <v>277</v>
      </c>
      <c r="X155" s="12" t="s">
        <v>277</v>
      </c>
      <c r="Y155" s="12" t="s">
        <v>277</v>
      </c>
      <c r="Z155" s="12" t="s">
        <v>277</v>
      </c>
      <c r="AA155" s="12" t="s">
        <v>277</v>
      </c>
      <c r="AB155" s="12" t="s">
        <v>277</v>
      </c>
      <c r="AC155" s="12" t="s">
        <v>277</v>
      </c>
      <c r="AD155" s="12" t="s">
        <v>277</v>
      </c>
      <c r="AE155" s="12" t="s">
        <v>277</v>
      </c>
      <c r="AF155" s="12" t="s">
        <v>277</v>
      </c>
      <c r="AG155" s="12" t="s">
        <v>277</v>
      </c>
      <c r="AH155" s="12" t="s">
        <v>277</v>
      </c>
      <c r="AI155" s="12" t="s">
        <v>277</v>
      </c>
      <c r="AJ155" s="12" t="s">
        <v>277</v>
      </c>
      <c r="AK155" s="12" t="s">
        <v>277</v>
      </c>
      <c r="AL155" s="12" t="s">
        <v>277</v>
      </c>
      <c r="AM155" s="12" t="s">
        <v>277</v>
      </c>
      <c r="AN155" s="12" t="s">
        <v>277</v>
      </c>
      <c r="AO155" s="12" t="s">
        <v>277</v>
      </c>
      <c r="AP155" s="12" t="s">
        <v>277</v>
      </c>
      <c r="AQ155" s="12" t="s">
        <v>277</v>
      </c>
      <c r="AR155" s="12" t="s">
        <v>277</v>
      </c>
      <c r="AS155" s="12" t="s">
        <v>277</v>
      </c>
      <c r="AT155" s="12" t="s">
        <v>277</v>
      </c>
      <c r="AU155" s="12" t="s">
        <v>277</v>
      </c>
      <c r="AV155" s="12" t="s">
        <v>277</v>
      </c>
      <c r="AW155" s="12" t="s">
        <v>277</v>
      </c>
      <c r="AX155" s="12" t="s">
        <v>277</v>
      </c>
      <c r="AY155" s="12" t="s">
        <v>277</v>
      </c>
      <c r="AZ155" s="12" t="s">
        <v>277</v>
      </c>
      <c r="BA155" s="12" t="s">
        <v>277</v>
      </c>
      <c r="BB155" s="12" t="s">
        <v>277</v>
      </c>
      <c r="BC155" s="12" t="s">
        <v>277</v>
      </c>
      <c r="BD155" s="12" t="s">
        <v>277</v>
      </c>
      <c r="BE155" s="12" t="s">
        <v>277</v>
      </c>
      <c r="BF155" s="12" t="s">
        <v>277</v>
      </c>
      <c r="BG155" s="12" t="s">
        <v>277</v>
      </c>
      <c r="BH155" s="12" t="s">
        <v>277</v>
      </c>
      <c r="BI155" s="12" t="s">
        <v>277</v>
      </c>
      <c r="BJ155" s="12" t="s">
        <v>277</v>
      </c>
      <c r="BK155" s="12" t="s">
        <v>371</v>
      </c>
      <c r="BL155" s="12" t="s">
        <v>371</v>
      </c>
      <c r="BM155" s="12" t="s">
        <v>371</v>
      </c>
      <c r="BN155" s="12" t="s">
        <v>324</v>
      </c>
      <c r="BO155" s="12" t="s">
        <v>372</v>
      </c>
      <c r="BP155" s="12" t="s">
        <v>373</v>
      </c>
      <c r="BQ155" s="12" t="s">
        <v>325</v>
      </c>
      <c r="BR155" s="12" t="s">
        <v>375</v>
      </c>
      <c r="BS155" s="12" t="s">
        <v>375</v>
      </c>
      <c r="BT155" s="12" t="s">
        <v>417</v>
      </c>
      <c r="BU155" s="12" t="s">
        <v>958</v>
      </c>
      <c r="BV155" s="12" t="s">
        <v>691</v>
      </c>
      <c r="BW155" s="12" t="s">
        <v>691</v>
      </c>
      <c r="BX155" s="12" t="s">
        <v>331</v>
      </c>
      <c r="BY155" s="12" t="s">
        <v>333</v>
      </c>
      <c r="BZ155" s="12" t="s">
        <v>333</v>
      </c>
      <c r="CA155" s="12" t="s">
        <v>674</v>
      </c>
      <c r="CB155" s="12" t="s">
        <v>675</v>
      </c>
      <c r="CC155" s="12" t="s">
        <v>420</v>
      </c>
      <c r="CD155" s="12" t="s">
        <v>557</v>
      </c>
      <c r="CE155" s="12" t="s">
        <v>557</v>
      </c>
      <c r="CF155" s="12" t="s">
        <v>557</v>
      </c>
      <c r="CG155" s="12" t="s">
        <v>562</v>
      </c>
      <c r="CH155" s="12" t="s">
        <v>1362</v>
      </c>
      <c r="CI155" s="12" t="s">
        <v>1362</v>
      </c>
      <c r="CJ155" s="12" t="s">
        <v>1197</v>
      </c>
      <c r="CK155" s="12" t="s">
        <v>291</v>
      </c>
      <c r="CL155" s="12" t="s">
        <v>678</v>
      </c>
      <c r="CM155" s="12" t="s">
        <v>1116</v>
      </c>
      <c r="CN155" s="12" t="s">
        <v>292</v>
      </c>
      <c r="CO155" s="12" t="s">
        <v>692</v>
      </c>
      <c r="CP155" s="12" t="s">
        <v>692</v>
      </c>
      <c r="CQ155" s="12" t="s">
        <v>692</v>
      </c>
      <c r="CR155" s="12" t="s">
        <v>692</v>
      </c>
      <c r="CS155" s="12" t="s">
        <v>692</v>
      </c>
      <c r="CT155" s="12" t="s">
        <v>679</v>
      </c>
      <c r="CU155" s="12" t="s">
        <v>337</v>
      </c>
      <c r="CV155" s="12" t="s">
        <v>1448</v>
      </c>
      <c r="CW155" s="12" t="s">
        <v>472</v>
      </c>
      <c r="CX155" s="12" t="s">
        <v>472</v>
      </c>
    </row>
    <row r="156" spans="1:102" hidden="1" x14ac:dyDescent="0.3">
      <c r="A156" s="12" t="s">
        <v>12</v>
      </c>
      <c r="B156" s="12" t="s">
        <v>2881</v>
      </c>
      <c r="C156" s="12" t="s">
        <v>2882</v>
      </c>
      <c r="D156" s="12" t="s">
        <v>2883</v>
      </c>
      <c r="E156" s="12" t="s">
        <v>277</v>
      </c>
      <c r="F156" s="12" t="s">
        <v>277</v>
      </c>
      <c r="G156" s="12" t="s">
        <v>277</v>
      </c>
      <c r="H156" s="12" t="s">
        <v>371</v>
      </c>
      <c r="I156" s="12" t="s">
        <v>279</v>
      </c>
      <c r="J156" s="12" t="s">
        <v>279</v>
      </c>
      <c r="K156" s="12" t="s">
        <v>279</v>
      </c>
      <c r="L156" s="12" t="s">
        <v>281</v>
      </c>
      <c r="M156" s="12" t="s">
        <v>454</v>
      </c>
      <c r="N156" s="12" t="s">
        <v>454</v>
      </c>
      <c r="O156" s="12" t="s">
        <v>454</v>
      </c>
      <c r="P156" s="12" t="s">
        <v>454</v>
      </c>
      <c r="Q156" s="12" t="s">
        <v>454</v>
      </c>
      <c r="R156" s="12" t="s">
        <v>323</v>
      </c>
      <c r="S156" s="12" t="s">
        <v>324</v>
      </c>
      <c r="T156" s="12" t="s">
        <v>324</v>
      </c>
      <c r="U156" s="12" t="s">
        <v>324</v>
      </c>
      <c r="V156" s="12" t="s">
        <v>283</v>
      </c>
      <c r="W156" s="12" t="s">
        <v>283</v>
      </c>
      <c r="X156" s="12" t="s">
        <v>507</v>
      </c>
      <c r="Y156" s="12" t="s">
        <v>507</v>
      </c>
      <c r="Z156" s="12" t="s">
        <v>507</v>
      </c>
      <c r="AA156" s="12" t="s">
        <v>373</v>
      </c>
      <c r="AB156" s="12" t="s">
        <v>373</v>
      </c>
      <c r="AC156" s="12" t="s">
        <v>285</v>
      </c>
      <c r="AD156" s="12" t="s">
        <v>285</v>
      </c>
      <c r="AE156" s="12" t="s">
        <v>285</v>
      </c>
      <c r="AF156" s="12" t="s">
        <v>285</v>
      </c>
      <c r="AG156" s="12" t="s">
        <v>285</v>
      </c>
      <c r="AH156" s="12" t="s">
        <v>285</v>
      </c>
      <c r="AI156" s="12" t="s">
        <v>285</v>
      </c>
      <c r="AJ156" s="12" t="s">
        <v>285</v>
      </c>
      <c r="AK156" s="12" t="s">
        <v>285</v>
      </c>
      <c r="AL156" s="12" t="s">
        <v>285</v>
      </c>
      <c r="AM156" s="12" t="s">
        <v>285</v>
      </c>
      <c r="AN156" s="12" t="s">
        <v>285</v>
      </c>
      <c r="AO156" s="12" t="s">
        <v>325</v>
      </c>
      <c r="AP156" s="12" t="s">
        <v>325</v>
      </c>
      <c r="AQ156" s="12" t="s">
        <v>456</v>
      </c>
      <c r="AR156" s="12" t="s">
        <v>652</v>
      </c>
      <c r="AS156" s="12" t="s">
        <v>652</v>
      </c>
      <c r="AT156" s="12" t="s">
        <v>670</v>
      </c>
      <c r="AU156" s="12" t="s">
        <v>653</v>
      </c>
      <c r="AV156" s="12" t="s">
        <v>653</v>
      </c>
      <c r="AW156" s="12" t="s">
        <v>1051</v>
      </c>
      <c r="AX156" s="12" t="s">
        <v>557</v>
      </c>
      <c r="AY156" s="12" t="s">
        <v>559</v>
      </c>
      <c r="AZ156" s="12" t="s">
        <v>1116</v>
      </c>
      <c r="BA156" s="12" t="s">
        <v>1054</v>
      </c>
      <c r="BB156" s="12" t="s">
        <v>1797</v>
      </c>
      <c r="BC156" s="12" t="s">
        <v>1797</v>
      </c>
      <c r="BD156" s="12" t="s">
        <v>340</v>
      </c>
      <c r="BE156" s="12" t="s">
        <v>1322</v>
      </c>
      <c r="BF156" s="12" t="s">
        <v>432</v>
      </c>
      <c r="BG156" s="12" t="s">
        <v>1405</v>
      </c>
      <c r="BH156" s="12" t="s">
        <v>444</v>
      </c>
      <c r="BI156" s="12" t="s">
        <v>1889</v>
      </c>
      <c r="BJ156" s="12" t="s">
        <v>633</v>
      </c>
      <c r="BK156" s="12" t="s">
        <v>2884</v>
      </c>
      <c r="BL156" s="12" t="s">
        <v>2885</v>
      </c>
      <c r="BM156" s="12" t="s">
        <v>1329</v>
      </c>
      <c r="BN156" s="12" t="s">
        <v>813</v>
      </c>
      <c r="BO156" s="12" t="s">
        <v>2886</v>
      </c>
      <c r="BP156" s="12" t="s">
        <v>2887</v>
      </c>
      <c r="BQ156" s="12" t="s">
        <v>2888</v>
      </c>
      <c r="BR156" s="12" t="s">
        <v>2889</v>
      </c>
      <c r="BS156" s="12" t="s">
        <v>2890</v>
      </c>
      <c r="BT156" s="12" t="s">
        <v>2891</v>
      </c>
      <c r="BU156" s="12" t="s">
        <v>2892</v>
      </c>
      <c r="BV156" s="12" t="s">
        <v>2893</v>
      </c>
      <c r="BW156" s="12" t="s">
        <v>1151</v>
      </c>
      <c r="BX156" s="12" t="s">
        <v>2894</v>
      </c>
      <c r="BY156" s="12" t="s">
        <v>2109</v>
      </c>
      <c r="BZ156" s="12" t="s">
        <v>2895</v>
      </c>
      <c r="CA156" s="12" t="s">
        <v>2896</v>
      </c>
      <c r="CB156" s="12" t="s">
        <v>2897</v>
      </c>
      <c r="CC156" s="12" t="s">
        <v>2898</v>
      </c>
      <c r="CD156" s="12" t="s">
        <v>2899</v>
      </c>
      <c r="CE156" s="12" t="s">
        <v>2900</v>
      </c>
      <c r="CF156" s="12" t="s">
        <v>2901</v>
      </c>
      <c r="CG156" s="12" t="s">
        <v>2902</v>
      </c>
      <c r="CH156" s="12" t="s">
        <v>2903</v>
      </c>
      <c r="CI156" s="12" t="s">
        <v>2904</v>
      </c>
      <c r="CJ156" s="12" t="s">
        <v>2905</v>
      </c>
      <c r="CK156" s="12" t="s">
        <v>2906</v>
      </c>
      <c r="CL156" s="12" t="s">
        <v>2907</v>
      </c>
      <c r="CM156" s="12" t="s">
        <v>2908</v>
      </c>
      <c r="CN156" s="12" t="s">
        <v>2909</v>
      </c>
      <c r="CO156" s="12" t="s">
        <v>2910</v>
      </c>
      <c r="CP156" s="12" t="s">
        <v>2911</v>
      </c>
      <c r="CQ156" s="12" t="s">
        <v>2912</v>
      </c>
      <c r="CR156" s="12" t="s">
        <v>2913</v>
      </c>
      <c r="CS156" s="12" t="s">
        <v>2914</v>
      </c>
      <c r="CT156" s="12" t="s">
        <v>2915</v>
      </c>
      <c r="CU156" s="12" t="s">
        <v>4225</v>
      </c>
      <c r="CV156" s="12" t="s">
        <v>4226</v>
      </c>
      <c r="CW156" s="12" t="s">
        <v>4227</v>
      </c>
      <c r="CX156" s="12" t="s">
        <v>4228</v>
      </c>
    </row>
    <row r="157" spans="1:102" hidden="1" x14ac:dyDescent="0.3">
      <c r="A157" s="12" t="s">
        <v>12</v>
      </c>
      <c r="B157" s="12" t="s">
        <v>2916</v>
      </c>
      <c r="C157" s="12" t="s">
        <v>2917</v>
      </c>
      <c r="D157" s="12" t="s">
        <v>2918</v>
      </c>
      <c r="E157" s="12" t="s">
        <v>277</v>
      </c>
      <c r="F157" s="12" t="s">
        <v>277</v>
      </c>
      <c r="G157" s="12" t="s">
        <v>277</v>
      </c>
      <c r="H157" s="12" t="s">
        <v>277</v>
      </c>
      <c r="I157" s="12" t="s">
        <v>277</v>
      </c>
      <c r="J157" s="12" t="s">
        <v>277</v>
      </c>
      <c r="K157" s="12" t="s">
        <v>277</v>
      </c>
      <c r="L157" s="12" t="s">
        <v>277</v>
      </c>
      <c r="M157" s="12" t="s">
        <v>277</v>
      </c>
      <c r="N157" s="12" t="s">
        <v>277</v>
      </c>
      <c r="O157" s="12" t="s">
        <v>277</v>
      </c>
      <c r="P157" s="12" t="s">
        <v>277</v>
      </c>
      <c r="Q157" s="12" t="s">
        <v>277</v>
      </c>
      <c r="R157" s="12" t="s">
        <v>277</v>
      </c>
      <c r="S157" s="12" t="s">
        <v>277</v>
      </c>
      <c r="T157" s="12" t="s">
        <v>277</v>
      </c>
      <c r="U157" s="12" t="s">
        <v>277</v>
      </c>
      <c r="V157" s="12" t="s">
        <v>277</v>
      </c>
      <c r="W157" s="12" t="s">
        <v>277</v>
      </c>
      <c r="X157" s="12" t="s">
        <v>277</v>
      </c>
      <c r="Y157" s="12" t="s">
        <v>277</v>
      </c>
      <c r="Z157" s="12" t="s">
        <v>277</v>
      </c>
      <c r="AA157" s="12" t="s">
        <v>277</v>
      </c>
      <c r="AB157" s="12" t="s">
        <v>277</v>
      </c>
      <c r="AC157" s="12" t="s">
        <v>277</v>
      </c>
      <c r="AD157" s="12" t="s">
        <v>277</v>
      </c>
      <c r="AE157" s="12" t="s">
        <v>277</v>
      </c>
      <c r="AF157" s="12" t="s">
        <v>277</v>
      </c>
      <c r="AG157" s="12" t="s">
        <v>277</v>
      </c>
      <c r="AH157" s="12" t="s">
        <v>277</v>
      </c>
      <c r="AI157" s="12" t="s">
        <v>277</v>
      </c>
      <c r="AJ157" s="12" t="s">
        <v>277</v>
      </c>
      <c r="AK157" s="12" t="s">
        <v>277</v>
      </c>
      <c r="AL157" s="12" t="s">
        <v>277</v>
      </c>
      <c r="AM157" s="12" t="s">
        <v>277</v>
      </c>
      <c r="AN157" s="12" t="s">
        <v>277</v>
      </c>
      <c r="AO157" s="12" t="s">
        <v>277</v>
      </c>
      <c r="AP157" s="12" t="s">
        <v>277</v>
      </c>
      <c r="AQ157" s="12" t="s">
        <v>277</v>
      </c>
      <c r="AR157" s="12" t="s">
        <v>277</v>
      </c>
      <c r="AS157" s="12" t="s">
        <v>277</v>
      </c>
      <c r="AT157" s="12" t="s">
        <v>277</v>
      </c>
      <c r="AU157" s="12" t="s">
        <v>277</v>
      </c>
      <c r="AV157" s="12" t="s">
        <v>277</v>
      </c>
      <c r="AW157" s="12" t="s">
        <v>277</v>
      </c>
      <c r="AX157" s="12" t="s">
        <v>277</v>
      </c>
      <c r="AY157" s="12" t="s">
        <v>279</v>
      </c>
      <c r="AZ157" s="12" t="s">
        <v>279</v>
      </c>
      <c r="BA157" s="12" t="s">
        <v>550</v>
      </c>
      <c r="BB157" s="12" t="s">
        <v>454</v>
      </c>
      <c r="BC157" s="12" t="s">
        <v>454</v>
      </c>
      <c r="BD157" s="12" t="s">
        <v>460</v>
      </c>
      <c r="BE157" s="12" t="s">
        <v>323</v>
      </c>
      <c r="BF157" s="12" t="s">
        <v>567</v>
      </c>
      <c r="BG157" s="12" t="s">
        <v>567</v>
      </c>
      <c r="BH157" s="12" t="s">
        <v>567</v>
      </c>
      <c r="BI157" s="12" t="s">
        <v>567</v>
      </c>
      <c r="BJ157" s="12" t="s">
        <v>567</v>
      </c>
      <c r="BK157" s="12" t="s">
        <v>567</v>
      </c>
      <c r="BL157" s="12" t="s">
        <v>567</v>
      </c>
      <c r="BM157" s="12" t="s">
        <v>567</v>
      </c>
      <c r="BN157" s="12" t="s">
        <v>567</v>
      </c>
      <c r="BO157" s="12" t="s">
        <v>567</v>
      </c>
      <c r="BP157" s="12" t="s">
        <v>567</v>
      </c>
      <c r="BQ157" s="12" t="s">
        <v>567</v>
      </c>
      <c r="BR157" s="12" t="s">
        <v>283</v>
      </c>
      <c r="BS157" s="12" t="s">
        <v>283</v>
      </c>
      <c r="BT157" s="12" t="s">
        <v>372</v>
      </c>
      <c r="BU157" s="12" t="s">
        <v>372</v>
      </c>
      <c r="BV157" s="12" t="s">
        <v>507</v>
      </c>
      <c r="BW157" s="12" t="s">
        <v>373</v>
      </c>
      <c r="BX157" s="12" t="s">
        <v>373</v>
      </c>
      <c r="BY157" s="12" t="s">
        <v>373</v>
      </c>
      <c r="BZ157" s="12" t="s">
        <v>373</v>
      </c>
      <c r="CA157" s="12" t="s">
        <v>373</v>
      </c>
      <c r="CB157" s="12" t="s">
        <v>373</v>
      </c>
      <c r="CC157" s="12" t="s">
        <v>373</v>
      </c>
      <c r="CD157" s="12" t="s">
        <v>373</v>
      </c>
      <c r="CE157" s="12" t="s">
        <v>373</v>
      </c>
      <c r="CF157" s="12" t="s">
        <v>373</v>
      </c>
      <c r="CG157" s="12" t="s">
        <v>373</v>
      </c>
      <c r="CH157" s="12" t="s">
        <v>374</v>
      </c>
      <c r="CI157" s="12" t="s">
        <v>374</v>
      </c>
      <c r="CJ157" s="12" t="s">
        <v>374</v>
      </c>
      <c r="CK157" s="12" t="s">
        <v>285</v>
      </c>
      <c r="CL157" s="12" t="s">
        <v>456</v>
      </c>
      <c r="CM157" s="12" t="s">
        <v>568</v>
      </c>
      <c r="CN157" s="12" t="s">
        <v>616</v>
      </c>
      <c r="CO157" s="12" t="s">
        <v>508</v>
      </c>
      <c r="CP157" s="12" t="s">
        <v>673</v>
      </c>
      <c r="CQ157" s="12" t="s">
        <v>1051</v>
      </c>
      <c r="CR157" s="12" t="s">
        <v>676</v>
      </c>
      <c r="CS157" s="12" t="s">
        <v>1197</v>
      </c>
      <c r="CT157" s="12" t="s">
        <v>1054</v>
      </c>
      <c r="CU157" s="12" t="s">
        <v>1229</v>
      </c>
      <c r="CV157" s="12" t="s">
        <v>825</v>
      </c>
      <c r="CW157" s="12" t="s">
        <v>1204</v>
      </c>
      <c r="CX157" s="12" t="s">
        <v>1188</v>
      </c>
    </row>
    <row r="158" spans="1:102" hidden="1" x14ac:dyDescent="0.3">
      <c r="A158" s="12" t="s">
        <v>12</v>
      </c>
      <c r="B158" s="12" t="s">
        <v>2919</v>
      </c>
      <c r="C158" s="12" t="s">
        <v>2920</v>
      </c>
      <c r="D158" s="12" t="s">
        <v>2921</v>
      </c>
      <c r="E158" s="12" t="s">
        <v>277</v>
      </c>
      <c r="F158" s="12" t="s">
        <v>277</v>
      </c>
      <c r="G158" s="12" t="s">
        <v>277</v>
      </c>
      <c r="H158" s="12" t="s">
        <v>277</v>
      </c>
      <c r="I158" s="12" t="s">
        <v>277</v>
      </c>
      <c r="J158" s="12" t="s">
        <v>277</v>
      </c>
      <c r="K158" s="12" t="s">
        <v>277</v>
      </c>
      <c r="L158" s="12" t="s">
        <v>277</v>
      </c>
      <c r="M158" s="12" t="s">
        <v>277</v>
      </c>
      <c r="N158" s="12" t="s">
        <v>277</v>
      </c>
      <c r="O158" s="12" t="s">
        <v>277</v>
      </c>
      <c r="P158" s="12" t="s">
        <v>277</v>
      </c>
      <c r="Q158" s="12" t="s">
        <v>277</v>
      </c>
      <c r="R158" s="12" t="s">
        <v>277</v>
      </c>
      <c r="S158" s="12" t="s">
        <v>277</v>
      </c>
      <c r="T158" s="12" t="s">
        <v>277</v>
      </c>
      <c r="U158" s="12" t="s">
        <v>277</v>
      </c>
      <c r="V158" s="12" t="s">
        <v>277</v>
      </c>
      <c r="W158" s="12" t="s">
        <v>277</v>
      </c>
      <c r="X158" s="12" t="s">
        <v>277</v>
      </c>
      <c r="Y158" s="12" t="s">
        <v>277</v>
      </c>
      <c r="Z158" s="12" t="s">
        <v>277</v>
      </c>
      <c r="AA158" s="12" t="s">
        <v>277</v>
      </c>
      <c r="AB158" s="12" t="s">
        <v>277</v>
      </c>
      <c r="AC158" s="12" t="s">
        <v>277</v>
      </c>
      <c r="AD158" s="12" t="s">
        <v>277</v>
      </c>
      <c r="AE158" s="12" t="s">
        <v>277</v>
      </c>
      <c r="AF158" s="12" t="s">
        <v>277</v>
      </c>
      <c r="AG158" s="12" t="s">
        <v>277</v>
      </c>
      <c r="AH158" s="12" t="s">
        <v>277</v>
      </c>
      <c r="AI158" s="12" t="s">
        <v>277</v>
      </c>
      <c r="AJ158" s="12" t="s">
        <v>277</v>
      </c>
      <c r="AK158" s="12" t="s">
        <v>277</v>
      </c>
      <c r="AL158" s="12" t="s">
        <v>277</v>
      </c>
      <c r="AM158" s="12" t="s">
        <v>277</v>
      </c>
      <c r="AN158" s="12" t="s">
        <v>277</v>
      </c>
      <c r="AO158" s="12" t="s">
        <v>277</v>
      </c>
      <c r="AP158" s="12" t="s">
        <v>277</v>
      </c>
      <c r="AQ158" s="12" t="s">
        <v>277</v>
      </c>
      <c r="AR158" s="12" t="s">
        <v>277</v>
      </c>
      <c r="AS158" s="12" t="s">
        <v>277</v>
      </c>
      <c r="AT158" s="12" t="s">
        <v>277</v>
      </c>
      <c r="AU158" s="12" t="s">
        <v>277</v>
      </c>
      <c r="AV158" s="12" t="s">
        <v>277</v>
      </c>
      <c r="AW158" s="12" t="s">
        <v>277</v>
      </c>
      <c r="AX158" s="12" t="s">
        <v>371</v>
      </c>
      <c r="AY158" s="12" t="s">
        <v>371</v>
      </c>
      <c r="AZ158" s="12" t="s">
        <v>371</v>
      </c>
      <c r="BA158" s="12" t="s">
        <v>280</v>
      </c>
      <c r="BB158" s="12" t="s">
        <v>550</v>
      </c>
      <c r="BC158" s="12" t="s">
        <v>550</v>
      </c>
      <c r="BD158" s="12" t="s">
        <v>324</v>
      </c>
      <c r="BE158" s="12" t="s">
        <v>507</v>
      </c>
      <c r="BF158" s="12" t="s">
        <v>284</v>
      </c>
      <c r="BG158" s="12" t="s">
        <v>1716</v>
      </c>
      <c r="BH158" s="12" t="s">
        <v>327</v>
      </c>
      <c r="BI158" s="12" t="s">
        <v>327</v>
      </c>
      <c r="BJ158" s="12" t="s">
        <v>418</v>
      </c>
      <c r="BK158" s="12" t="s">
        <v>332</v>
      </c>
      <c r="BL158" s="12" t="s">
        <v>819</v>
      </c>
      <c r="BM158" s="12" t="s">
        <v>381</v>
      </c>
      <c r="BN158" s="12" t="s">
        <v>959</v>
      </c>
      <c r="BO158" s="12" t="s">
        <v>291</v>
      </c>
      <c r="BP158" s="12" t="s">
        <v>1054</v>
      </c>
      <c r="BQ158" s="12" t="s">
        <v>572</v>
      </c>
      <c r="BR158" s="12" t="s">
        <v>382</v>
      </c>
      <c r="BS158" s="12" t="s">
        <v>1797</v>
      </c>
      <c r="BT158" s="12" t="s">
        <v>1008</v>
      </c>
      <c r="BU158" s="12" t="s">
        <v>1301</v>
      </c>
      <c r="BV158" s="12" t="s">
        <v>681</v>
      </c>
      <c r="BW158" s="12" t="s">
        <v>424</v>
      </c>
      <c r="BX158" s="12" t="s">
        <v>1835</v>
      </c>
      <c r="BY158" s="12" t="s">
        <v>1678</v>
      </c>
      <c r="BZ158" s="12" t="s">
        <v>1726</v>
      </c>
      <c r="CA158" s="12" t="s">
        <v>1537</v>
      </c>
      <c r="CB158" s="12" t="s">
        <v>1206</v>
      </c>
      <c r="CC158" s="12" t="s">
        <v>1063</v>
      </c>
      <c r="CD158" s="12" t="s">
        <v>298</v>
      </c>
      <c r="CE158" s="12" t="s">
        <v>658</v>
      </c>
      <c r="CF158" s="12" t="s">
        <v>1444</v>
      </c>
      <c r="CG158" s="12" t="s">
        <v>429</v>
      </c>
      <c r="CH158" s="12" t="s">
        <v>1540</v>
      </c>
      <c r="CI158" s="12" t="s">
        <v>1097</v>
      </c>
      <c r="CJ158" s="12" t="s">
        <v>1391</v>
      </c>
      <c r="CK158" s="12" t="s">
        <v>1066</v>
      </c>
      <c r="CL158" s="12" t="s">
        <v>2201</v>
      </c>
      <c r="CM158" s="12" t="s">
        <v>1067</v>
      </c>
      <c r="CN158" s="12" t="s">
        <v>1396</v>
      </c>
      <c r="CO158" s="12" t="s">
        <v>2588</v>
      </c>
      <c r="CP158" s="12" t="s">
        <v>2922</v>
      </c>
      <c r="CQ158" s="12" t="s">
        <v>624</v>
      </c>
      <c r="CR158" s="12" t="s">
        <v>302</v>
      </c>
      <c r="CS158" s="12" t="s">
        <v>1218</v>
      </c>
      <c r="CT158" s="12" t="s">
        <v>2377</v>
      </c>
      <c r="CU158" s="12" t="s">
        <v>3286</v>
      </c>
      <c r="CV158" s="12" t="s">
        <v>3286</v>
      </c>
      <c r="CW158" s="12" t="s">
        <v>2151</v>
      </c>
      <c r="CX158" s="12" t="s">
        <v>830</v>
      </c>
    </row>
    <row r="159" spans="1:102" hidden="1" x14ac:dyDescent="0.3">
      <c r="A159" s="12" t="s">
        <v>12</v>
      </c>
      <c r="B159" s="12" t="s">
        <v>2923</v>
      </c>
      <c r="C159" s="12" t="s">
        <v>2924</v>
      </c>
      <c r="D159" s="12" t="s">
        <v>2925</v>
      </c>
      <c r="E159" s="12" t="s">
        <v>277</v>
      </c>
      <c r="F159" s="12" t="s">
        <v>277</v>
      </c>
      <c r="G159" s="12" t="s">
        <v>277</v>
      </c>
      <c r="H159" s="12" t="s">
        <v>277</v>
      </c>
      <c r="I159" s="12" t="s">
        <v>277</v>
      </c>
      <c r="J159" s="12" t="s">
        <v>277</v>
      </c>
      <c r="K159" s="12" t="s">
        <v>277</v>
      </c>
      <c r="L159" s="12" t="s">
        <v>277</v>
      </c>
      <c r="M159" s="12" t="s">
        <v>277</v>
      </c>
      <c r="N159" s="12" t="s">
        <v>277</v>
      </c>
      <c r="O159" s="12" t="s">
        <v>277</v>
      </c>
      <c r="P159" s="12" t="s">
        <v>277</v>
      </c>
      <c r="Q159" s="12" t="s">
        <v>277</v>
      </c>
      <c r="R159" s="12" t="s">
        <v>277</v>
      </c>
      <c r="S159" s="12" t="s">
        <v>277</v>
      </c>
      <c r="T159" s="12" t="s">
        <v>277</v>
      </c>
      <c r="U159" s="12" t="s">
        <v>277</v>
      </c>
      <c r="V159" s="12" t="s">
        <v>277</v>
      </c>
      <c r="W159" s="12" t="s">
        <v>277</v>
      </c>
      <c r="X159" s="12" t="s">
        <v>277</v>
      </c>
      <c r="Y159" s="12" t="s">
        <v>277</v>
      </c>
      <c r="Z159" s="12" t="s">
        <v>277</v>
      </c>
      <c r="AA159" s="12" t="s">
        <v>277</v>
      </c>
      <c r="AB159" s="12" t="s">
        <v>277</v>
      </c>
      <c r="AC159" s="12" t="s">
        <v>277</v>
      </c>
      <c r="AD159" s="12" t="s">
        <v>277</v>
      </c>
      <c r="AE159" s="12" t="s">
        <v>277</v>
      </c>
      <c r="AF159" s="12" t="s">
        <v>277</v>
      </c>
      <c r="AG159" s="12" t="s">
        <v>277</v>
      </c>
      <c r="AH159" s="12" t="s">
        <v>277</v>
      </c>
      <c r="AI159" s="12" t="s">
        <v>277</v>
      </c>
      <c r="AJ159" s="12" t="s">
        <v>277</v>
      </c>
      <c r="AK159" s="12" t="s">
        <v>277</v>
      </c>
      <c r="AL159" s="12" t="s">
        <v>277</v>
      </c>
      <c r="AM159" s="12" t="s">
        <v>277</v>
      </c>
      <c r="AN159" s="12" t="s">
        <v>277</v>
      </c>
      <c r="AO159" s="12" t="s">
        <v>277</v>
      </c>
      <c r="AP159" s="12" t="s">
        <v>277</v>
      </c>
      <c r="AQ159" s="12" t="s">
        <v>277</v>
      </c>
      <c r="AR159" s="12" t="s">
        <v>277</v>
      </c>
      <c r="AS159" s="12" t="s">
        <v>277</v>
      </c>
      <c r="AT159" s="12" t="s">
        <v>277</v>
      </c>
      <c r="AU159" s="12" t="s">
        <v>277</v>
      </c>
      <c r="AV159" s="12" t="s">
        <v>277</v>
      </c>
      <c r="AW159" s="12" t="s">
        <v>277</v>
      </c>
      <c r="AX159" s="12" t="s">
        <v>277</v>
      </c>
      <c r="AY159" s="12" t="s">
        <v>277</v>
      </c>
      <c r="AZ159" s="12" t="s">
        <v>277</v>
      </c>
      <c r="BA159" s="12" t="s">
        <v>277</v>
      </c>
      <c r="BB159" s="12" t="s">
        <v>277</v>
      </c>
      <c r="BC159" s="12" t="s">
        <v>277</v>
      </c>
      <c r="BD159" s="12" t="s">
        <v>277</v>
      </c>
      <c r="BE159" s="12" t="s">
        <v>278</v>
      </c>
      <c r="BF159" s="12" t="s">
        <v>278</v>
      </c>
      <c r="BG159" s="12" t="s">
        <v>278</v>
      </c>
      <c r="BH159" s="12" t="s">
        <v>278</v>
      </c>
      <c r="BI159" s="12" t="s">
        <v>278</v>
      </c>
      <c r="BJ159" s="12" t="s">
        <v>322</v>
      </c>
      <c r="BK159" s="12" t="s">
        <v>322</v>
      </c>
      <c r="BL159" s="12" t="s">
        <v>322</v>
      </c>
      <c r="BM159" s="12" t="s">
        <v>322</v>
      </c>
      <c r="BN159" s="12" t="s">
        <v>322</v>
      </c>
      <c r="BO159" s="12" t="s">
        <v>322</v>
      </c>
      <c r="BP159" s="12" t="s">
        <v>322</v>
      </c>
      <c r="BQ159" s="12" t="s">
        <v>371</v>
      </c>
      <c r="BR159" s="12" t="s">
        <v>371</v>
      </c>
      <c r="BS159" s="12" t="s">
        <v>280</v>
      </c>
      <c r="BT159" s="12" t="s">
        <v>280</v>
      </c>
      <c r="BU159" s="12" t="s">
        <v>280</v>
      </c>
      <c r="BV159" s="12" t="s">
        <v>550</v>
      </c>
      <c r="BW159" s="12" t="s">
        <v>550</v>
      </c>
      <c r="BX159" s="12" t="s">
        <v>550</v>
      </c>
      <c r="BY159" s="12" t="s">
        <v>550</v>
      </c>
      <c r="BZ159" s="12" t="s">
        <v>550</v>
      </c>
      <c r="CA159" s="12" t="s">
        <v>550</v>
      </c>
      <c r="CB159" s="12" t="s">
        <v>550</v>
      </c>
      <c r="CC159" s="12" t="s">
        <v>550</v>
      </c>
      <c r="CD159" s="12" t="s">
        <v>550</v>
      </c>
      <c r="CE159" s="12" t="s">
        <v>281</v>
      </c>
      <c r="CF159" s="12" t="s">
        <v>281</v>
      </c>
      <c r="CG159" s="12" t="s">
        <v>281</v>
      </c>
      <c r="CH159" s="12" t="s">
        <v>281</v>
      </c>
      <c r="CI159" s="12" t="s">
        <v>281</v>
      </c>
      <c r="CJ159" s="12" t="s">
        <v>281</v>
      </c>
      <c r="CK159" s="12" t="s">
        <v>281</v>
      </c>
      <c r="CL159" s="12" t="s">
        <v>281</v>
      </c>
      <c r="CM159" s="12" t="s">
        <v>281</v>
      </c>
      <c r="CN159" s="12" t="s">
        <v>281</v>
      </c>
      <c r="CO159" s="12" t="s">
        <v>281</v>
      </c>
      <c r="CP159" s="12" t="s">
        <v>281</v>
      </c>
      <c r="CQ159" s="12" t="s">
        <v>281</v>
      </c>
      <c r="CR159" s="12" t="s">
        <v>281</v>
      </c>
      <c r="CS159" s="12" t="s">
        <v>281</v>
      </c>
      <c r="CT159" s="12" t="s">
        <v>281</v>
      </c>
      <c r="CU159" s="12" t="s">
        <v>281</v>
      </c>
      <c r="CV159" s="12" t="s">
        <v>281</v>
      </c>
      <c r="CW159" s="12" t="s">
        <v>281</v>
      </c>
      <c r="CX159" s="12" t="s">
        <v>281</v>
      </c>
    </row>
    <row r="160" spans="1:102" hidden="1" x14ac:dyDescent="0.3">
      <c r="A160" s="12" t="s">
        <v>12</v>
      </c>
      <c r="B160" s="12" t="s">
        <v>2926</v>
      </c>
      <c r="C160" s="12" t="s">
        <v>2927</v>
      </c>
      <c r="D160" s="12" t="s">
        <v>2928</v>
      </c>
      <c r="E160" s="12" t="s">
        <v>277</v>
      </c>
      <c r="F160" s="12" t="s">
        <v>277</v>
      </c>
      <c r="G160" s="12" t="s">
        <v>277</v>
      </c>
      <c r="H160" s="12" t="s">
        <v>277</v>
      </c>
      <c r="I160" s="12" t="s">
        <v>277</v>
      </c>
      <c r="J160" s="12" t="s">
        <v>277</v>
      </c>
      <c r="K160" s="12" t="s">
        <v>277</v>
      </c>
      <c r="L160" s="12" t="s">
        <v>277</v>
      </c>
      <c r="M160" s="12" t="s">
        <v>277</v>
      </c>
      <c r="N160" s="12" t="s">
        <v>277</v>
      </c>
      <c r="O160" s="12" t="s">
        <v>277</v>
      </c>
      <c r="P160" s="12" t="s">
        <v>277</v>
      </c>
      <c r="Q160" s="12" t="s">
        <v>277</v>
      </c>
      <c r="R160" s="12" t="s">
        <v>277</v>
      </c>
      <c r="S160" s="12" t="s">
        <v>277</v>
      </c>
      <c r="T160" s="12" t="s">
        <v>277</v>
      </c>
      <c r="U160" s="12" t="s">
        <v>277</v>
      </c>
      <c r="V160" s="12" t="s">
        <v>277</v>
      </c>
      <c r="W160" s="12" t="s">
        <v>277</v>
      </c>
      <c r="X160" s="12" t="s">
        <v>277</v>
      </c>
      <c r="Y160" s="12" t="s">
        <v>277</v>
      </c>
      <c r="Z160" s="12" t="s">
        <v>277</v>
      </c>
      <c r="AA160" s="12" t="s">
        <v>277</v>
      </c>
      <c r="AB160" s="12" t="s">
        <v>277</v>
      </c>
      <c r="AC160" s="12" t="s">
        <v>277</v>
      </c>
      <c r="AD160" s="12" t="s">
        <v>277</v>
      </c>
      <c r="AE160" s="12" t="s">
        <v>277</v>
      </c>
      <c r="AF160" s="12" t="s">
        <v>277</v>
      </c>
      <c r="AG160" s="12" t="s">
        <v>277</v>
      </c>
      <c r="AH160" s="12" t="s">
        <v>277</v>
      </c>
      <c r="AI160" s="12" t="s">
        <v>277</v>
      </c>
      <c r="AJ160" s="12" t="s">
        <v>277</v>
      </c>
      <c r="AK160" s="12" t="s">
        <v>277</v>
      </c>
      <c r="AL160" s="12" t="s">
        <v>277</v>
      </c>
      <c r="AM160" s="12" t="s">
        <v>277</v>
      </c>
      <c r="AN160" s="12" t="s">
        <v>277</v>
      </c>
      <c r="AO160" s="12" t="s">
        <v>277</v>
      </c>
      <c r="AP160" s="12" t="s">
        <v>277</v>
      </c>
      <c r="AQ160" s="12" t="s">
        <v>277</v>
      </c>
      <c r="AR160" s="12" t="s">
        <v>277</v>
      </c>
      <c r="AS160" s="12" t="s">
        <v>277</v>
      </c>
      <c r="AT160" s="12" t="s">
        <v>277</v>
      </c>
      <c r="AU160" s="12" t="s">
        <v>277</v>
      </c>
      <c r="AV160" s="12" t="s">
        <v>277</v>
      </c>
      <c r="AW160" s="12" t="s">
        <v>277</v>
      </c>
      <c r="AX160" s="12" t="s">
        <v>277</v>
      </c>
      <c r="AY160" s="12" t="s">
        <v>277</v>
      </c>
      <c r="AZ160" s="12" t="s">
        <v>277</v>
      </c>
      <c r="BA160" s="12" t="s">
        <v>277</v>
      </c>
      <c r="BB160" s="12" t="s">
        <v>277</v>
      </c>
      <c r="BC160" s="12" t="s">
        <v>277</v>
      </c>
      <c r="BD160" s="12" t="s">
        <v>277</v>
      </c>
      <c r="BE160" s="12" t="s">
        <v>277</v>
      </c>
      <c r="BF160" s="12" t="s">
        <v>277</v>
      </c>
      <c r="BG160" s="12" t="s">
        <v>277</v>
      </c>
      <c r="BH160" s="12" t="s">
        <v>277</v>
      </c>
      <c r="BI160" s="12" t="s">
        <v>371</v>
      </c>
      <c r="BJ160" s="12" t="s">
        <v>371</v>
      </c>
      <c r="BK160" s="12" t="s">
        <v>324</v>
      </c>
      <c r="BL160" s="12" t="s">
        <v>455</v>
      </c>
      <c r="BM160" s="12" t="s">
        <v>568</v>
      </c>
      <c r="BN160" s="12" t="s">
        <v>670</v>
      </c>
      <c r="BO160" s="12" t="s">
        <v>328</v>
      </c>
      <c r="BP160" s="12" t="s">
        <v>377</v>
      </c>
      <c r="BQ160" s="12" t="s">
        <v>883</v>
      </c>
      <c r="BR160" s="12" t="s">
        <v>290</v>
      </c>
      <c r="BS160" s="12" t="s">
        <v>562</v>
      </c>
      <c r="BT160" s="12" t="s">
        <v>959</v>
      </c>
      <c r="BU160" s="12" t="s">
        <v>472</v>
      </c>
      <c r="BV160" s="12" t="s">
        <v>1519</v>
      </c>
      <c r="BW160" s="12" t="s">
        <v>1787</v>
      </c>
      <c r="BX160" s="12" t="s">
        <v>681</v>
      </c>
      <c r="BY160" s="12" t="s">
        <v>339</v>
      </c>
      <c r="BZ160" s="12" t="s">
        <v>1835</v>
      </c>
      <c r="CA160" s="12" t="s">
        <v>1537</v>
      </c>
      <c r="CB160" s="12" t="s">
        <v>1207</v>
      </c>
      <c r="CC160" s="12" t="s">
        <v>963</v>
      </c>
      <c r="CD160" s="12" t="s">
        <v>296</v>
      </c>
      <c r="CE160" s="12" t="s">
        <v>909</v>
      </c>
      <c r="CF160" s="12" t="s">
        <v>1095</v>
      </c>
      <c r="CG160" s="12" t="s">
        <v>622</v>
      </c>
      <c r="CH160" s="12" t="s">
        <v>2929</v>
      </c>
      <c r="CI160" s="12" t="s">
        <v>2929</v>
      </c>
      <c r="CJ160" s="12" t="s">
        <v>2929</v>
      </c>
      <c r="CK160" s="12" t="s">
        <v>2929</v>
      </c>
      <c r="CL160" s="12" t="s">
        <v>2929</v>
      </c>
      <c r="CM160" s="12" t="s">
        <v>2929</v>
      </c>
      <c r="CN160" s="12" t="s">
        <v>1531</v>
      </c>
      <c r="CO160" s="12" t="s">
        <v>1441</v>
      </c>
      <c r="CP160" s="12" t="s">
        <v>1441</v>
      </c>
      <c r="CQ160" s="12" t="s">
        <v>1441</v>
      </c>
      <c r="CR160" s="12" t="s">
        <v>518</v>
      </c>
      <c r="CS160" s="12" t="s">
        <v>1064</v>
      </c>
      <c r="CT160" s="12" t="s">
        <v>1064</v>
      </c>
      <c r="CU160" s="12" t="s">
        <v>1064</v>
      </c>
      <c r="CV160" s="12" t="s">
        <v>1660</v>
      </c>
      <c r="CW160" s="12" t="s">
        <v>428</v>
      </c>
      <c r="CX160" s="12" t="s">
        <v>428</v>
      </c>
    </row>
    <row r="161" spans="1:102" hidden="1" x14ac:dyDescent="0.3">
      <c r="A161" s="12" t="s">
        <v>12</v>
      </c>
      <c r="B161" s="12" t="s">
        <v>2930</v>
      </c>
      <c r="C161" s="12" t="s">
        <v>2931</v>
      </c>
      <c r="D161" s="12" t="s">
        <v>2932</v>
      </c>
      <c r="E161" s="12" t="s">
        <v>277</v>
      </c>
      <c r="F161" s="12" t="s">
        <v>277</v>
      </c>
      <c r="G161" s="12" t="s">
        <v>277</v>
      </c>
      <c r="H161" s="12" t="s">
        <v>277</v>
      </c>
      <c r="I161" s="12" t="s">
        <v>277</v>
      </c>
      <c r="J161" s="12" t="s">
        <v>277</v>
      </c>
      <c r="K161" s="12" t="s">
        <v>277</v>
      </c>
      <c r="L161" s="12" t="s">
        <v>277</v>
      </c>
      <c r="M161" s="12" t="s">
        <v>277</v>
      </c>
      <c r="N161" s="12" t="s">
        <v>277</v>
      </c>
      <c r="O161" s="12" t="s">
        <v>277</v>
      </c>
      <c r="P161" s="12" t="s">
        <v>277</v>
      </c>
      <c r="Q161" s="12" t="s">
        <v>277</v>
      </c>
      <c r="R161" s="12" t="s">
        <v>277</v>
      </c>
      <c r="S161" s="12" t="s">
        <v>277</v>
      </c>
      <c r="T161" s="12" t="s">
        <v>277</v>
      </c>
      <c r="U161" s="12" t="s">
        <v>277</v>
      </c>
      <c r="V161" s="12" t="s">
        <v>277</v>
      </c>
      <c r="W161" s="12" t="s">
        <v>277</v>
      </c>
      <c r="X161" s="12" t="s">
        <v>277</v>
      </c>
      <c r="Y161" s="12" t="s">
        <v>277</v>
      </c>
      <c r="Z161" s="12" t="s">
        <v>277</v>
      </c>
      <c r="AA161" s="12" t="s">
        <v>277</v>
      </c>
      <c r="AB161" s="12" t="s">
        <v>277</v>
      </c>
      <c r="AC161" s="12" t="s">
        <v>277</v>
      </c>
      <c r="AD161" s="12" t="s">
        <v>277</v>
      </c>
      <c r="AE161" s="12" t="s">
        <v>277</v>
      </c>
      <c r="AF161" s="12" t="s">
        <v>277</v>
      </c>
      <c r="AG161" s="12" t="s">
        <v>277</v>
      </c>
      <c r="AH161" s="12" t="s">
        <v>277</v>
      </c>
      <c r="AI161" s="12" t="s">
        <v>277</v>
      </c>
      <c r="AJ161" s="12" t="s">
        <v>277</v>
      </c>
      <c r="AK161" s="12" t="s">
        <v>277</v>
      </c>
      <c r="AL161" s="12" t="s">
        <v>277</v>
      </c>
      <c r="AM161" s="12" t="s">
        <v>277</v>
      </c>
      <c r="AN161" s="12" t="s">
        <v>277</v>
      </c>
      <c r="AO161" s="12" t="s">
        <v>277</v>
      </c>
      <c r="AP161" s="12" t="s">
        <v>278</v>
      </c>
      <c r="AQ161" s="12" t="s">
        <v>279</v>
      </c>
      <c r="AR161" s="12" t="s">
        <v>280</v>
      </c>
      <c r="AS161" s="12" t="s">
        <v>280</v>
      </c>
      <c r="AT161" s="12" t="s">
        <v>280</v>
      </c>
      <c r="AU161" s="12" t="s">
        <v>280</v>
      </c>
      <c r="AV161" s="12" t="s">
        <v>280</v>
      </c>
      <c r="AW161" s="12" t="s">
        <v>550</v>
      </c>
      <c r="AX161" s="12" t="s">
        <v>550</v>
      </c>
      <c r="AY161" s="12" t="s">
        <v>281</v>
      </c>
      <c r="AZ161" s="12" t="s">
        <v>281</v>
      </c>
      <c r="BA161" s="12" t="s">
        <v>281</v>
      </c>
      <c r="BB161" s="12" t="s">
        <v>454</v>
      </c>
      <c r="BC161" s="12" t="s">
        <v>324</v>
      </c>
      <c r="BD161" s="12" t="s">
        <v>375</v>
      </c>
      <c r="BE161" s="12" t="s">
        <v>745</v>
      </c>
      <c r="BF161" s="12" t="s">
        <v>418</v>
      </c>
      <c r="BG161" s="12" t="s">
        <v>675</v>
      </c>
      <c r="BH161" s="12" t="s">
        <v>557</v>
      </c>
      <c r="BI161" s="12" t="s">
        <v>1199</v>
      </c>
      <c r="BJ161" s="12" t="s">
        <v>423</v>
      </c>
      <c r="BK161" s="12" t="s">
        <v>1186</v>
      </c>
      <c r="BL161" s="12" t="s">
        <v>1515</v>
      </c>
      <c r="BM161" s="12" t="s">
        <v>1308</v>
      </c>
      <c r="BN161" s="12" t="s">
        <v>300</v>
      </c>
      <c r="BO161" s="12" t="s">
        <v>1776</v>
      </c>
      <c r="BP161" s="12" t="s">
        <v>357</v>
      </c>
      <c r="BQ161" s="12" t="s">
        <v>1409</v>
      </c>
      <c r="BR161" s="12" t="s">
        <v>448</v>
      </c>
      <c r="BS161" s="12" t="s">
        <v>1128</v>
      </c>
      <c r="BT161" s="12" t="s">
        <v>2807</v>
      </c>
      <c r="BU161" s="12" t="s">
        <v>2933</v>
      </c>
      <c r="BV161" s="12" t="s">
        <v>1818</v>
      </c>
      <c r="BW161" s="12" t="s">
        <v>1476</v>
      </c>
      <c r="BX161" s="12" t="s">
        <v>2934</v>
      </c>
      <c r="BY161" s="12" t="s">
        <v>2935</v>
      </c>
      <c r="BZ161" s="12" t="s">
        <v>2936</v>
      </c>
      <c r="CA161" s="12" t="s">
        <v>2937</v>
      </c>
      <c r="CB161" s="12" t="s">
        <v>2938</v>
      </c>
      <c r="CC161" s="12" t="s">
        <v>2939</v>
      </c>
      <c r="CD161" s="12" t="s">
        <v>2940</v>
      </c>
      <c r="CE161" s="12" t="s">
        <v>2941</v>
      </c>
      <c r="CF161" s="12" t="s">
        <v>2942</v>
      </c>
      <c r="CG161" s="12" t="s">
        <v>2943</v>
      </c>
      <c r="CH161" s="12" t="s">
        <v>2944</v>
      </c>
      <c r="CI161" s="12" t="s">
        <v>2945</v>
      </c>
      <c r="CJ161" s="12" t="s">
        <v>2946</v>
      </c>
      <c r="CK161" s="12" t="s">
        <v>2947</v>
      </c>
      <c r="CL161" s="12" t="s">
        <v>2948</v>
      </c>
      <c r="CM161" s="12" t="s">
        <v>2949</v>
      </c>
      <c r="CN161" s="12" t="s">
        <v>2950</v>
      </c>
      <c r="CO161" s="12" t="s">
        <v>2951</v>
      </c>
      <c r="CP161" s="12" t="s">
        <v>2952</v>
      </c>
      <c r="CQ161" s="12" t="s">
        <v>2953</v>
      </c>
      <c r="CR161" s="12" t="s">
        <v>4229</v>
      </c>
      <c r="CS161" s="12" t="s">
        <v>2954</v>
      </c>
      <c r="CT161" s="12" t="s">
        <v>4230</v>
      </c>
      <c r="CU161" s="12" t="s">
        <v>4231</v>
      </c>
      <c r="CV161" s="12" t="s">
        <v>4232</v>
      </c>
      <c r="CW161" s="12" t="s">
        <v>4233</v>
      </c>
      <c r="CX161" s="12" t="s">
        <v>4234</v>
      </c>
    </row>
    <row r="162" spans="1:102" hidden="1" x14ac:dyDescent="0.3">
      <c r="A162" s="12" t="s">
        <v>12</v>
      </c>
      <c r="B162" s="12" t="s">
        <v>2955</v>
      </c>
      <c r="C162" s="12" t="s">
        <v>2956</v>
      </c>
      <c r="D162" s="12" t="s">
        <v>2957</v>
      </c>
      <c r="E162" s="12" t="s">
        <v>277</v>
      </c>
      <c r="F162" s="12" t="s">
        <v>277</v>
      </c>
      <c r="G162" s="12" t="s">
        <v>277</v>
      </c>
      <c r="H162" s="12" t="s">
        <v>277</v>
      </c>
      <c r="I162" s="12" t="s">
        <v>277</v>
      </c>
      <c r="J162" s="12" t="s">
        <v>277</v>
      </c>
      <c r="K162" s="12" t="s">
        <v>277</v>
      </c>
      <c r="L162" s="12" t="s">
        <v>277</v>
      </c>
      <c r="M162" s="12" t="s">
        <v>277</v>
      </c>
      <c r="N162" s="12" t="s">
        <v>277</v>
      </c>
      <c r="O162" s="12" t="s">
        <v>277</v>
      </c>
      <c r="P162" s="12" t="s">
        <v>277</v>
      </c>
      <c r="Q162" s="12" t="s">
        <v>277</v>
      </c>
      <c r="R162" s="12" t="s">
        <v>277</v>
      </c>
      <c r="S162" s="12" t="s">
        <v>277</v>
      </c>
      <c r="T162" s="12" t="s">
        <v>277</v>
      </c>
      <c r="U162" s="12" t="s">
        <v>277</v>
      </c>
      <c r="V162" s="12" t="s">
        <v>277</v>
      </c>
      <c r="W162" s="12" t="s">
        <v>277</v>
      </c>
      <c r="X162" s="12" t="s">
        <v>277</v>
      </c>
      <c r="Y162" s="12" t="s">
        <v>277</v>
      </c>
      <c r="Z162" s="12" t="s">
        <v>277</v>
      </c>
      <c r="AA162" s="12" t="s">
        <v>277</v>
      </c>
      <c r="AB162" s="12" t="s">
        <v>277</v>
      </c>
      <c r="AC162" s="12" t="s">
        <v>277</v>
      </c>
      <c r="AD162" s="12" t="s">
        <v>277</v>
      </c>
      <c r="AE162" s="12" t="s">
        <v>277</v>
      </c>
      <c r="AF162" s="12" t="s">
        <v>277</v>
      </c>
      <c r="AG162" s="12" t="s">
        <v>277</v>
      </c>
      <c r="AH162" s="12" t="s">
        <v>277</v>
      </c>
      <c r="AI162" s="12" t="s">
        <v>277</v>
      </c>
      <c r="AJ162" s="12" t="s">
        <v>277</v>
      </c>
      <c r="AK162" s="12" t="s">
        <v>277</v>
      </c>
      <c r="AL162" s="12" t="s">
        <v>277</v>
      </c>
      <c r="AM162" s="12" t="s">
        <v>277</v>
      </c>
      <c r="AN162" s="12" t="s">
        <v>277</v>
      </c>
      <c r="AO162" s="12" t="s">
        <v>277</v>
      </c>
      <c r="AP162" s="12" t="s">
        <v>277</v>
      </c>
      <c r="AQ162" s="12" t="s">
        <v>277</v>
      </c>
      <c r="AR162" s="12" t="s">
        <v>277</v>
      </c>
      <c r="AS162" s="12" t="s">
        <v>277</v>
      </c>
      <c r="AT162" s="12" t="s">
        <v>277</v>
      </c>
      <c r="AU162" s="12" t="s">
        <v>277</v>
      </c>
      <c r="AV162" s="12" t="s">
        <v>277</v>
      </c>
      <c r="AW162" s="12" t="s">
        <v>277</v>
      </c>
      <c r="AX162" s="12" t="s">
        <v>277</v>
      </c>
      <c r="AY162" s="12" t="s">
        <v>278</v>
      </c>
      <c r="AZ162" s="12" t="s">
        <v>278</v>
      </c>
      <c r="BA162" s="12" t="s">
        <v>371</v>
      </c>
      <c r="BB162" s="12" t="s">
        <v>371</v>
      </c>
      <c r="BC162" s="12" t="s">
        <v>371</v>
      </c>
      <c r="BD162" s="12" t="s">
        <v>550</v>
      </c>
      <c r="BE162" s="12" t="s">
        <v>324</v>
      </c>
      <c r="BF162" s="12" t="s">
        <v>325</v>
      </c>
      <c r="BG162" s="12" t="s">
        <v>325</v>
      </c>
      <c r="BH162" s="12" t="s">
        <v>1716</v>
      </c>
      <c r="BI162" s="12" t="s">
        <v>1716</v>
      </c>
      <c r="BJ162" s="12" t="s">
        <v>690</v>
      </c>
      <c r="BK162" s="12" t="s">
        <v>672</v>
      </c>
      <c r="BL162" s="12" t="s">
        <v>555</v>
      </c>
      <c r="BM162" s="12" t="s">
        <v>290</v>
      </c>
      <c r="BN162" s="12" t="s">
        <v>907</v>
      </c>
      <c r="BO162" s="12" t="s">
        <v>1449</v>
      </c>
      <c r="BP162" s="12" t="s">
        <v>1797</v>
      </c>
      <c r="BQ162" s="12" t="s">
        <v>1229</v>
      </c>
      <c r="BR162" s="12" t="s">
        <v>2058</v>
      </c>
      <c r="BS162" s="12" t="s">
        <v>726</v>
      </c>
      <c r="BT162" s="12" t="s">
        <v>1193</v>
      </c>
      <c r="BU162" s="12" t="s">
        <v>797</v>
      </c>
      <c r="BV162" s="12" t="s">
        <v>576</v>
      </c>
      <c r="BW162" s="12" t="s">
        <v>301</v>
      </c>
      <c r="BX162" s="12" t="s">
        <v>1419</v>
      </c>
      <c r="BY162" s="12" t="s">
        <v>1368</v>
      </c>
      <c r="BZ162" s="12" t="s">
        <v>2958</v>
      </c>
      <c r="CA162" s="12" t="s">
        <v>1984</v>
      </c>
      <c r="CB162" s="12" t="s">
        <v>638</v>
      </c>
      <c r="CC162" s="12" t="s">
        <v>2959</v>
      </c>
      <c r="CD162" s="12" t="s">
        <v>1165</v>
      </c>
      <c r="CE162" s="12" t="s">
        <v>2960</v>
      </c>
      <c r="CF162" s="12" t="s">
        <v>2961</v>
      </c>
      <c r="CG162" s="12" t="s">
        <v>2098</v>
      </c>
      <c r="CH162" s="12" t="s">
        <v>2962</v>
      </c>
      <c r="CI162" s="12" t="s">
        <v>2963</v>
      </c>
      <c r="CJ162" s="12" t="s">
        <v>2964</v>
      </c>
      <c r="CK162" s="12" t="s">
        <v>2965</v>
      </c>
      <c r="CL162" s="12" t="s">
        <v>2966</v>
      </c>
      <c r="CM162" s="12" t="s">
        <v>2967</v>
      </c>
      <c r="CN162" s="12" t="s">
        <v>2968</v>
      </c>
      <c r="CO162" s="12" t="s">
        <v>2969</v>
      </c>
      <c r="CP162" s="12" t="s">
        <v>2970</v>
      </c>
      <c r="CQ162" s="12" t="s">
        <v>2815</v>
      </c>
      <c r="CR162" s="12" t="s">
        <v>2971</v>
      </c>
      <c r="CS162" s="12" t="s">
        <v>601</v>
      </c>
      <c r="CT162" s="12" t="s">
        <v>2972</v>
      </c>
      <c r="CU162" s="12" t="s">
        <v>4235</v>
      </c>
      <c r="CV162" s="12" t="s">
        <v>4236</v>
      </c>
      <c r="CW162" s="12" t="s">
        <v>4237</v>
      </c>
      <c r="CX162" s="12" t="s">
        <v>4238</v>
      </c>
    </row>
    <row r="163" spans="1:102" hidden="1" x14ac:dyDescent="0.3">
      <c r="A163" s="12" t="s">
        <v>12</v>
      </c>
      <c r="B163" s="12" t="s">
        <v>2973</v>
      </c>
      <c r="C163" s="12" t="s">
        <v>2974</v>
      </c>
      <c r="D163" s="12" t="s">
        <v>2975</v>
      </c>
      <c r="E163" s="12" t="s">
        <v>277</v>
      </c>
      <c r="F163" s="12" t="s">
        <v>277</v>
      </c>
      <c r="G163" s="12" t="s">
        <v>277</v>
      </c>
      <c r="H163" s="12" t="s">
        <v>277</v>
      </c>
      <c r="I163" s="12" t="s">
        <v>277</v>
      </c>
      <c r="J163" s="12" t="s">
        <v>277</v>
      </c>
      <c r="K163" s="12" t="s">
        <v>277</v>
      </c>
      <c r="L163" s="12" t="s">
        <v>277</v>
      </c>
      <c r="M163" s="12" t="s">
        <v>277</v>
      </c>
      <c r="N163" s="12" t="s">
        <v>277</v>
      </c>
      <c r="O163" s="12" t="s">
        <v>277</v>
      </c>
      <c r="P163" s="12" t="s">
        <v>277</v>
      </c>
      <c r="Q163" s="12" t="s">
        <v>277</v>
      </c>
      <c r="R163" s="12" t="s">
        <v>277</v>
      </c>
      <c r="S163" s="12" t="s">
        <v>277</v>
      </c>
      <c r="T163" s="12" t="s">
        <v>277</v>
      </c>
      <c r="U163" s="12" t="s">
        <v>277</v>
      </c>
      <c r="V163" s="12" t="s">
        <v>277</v>
      </c>
      <c r="W163" s="12" t="s">
        <v>277</v>
      </c>
      <c r="X163" s="12" t="s">
        <v>277</v>
      </c>
      <c r="Y163" s="12" t="s">
        <v>277</v>
      </c>
      <c r="Z163" s="12" t="s">
        <v>277</v>
      </c>
      <c r="AA163" s="12" t="s">
        <v>277</v>
      </c>
      <c r="AB163" s="12" t="s">
        <v>277</v>
      </c>
      <c r="AC163" s="12" t="s">
        <v>277</v>
      </c>
      <c r="AD163" s="12" t="s">
        <v>277</v>
      </c>
      <c r="AE163" s="12" t="s">
        <v>277</v>
      </c>
      <c r="AF163" s="12" t="s">
        <v>277</v>
      </c>
      <c r="AG163" s="12" t="s">
        <v>277</v>
      </c>
      <c r="AH163" s="12" t="s">
        <v>277</v>
      </c>
      <c r="AI163" s="12" t="s">
        <v>277</v>
      </c>
      <c r="AJ163" s="12" t="s">
        <v>277</v>
      </c>
      <c r="AK163" s="12" t="s">
        <v>277</v>
      </c>
      <c r="AL163" s="12" t="s">
        <v>277</v>
      </c>
      <c r="AM163" s="12" t="s">
        <v>277</v>
      </c>
      <c r="AN163" s="12" t="s">
        <v>277</v>
      </c>
      <c r="AO163" s="12" t="s">
        <v>277</v>
      </c>
      <c r="AP163" s="12" t="s">
        <v>277</v>
      </c>
      <c r="AQ163" s="12" t="s">
        <v>278</v>
      </c>
      <c r="AR163" s="12" t="s">
        <v>278</v>
      </c>
      <c r="AS163" s="12" t="s">
        <v>278</v>
      </c>
      <c r="AT163" s="12" t="s">
        <v>278</v>
      </c>
      <c r="AU163" s="12" t="s">
        <v>278</v>
      </c>
      <c r="AV163" s="12" t="s">
        <v>278</v>
      </c>
      <c r="AW163" s="12" t="s">
        <v>278</v>
      </c>
      <c r="AX163" s="12" t="s">
        <v>278</v>
      </c>
      <c r="AY163" s="12" t="s">
        <v>278</v>
      </c>
      <c r="AZ163" s="12" t="s">
        <v>278</v>
      </c>
      <c r="BA163" s="12" t="s">
        <v>278</v>
      </c>
      <c r="BB163" s="12" t="s">
        <v>278</v>
      </c>
      <c r="BC163" s="12" t="s">
        <v>322</v>
      </c>
      <c r="BD163" s="12" t="s">
        <v>322</v>
      </c>
      <c r="BE163" s="12" t="s">
        <v>322</v>
      </c>
      <c r="BF163" s="12" t="s">
        <v>322</v>
      </c>
      <c r="BG163" s="12" t="s">
        <v>281</v>
      </c>
      <c r="BH163" s="12" t="s">
        <v>281</v>
      </c>
      <c r="BI163" s="12" t="s">
        <v>281</v>
      </c>
      <c r="BJ163" s="12" t="s">
        <v>281</v>
      </c>
      <c r="BK163" s="12" t="s">
        <v>282</v>
      </c>
      <c r="BL163" s="12" t="s">
        <v>282</v>
      </c>
      <c r="BM163" s="12" t="s">
        <v>325</v>
      </c>
      <c r="BN163" s="12" t="s">
        <v>325</v>
      </c>
      <c r="BO163" s="12" t="s">
        <v>325</v>
      </c>
      <c r="BP163" s="12" t="s">
        <v>465</v>
      </c>
      <c r="BQ163" s="12" t="s">
        <v>326</v>
      </c>
      <c r="BR163" s="12" t="s">
        <v>328</v>
      </c>
      <c r="BS163" s="12" t="s">
        <v>328</v>
      </c>
      <c r="BT163" s="12" t="s">
        <v>617</v>
      </c>
      <c r="BU163" s="12" t="s">
        <v>690</v>
      </c>
      <c r="BV163" s="12" t="s">
        <v>508</v>
      </c>
      <c r="BW163" s="12" t="s">
        <v>330</v>
      </c>
      <c r="BX163" s="12" t="s">
        <v>379</v>
      </c>
      <c r="BY163" s="12" t="s">
        <v>332</v>
      </c>
      <c r="BZ163" s="12" t="s">
        <v>672</v>
      </c>
      <c r="CA163" s="12" t="s">
        <v>819</v>
      </c>
      <c r="CB163" s="12" t="s">
        <v>554</v>
      </c>
      <c r="CC163" s="12" t="s">
        <v>470</v>
      </c>
      <c r="CD163" s="12" t="s">
        <v>883</v>
      </c>
      <c r="CE163" s="12" t="s">
        <v>289</v>
      </c>
      <c r="CF163" s="12" t="s">
        <v>381</v>
      </c>
      <c r="CG163" s="12" t="s">
        <v>570</v>
      </c>
      <c r="CH163" s="12" t="s">
        <v>557</v>
      </c>
      <c r="CI163" s="12" t="s">
        <v>557</v>
      </c>
      <c r="CJ163" s="12" t="s">
        <v>557</v>
      </c>
      <c r="CK163" s="12" t="s">
        <v>557</v>
      </c>
      <c r="CL163" s="12" t="s">
        <v>557</v>
      </c>
      <c r="CM163" s="12" t="s">
        <v>290</v>
      </c>
      <c r="CN163" s="12" t="s">
        <v>290</v>
      </c>
      <c r="CO163" s="12" t="s">
        <v>290</v>
      </c>
      <c r="CP163" s="12" t="s">
        <v>290</v>
      </c>
      <c r="CQ163" s="12" t="s">
        <v>290</v>
      </c>
      <c r="CR163" s="12" t="s">
        <v>290</v>
      </c>
      <c r="CS163" s="12" t="s">
        <v>290</v>
      </c>
      <c r="CT163" s="12" t="s">
        <v>290</v>
      </c>
      <c r="CU163" s="12" t="s">
        <v>290</v>
      </c>
      <c r="CV163" s="12" t="s">
        <v>290</v>
      </c>
      <c r="CW163" s="12" t="s">
        <v>824</v>
      </c>
      <c r="CX163" s="12" t="s">
        <v>824</v>
      </c>
    </row>
    <row r="164" spans="1:102" hidden="1" x14ac:dyDescent="0.3">
      <c r="A164" s="12" t="s">
        <v>12</v>
      </c>
      <c r="B164" s="12" t="s">
        <v>2976</v>
      </c>
      <c r="C164" s="12" t="s">
        <v>2977</v>
      </c>
      <c r="D164" s="12" t="s">
        <v>2978</v>
      </c>
      <c r="E164" s="12" t="s">
        <v>277</v>
      </c>
      <c r="F164" s="12" t="s">
        <v>277</v>
      </c>
      <c r="G164" s="12" t="s">
        <v>277</v>
      </c>
      <c r="H164" s="12" t="s">
        <v>277</v>
      </c>
      <c r="I164" s="12" t="s">
        <v>277</v>
      </c>
      <c r="J164" s="12" t="s">
        <v>277</v>
      </c>
      <c r="K164" s="12" t="s">
        <v>277</v>
      </c>
      <c r="L164" s="12" t="s">
        <v>277</v>
      </c>
      <c r="M164" s="12" t="s">
        <v>277</v>
      </c>
      <c r="N164" s="12" t="s">
        <v>277</v>
      </c>
      <c r="O164" s="12" t="s">
        <v>277</v>
      </c>
      <c r="P164" s="12" t="s">
        <v>277</v>
      </c>
      <c r="Q164" s="12" t="s">
        <v>277</v>
      </c>
      <c r="R164" s="12" t="s">
        <v>277</v>
      </c>
      <c r="S164" s="12" t="s">
        <v>277</v>
      </c>
      <c r="T164" s="12" t="s">
        <v>277</v>
      </c>
      <c r="U164" s="12" t="s">
        <v>277</v>
      </c>
      <c r="V164" s="12" t="s">
        <v>277</v>
      </c>
      <c r="W164" s="12" t="s">
        <v>277</v>
      </c>
      <c r="X164" s="12" t="s">
        <v>277</v>
      </c>
      <c r="Y164" s="12" t="s">
        <v>277</v>
      </c>
      <c r="Z164" s="12" t="s">
        <v>277</v>
      </c>
      <c r="AA164" s="12" t="s">
        <v>277</v>
      </c>
      <c r="AB164" s="12" t="s">
        <v>277</v>
      </c>
      <c r="AC164" s="12" t="s">
        <v>277</v>
      </c>
      <c r="AD164" s="12" t="s">
        <v>277</v>
      </c>
      <c r="AE164" s="12" t="s">
        <v>277</v>
      </c>
      <c r="AF164" s="12" t="s">
        <v>277</v>
      </c>
      <c r="AG164" s="12" t="s">
        <v>277</v>
      </c>
      <c r="AH164" s="12" t="s">
        <v>277</v>
      </c>
      <c r="AI164" s="12" t="s">
        <v>277</v>
      </c>
      <c r="AJ164" s="12" t="s">
        <v>277</v>
      </c>
      <c r="AK164" s="12" t="s">
        <v>277</v>
      </c>
      <c r="AL164" s="12" t="s">
        <v>277</v>
      </c>
      <c r="AM164" s="12" t="s">
        <v>277</v>
      </c>
      <c r="AN164" s="12" t="s">
        <v>277</v>
      </c>
      <c r="AO164" s="12" t="s">
        <v>277</v>
      </c>
      <c r="AP164" s="12" t="s">
        <v>277</v>
      </c>
      <c r="AQ164" s="12" t="s">
        <v>277</v>
      </c>
      <c r="AR164" s="12" t="s">
        <v>277</v>
      </c>
      <c r="AS164" s="12" t="s">
        <v>277</v>
      </c>
      <c r="AT164" s="12" t="s">
        <v>277</v>
      </c>
      <c r="AU164" s="12" t="s">
        <v>277</v>
      </c>
      <c r="AV164" s="12" t="s">
        <v>277</v>
      </c>
      <c r="AW164" s="12" t="s">
        <v>277</v>
      </c>
      <c r="AX164" s="12" t="s">
        <v>277</v>
      </c>
      <c r="AY164" s="12" t="s">
        <v>277</v>
      </c>
      <c r="AZ164" s="12" t="s">
        <v>277</v>
      </c>
      <c r="BA164" s="12" t="s">
        <v>278</v>
      </c>
      <c r="BB164" s="12" t="s">
        <v>278</v>
      </c>
      <c r="BC164" s="12" t="s">
        <v>278</v>
      </c>
      <c r="BD164" s="12" t="s">
        <v>278</v>
      </c>
      <c r="BE164" s="12" t="s">
        <v>278</v>
      </c>
      <c r="BF164" s="12" t="s">
        <v>278</v>
      </c>
      <c r="BG164" s="12" t="s">
        <v>278</v>
      </c>
      <c r="BH164" s="12" t="s">
        <v>280</v>
      </c>
      <c r="BI164" s="12" t="s">
        <v>550</v>
      </c>
      <c r="BJ164" s="12" t="s">
        <v>550</v>
      </c>
      <c r="BK164" s="12" t="s">
        <v>550</v>
      </c>
      <c r="BL164" s="12" t="s">
        <v>323</v>
      </c>
      <c r="BM164" s="12" t="s">
        <v>323</v>
      </c>
      <c r="BN164" s="12" t="s">
        <v>323</v>
      </c>
      <c r="BO164" s="12" t="s">
        <v>323</v>
      </c>
      <c r="BP164" s="12" t="s">
        <v>323</v>
      </c>
      <c r="BQ164" s="12" t="s">
        <v>282</v>
      </c>
      <c r="BR164" s="12" t="s">
        <v>282</v>
      </c>
      <c r="BS164" s="12" t="s">
        <v>324</v>
      </c>
      <c r="BT164" s="12" t="s">
        <v>324</v>
      </c>
      <c r="BU164" s="12" t="s">
        <v>324</v>
      </c>
      <c r="BV164" s="12" t="s">
        <v>324</v>
      </c>
      <c r="BW164" s="12" t="s">
        <v>455</v>
      </c>
      <c r="BX164" s="12" t="s">
        <v>455</v>
      </c>
      <c r="BY164" s="12" t="s">
        <v>455</v>
      </c>
      <c r="BZ164" s="12" t="s">
        <v>455</v>
      </c>
      <c r="CA164" s="12" t="s">
        <v>455</v>
      </c>
      <c r="CB164" s="12" t="s">
        <v>461</v>
      </c>
      <c r="CC164" s="12" t="s">
        <v>461</v>
      </c>
      <c r="CD164" s="12" t="s">
        <v>283</v>
      </c>
      <c r="CE164" s="12" t="s">
        <v>283</v>
      </c>
      <c r="CF164" s="12" t="s">
        <v>283</v>
      </c>
      <c r="CG164" s="12" t="s">
        <v>283</v>
      </c>
      <c r="CH164" s="12" t="s">
        <v>283</v>
      </c>
      <c r="CI164" s="12" t="s">
        <v>372</v>
      </c>
      <c r="CJ164" s="12" t="s">
        <v>1716</v>
      </c>
      <c r="CK164" s="12" t="s">
        <v>1716</v>
      </c>
      <c r="CL164" s="12" t="s">
        <v>465</v>
      </c>
      <c r="CM164" s="12" t="s">
        <v>465</v>
      </c>
      <c r="CN164" s="12" t="s">
        <v>465</v>
      </c>
      <c r="CO164" s="12" t="s">
        <v>551</v>
      </c>
      <c r="CP164" s="12" t="s">
        <v>326</v>
      </c>
      <c r="CQ164" s="12" t="s">
        <v>466</v>
      </c>
      <c r="CR164" s="12" t="s">
        <v>616</v>
      </c>
      <c r="CS164" s="12" t="s">
        <v>670</v>
      </c>
      <c r="CT164" s="12" t="s">
        <v>376</v>
      </c>
      <c r="CU164" s="12" t="s">
        <v>376</v>
      </c>
      <c r="CV164" s="12" t="s">
        <v>327</v>
      </c>
      <c r="CW164" s="12" t="s">
        <v>327</v>
      </c>
      <c r="CX164" s="12" t="s">
        <v>327</v>
      </c>
    </row>
    <row r="165" spans="1:102" hidden="1" x14ac:dyDescent="0.3">
      <c r="A165" s="12" t="s">
        <v>12</v>
      </c>
      <c r="B165" s="12" t="s">
        <v>2979</v>
      </c>
      <c r="C165" s="12" t="s">
        <v>2980</v>
      </c>
      <c r="D165" s="12" t="s">
        <v>2981</v>
      </c>
      <c r="E165" s="12" t="s">
        <v>277</v>
      </c>
      <c r="F165" s="12" t="s">
        <v>277</v>
      </c>
      <c r="G165" s="12" t="s">
        <v>277</v>
      </c>
      <c r="H165" s="12" t="s">
        <v>277</v>
      </c>
      <c r="I165" s="12" t="s">
        <v>277</v>
      </c>
      <c r="J165" s="12" t="s">
        <v>277</v>
      </c>
      <c r="K165" s="12" t="s">
        <v>277</v>
      </c>
      <c r="L165" s="12" t="s">
        <v>277</v>
      </c>
      <c r="M165" s="12" t="s">
        <v>277</v>
      </c>
      <c r="N165" s="12" t="s">
        <v>277</v>
      </c>
      <c r="O165" s="12" t="s">
        <v>277</v>
      </c>
      <c r="P165" s="12" t="s">
        <v>277</v>
      </c>
      <c r="Q165" s="12" t="s">
        <v>277</v>
      </c>
      <c r="R165" s="12" t="s">
        <v>277</v>
      </c>
      <c r="S165" s="12" t="s">
        <v>277</v>
      </c>
      <c r="T165" s="12" t="s">
        <v>277</v>
      </c>
      <c r="U165" s="12" t="s">
        <v>277</v>
      </c>
      <c r="V165" s="12" t="s">
        <v>277</v>
      </c>
      <c r="W165" s="12" t="s">
        <v>277</v>
      </c>
      <c r="X165" s="12" t="s">
        <v>277</v>
      </c>
      <c r="Y165" s="12" t="s">
        <v>277</v>
      </c>
      <c r="Z165" s="12" t="s">
        <v>277</v>
      </c>
      <c r="AA165" s="12" t="s">
        <v>277</v>
      </c>
      <c r="AB165" s="12" t="s">
        <v>277</v>
      </c>
      <c r="AC165" s="12" t="s">
        <v>277</v>
      </c>
      <c r="AD165" s="12" t="s">
        <v>277</v>
      </c>
      <c r="AE165" s="12" t="s">
        <v>277</v>
      </c>
      <c r="AF165" s="12" t="s">
        <v>277</v>
      </c>
      <c r="AG165" s="12" t="s">
        <v>277</v>
      </c>
      <c r="AH165" s="12" t="s">
        <v>277</v>
      </c>
      <c r="AI165" s="12" t="s">
        <v>277</v>
      </c>
      <c r="AJ165" s="12" t="s">
        <v>277</v>
      </c>
      <c r="AK165" s="12" t="s">
        <v>277</v>
      </c>
      <c r="AL165" s="12" t="s">
        <v>277</v>
      </c>
      <c r="AM165" s="12" t="s">
        <v>277</v>
      </c>
      <c r="AN165" s="12" t="s">
        <v>277</v>
      </c>
      <c r="AO165" s="12" t="s">
        <v>277</v>
      </c>
      <c r="AP165" s="12" t="s">
        <v>277</v>
      </c>
      <c r="AQ165" s="12" t="s">
        <v>277</v>
      </c>
      <c r="AR165" s="12" t="s">
        <v>277</v>
      </c>
      <c r="AS165" s="12" t="s">
        <v>277</v>
      </c>
      <c r="AT165" s="12" t="s">
        <v>277</v>
      </c>
      <c r="AU165" s="12" t="s">
        <v>277</v>
      </c>
      <c r="AV165" s="12" t="s">
        <v>277</v>
      </c>
      <c r="AW165" s="12" t="s">
        <v>277</v>
      </c>
      <c r="AX165" s="12" t="s">
        <v>277</v>
      </c>
      <c r="AY165" s="12" t="s">
        <v>277</v>
      </c>
      <c r="AZ165" s="12" t="s">
        <v>277</v>
      </c>
      <c r="BA165" s="12" t="s">
        <v>277</v>
      </c>
      <c r="BB165" s="12" t="s">
        <v>277</v>
      </c>
      <c r="BC165" s="12" t="s">
        <v>277</v>
      </c>
      <c r="BD165" s="12" t="s">
        <v>277</v>
      </c>
      <c r="BE165" s="12" t="s">
        <v>277</v>
      </c>
      <c r="BF165" s="12" t="s">
        <v>277</v>
      </c>
      <c r="BG165" s="12" t="s">
        <v>277</v>
      </c>
      <c r="BH165" s="12" t="s">
        <v>322</v>
      </c>
      <c r="BI165" s="12" t="s">
        <v>322</v>
      </c>
      <c r="BJ165" s="12" t="s">
        <v>371</v>
      </c>
      <c r="BK165" s="12" t="s">
        <v>455</v>
      </c>
      <c r="BL165" s="12" t="s">
        <v>455</v>
      </c>
      <c r="BM165" s="12" t="s">
        <v>284</v>
      </c>
      <c r="BN165" s="12" t="s">
        <v>612</v>
      </c>
      <c r="BO165" s="12" t="s">
        <v>671</v>
      </c>
      <c r="BP165" s="12" t="s">
        <v>508</v>
      </c>
      <c r="BQ165" s="12" t="s">
        <v>673</v>
      </c>
      <c r="BR165" s="12" t="s">
        <v>675</v>
      </c>
      <c r="BS165" s="12" t="s">
        <v>289</v>
      </c>
      <c r="BT165" s="12" t="s">
        <v>823</v>
      </c>
      <c r="BU165" s="12" t="s">
        <v>556</v>
      </c>
      <c r="BV165" s="12" t="s">
        <v>907</v>
      </c>
      <c r="BW165" s="12" t="s">
        <v>337</v>
      </c>
      <c r="BX165" s="12" t="s">
        <v>619</v>
      </c>
      <c r="BY165" s="12" t="s">
        <v>294</v>
      </c>
      <c r="BZ165" s="12" t="s">
        <v>383</v>
      </c>
      <c r="CA165" s="12" t="s">
        <v>825</v>
      </c>
      <c r="CB165" s="12" t="s">
        <v>1122</v>
      </c>
      <c r="CC165" s="12" t="s">
        <v>1206</v>
      </c>
      <c r="CD165" s="12" t="s">
        <v>1728</v>
      </c>
      <c r="CE165" s="12" t="s">
        <v>1209</v>
      </c>
      <c r="CF165" s="12" t="s">
        <v>1191</v>
      </c>
      <c r="CG165" s="12" t="s">
        <v>1193</v>
      </c>
      <c r="CH165" s="12" t="s">
        <v>1434</v>
      </c>
      <c r="CI165" s="12" t="s">
        <v>1385</v>
      </c>
      <c r="CJ165" s="12" t="s">
        <v>1526</v>
      </c>
      <c r="CK165" s="12" t="s">
        <v>1094</v>
      </c>
      <c r="CL165" s="12" t="s">
        <v>1439</v>
      </c>
      <c r="CM165" s="12" t="s">
        <v>1439</v>
      </c>
      <c r="CN165" s="12" t="s">
        <v>575</v>
      </c>
      <c r="CO165" s="12" t="s">
        <v>427</v>
      </c>
      <c r="CP165" s="12" t="s">
        <v>1529</v>
      </c>
      <c r="CQ165" s="12" t="s">
        <v>1306</v>
      </c>
      <c r="CR165" s="12" t="s">
        <v>1307</v>
      </c>
      <c r="CS165" s="12" t="s">
        <v>1308</v>
      </c>
      <c r="CT165" s="12" t="s">
        <v>622</v>
      </c>
      <c r="CU165" s="12" t="s">
        <v>1309</v>
      </c>
      <c r="CV165" s="12" t="s">
        <v>1010</v>
      </c>
      <c r="CW165" s="12" t="s">
        <v>1010</v>
      </c>
      <c r="CX165" s="12" t="s">
        <v>1010</v>
      </c>
    </row>
    <row r="166" spans="1:102" hidden="1" x14ac:dyDescent="0.3">
      <c r="A166" s="12" t="s">
        <v>12</v>
      </c>
      <c r="B166" s="12" t="s">
        <v>2982</v>
      </c>
      <c r="C166" s="12" t="s">
        <v>2983</v>
      </c>
      <c r="D166" s="12" t="s">
        <v>2984</v>
      </c>
      <c r="E166" s="12" t="s">
        <v>277</v>
      </c>
      <c r="F166" s="12" t="s">
        <v>277</v>
      </c>
      <c r="G166" s="12" t="s">
        <v>277</v>
      </c>
      <c r="H166" s="12" t="s">
        <v>277</v>
      </c>
      <c r="I166" s="12" t="s">
        <v>277</v>
      </c>
      <c r="J166" s="12" t="s">
        <v>277</v>
      </c>
      <c r="K166" s="12" t="s">
        <v>277</v>
      </c>
      <c r="L166" s="12" t="s">
        <v>277</v>
      </c>
      <c r="M166" s="12" t="s">
        <v>277</v>
      </c>
      <c r="N166" s="12" t="s">
        <v>277</v>
      </c>
      <c r="O166" s="12" t="s">
        <v>277</v>
      </c>
      <c r="P166" s="12" t="s">
        <v>277</v>
      </c>
      <c r="Q166" s="12" t="s">
        <v>277</v>
      </c>
      <c r="R166" s="12" t="s">
        <v>277</v>
      </c>
      <c r="S166" s="12" t="s">
        <v>277</v>
      </c>
      <c r="T166" s="12" t="s">
        <v>277</v>
      </c>
      <c r="U166" s="12" t="s">
        <v>277</v>
      </c>
      <c r="V166" s="12" t="s">
        <v>277</v>
      </c>
      <c r="W166" s="12" t="s">
        <v>277</v>
      </c>
      <c r="X166" s="12" t="s">
        <v>277</v>
      </c>
      <c r="Y166" s="12" t="s">
        <v>277</v>
      </c>
      <c r="Z166" s="12" t="s">
        <v>277</v>
      </c>
      <c r="AA166" s="12" t="s">
        <v>277</v>
      </c>
      <c r="AB166" s="12" t="s">
        <v>277</v>
      </c>
      <c r="AC166" s="12" t="s">
        <v>277</v>
      </c>
      <c r="AD166" s="12" t="s">
        <v>277</v>
      </c>
      <c r="AE166" s="12" t="s">
        <v>277</v>
      </c>
      <c r="AF166" s="12" t="s">
        <v>277</v>
      </c>
      <c r="AG166" s="12" t="s">
        <v>277</v>
      </c>
      <c r="AH166" s="12" t="s">
        <v>277</v>
      </c>
      <c r="AI166" s="12" t="s">
        <v>277</v>
      </c>
      <c r="AJ166" s="12" t="s">
        <v>277</v>
      </c>
      <c r="AK166" s="12" t="s">
        <v>277</v>
      </c>
      <c r="AL166" s="12" t="s">
        <v>277</v>
      </c>
      <c r="AM166" s="12" t="s">
        <v>277</v>
      </c>
      <c r="AN166" s="12" t="s">
        <v>277</v>
      </c>
      <c r="AO166" s="12" t="s">
        <v>277</v>
      </c>
      <c r="AP166" s="12" t="s">
        <v>277</v>
      </c>
      <c r="AQ166" s="12" t="s">
        <v>277</v>
      </c>
      <c r="AR166" s="12" t="s">
        <v>277</v>
      </c>
      <c r="AS166" s="12" t="s">
        <v>278</v>
      </c>
      <c r="AT166" s="12" t="s">
        <v>278</v>
      </c>
      <c r="AU166" s="12" t="s">
        <v>278</v>
      </c>
      <c r="AV166" s="12" t="s">
        <v>322</v>
      </c>
      <c r="AW166" s="12" t="s">
        <v>322</v>
      </c>
      <c r="AX166" s="12" t="s">
        <v>322</v>
      </c>
      <c r="AY166" s="12" t="s">
        <v>322</v>
      </c>
      <c r="AZ166" s="12" t="s">
        <v>322</v>
      </c>
      <c r="BA166" s="12" t="s">
        <v>371</v>
      </c>
      <c r="BB166" s="12" t="s">
        <v>280</v>
      </c>
      <c r="BC166" s="12" t="s">
        <v>550</v>
      </c>
      <c r="BD166" s="12" t="s">
        <v>281</v>
      </c>
      <c r="BE166" s="12" t="s">
        <v>372</v>
      </c>
      <c r="BF166" s="12" t="s">
        <v>568</v>
      </c>
      <c r="BG166" s="12" t="s">
        <v>652</v>
      </c>
      <c r="BH166" s="12" t="s">
        <v>327</v>
      </c>
      <c r="BI166" s="12" t="s">
        <v>690</v>
      </c>
      <c r="BJ166" s="12" t="s">
        <v>879</v>
      </c>
      <c r="BK166" s="12" t="s">
        <v>554</v>
      </c>
      <c r="BL166" s="12" t="s">
        <v>558</v>
      </c>
      <c r="BM166" s="12" t="s">
        <v>510</v>
      </c>
      <c r="BN166" s="12" t="s">
        <v>1519</v>
      </c>
      <c r="BO166" s="12" t="s">
        <v>293</v>
      </c>
      <c r="BP166" s="12" t="s">
        <v>1727</v>
      </c>
      <c r="BQ166" s="12" t="s">
        <v>964</v>
      </c>
      <c r="BR166" s="12" t="s">
        <v>1096</v>
      </c>
      <c r="BS166" s="12" t="s">
        <v>2093</v>
      </c>
      <c r="BT166" s="12" t="s">
        <v>1543</v>
      </c>
      <c r="BU166" s="12" t="s">
        <v>2805</v>
      </c>
      <c r="BV166" s="12" t="s">
        <v>1160</v>
      </c>
      <c r="BW166" s="12" t="s">
        <v>986</v>
      </c>
      <c r="BX166" s="12" t="s">
        <v>2985</v>
      </c>
      <c r="BY166" s="12" t="s">
        <v>2986</v>
      </c>
      <c r="BZ166" s="12" t="s">
        <v>2987</v>
      </c>
      <c r="CA166" s="12" t="s">
        <v>1013</v>
      </c>
      <c r="CB166" s="12" t="s">
        <v>1941</v>
      </c>
      <c r="CC166" s="12" t="s">
        <v>1569</v>
      </c>
      <c r="CD166" s="12" t="s">
        <v>1579</v>
      </c>
      <c r="CE166" s="12" t="s">
        <v>2988</v>
      </c>
      <c r="CF166" s="12" t="s">
        <v>1482</v>
      </c>
      <c r="CG166" s="12" t="s">
        <v>2989</v>
      </c>
      <c r="CH166" s="12" t="s">
        <v>2990</v>
      </c>
      <c r="CI166" s="12" t="s">
        <v>2387</v>
      </c>
      <c r="CJ166" s="12" t="s">
        <v>2991</v>
      </c>
      <c r="CK166" s="12" t="s">
        <v>1271</v>
      </c>
      <c r="CL166" s="12" t="s">
        <v>2992</v>
      </c>
      <c r="CM166" s="12" t="s">
        <v>2993</v>
      </c>
      <c r="CN166" s="12" t="s">
        <v>2994</v>
      </c>
      <c r="CO166" s="12" t="s">
        <v>2995</v>
      </c>
      <c r="CP166" s="12" t="s">
        <v>2996</v>
      </c>
      <c r="CQ166" s="12" t="s">
        <v>2997</v>
      </c>
      <c r="CR166" s="12" t="s">
        <v>2998</v>
      </c>
      <c r="CS166" s="12" t="s">
        <v>2999</v>
      </c>
      <c r="CT166" s="12" t="s">
        <v>3000</v>
      </c>
      <c r="CU166" s="12" t="s">
        <v>4239</v>
      </c>
      <c r="CV166" s="12" t="s">
        <v>4240</v>
      </c>
      <c r="CW166" s="12" t="s">
        <v>4241</v>
      </c>
      <c r="CX166" s="12" t="s">
        <v>50</v>
      </c>
    </row>
    <row r="167" spans="1:102" hidden="1" x14ac:dyDescent="0.3">
      <c r="A167" s="12" t="s">
        <v>12</v>
      </c>
      <c r="B167" s="12" t="s">
        <v>3001</v>
      </c>
      <c r="C167" s="12" t="s">
        <v>3002</v>
      </c>
      <c r="D167" s="12" t="s">
        <v>3003</v>
      </c>
      <c r="E167" s="12" t="s">
        <v>277</v>
      </c>
      <c r="F167" s="12" t="s">
        <v>277</v>
      </c>
      <c r="G167" s="12" t="s">
        <v>277</v>
      </c>
      <c r="H167" s="12" t="s">
        <v>277</v>
      </c>
      <c r="I167" s="12" t="s">
        <v>277</v>
      </c>
      <c r="J167" s="12" t="s">
        <v>277</v>
      </c>
      <c r="K167" s="12" t="s">
        <v>277</v>
      </c>
      <c r="L167" s="12" t="s">
        <v>277</v>
      </c>
      <c r="M167" s="12" t="s">
        <v>277</v>
      </c>
      <c r="N167" s="12" t="s">
        <v>277</v>
      </c>
      <c r="O167" s="12" t="s">
        <v>277</v>
      </c>
      <c r="P167" s="12" t="s">
        <v>277</v>
      </c>
      <c r="Q167" s="12" t="s">
        <v>277</v>
      </c>
      <c r="R167" s="12" t="s">
        <v>277</v>
      </c>
      <c r="S167" s="12" t="s">
        <v>277</v>
      </c>
      <c r="T167" s="12" t="s">
        <v>277</v>
      </c>
      <c r="U167" s="12" t="s">
        <v>277</v>
      </c>
      <c r="V167" s="12" t="s">
        <v>277</v>
      </c>
      <c r="W167" s="12" t="s">
        <v>277</v>
      </c>
      <c r="X167" s="12" t="s">
        <v>277</v>
      </c>
      <c r="Y167" s="12" t="s">
        <v>277</v>
      </c>
      <c r="Z167" s="12" t="s">
        <v>277</v>
      </c>
      <c r="AA167" s="12" t="s">
        <v>277</v>
      </c>
      <c r="AB167" s="12" t="s">
        <v>277</v>
      </c>
      <c r="AC167" s="12" t="s">
        <v>277</v>
      </c>
      <c r="AD167" s="12" t="s">
        <v>277</v>
      </c>
      <c r="AE167" s="12" t="s">
        <v>277</v>
      </c>
      <c r="AF167" s="12" t="s">
        <v>277</v>
      </c>
      <c r="AG167" s="12" t="s">
        <v>277</v>
      </c>
      <c r="AH167" s="12" t="s">
        <v>277</v>
      </c>
      <c r="AI167" s="12" t="s">
        <v>277</v>
      </c>
      <c r="AJ167" s="12" t="s">
        <v>277</v>
      </c>
      <c r="AK167" s="12" t="s">
        <v>277</v>
      </c>
      <c r="AL167" s="12" t="s">
        <v>277</v>
      </c>
      <c r="AM167" s="12" t="s">
        <v>277</v>
      </c>
      <c r="AN167" s="12" t="s">
        <v>277</v>
      </c>
      <c r="AO167" s="12" t="s">
        <v>277</v>
      </c>
      <c r="AP167" s="12" t="s">
        <v>277</v>
      </c>
      <c r="AQ167" s="12" t="s">
        <v>277</v>
      </c>
      <c r="AR167" s="12" t="s">
        <v>277</v>
      </c>
      <c r="AS167" s="12" t="s">
        <v>277</v>
      </c>
      <c r="AT167" s="12" t="s">
        <v>277</v>
      </c>
      <c r="AU167" s="12" t="s">
        <v>277</v>
      </c>
      <c r="AV167" s="12" t="s">
        <v>277</v>
      </c>
      <c r="AW167" s="12" t="s">
        <v>277</v>
      </c>
      <c r="AX167" s="12" t="s">
        <v>277</v>
      </c>
      <c r="AY167" s="12" t="s">
        <v>277</v>
      </c>
      <c r="AZ167" s="12" t="s">
        <v>277</v>
      </c>
      <c r="BA167" s="12" t="s">
        <v>277</v>
      </c>
      <c r="BB167" s="12" t="s">
        <v>277</v>
      </c>
      <c r="BC167" s="12" t="s">
        <v>277</v>
      </c>
      <c r="BD167" s="12" t="s">
        <v>277</v>
      </c>
      <c r="BE167" s="12" t="s">
        <v>322</v>
      </c>
      <c r="BF167" s="12" t="s">
        <v>322</v>
      </c>
      <c r="BG167" s="12" t="s">
        <v>322</v>
      </c>
      <c r="BH167" s="12" t="s">
        <v>322</v>
      </c>
      <c r="BI167" s="12" t="s">
        <v>322</v>
      </c>
      <c r="BJ167" s="12" t="s">
        <v>371</v>
      </c>
      <c r="BK167" s="12" t="s">
        <v>371</v>
      </c>
      <c r="BL167" s="12" t="s">
        <v>371</v>
      </c>
      <c r="BM167" s="12" t="s">
        <v>371</v>
      </c>
      <c r="BN167" s="12" t="s">
        <v>279</v>
      </c>
      <c r="BO167" s="12" t="s">
        <v>281</v>
      </c>
      <c r="BP167" s="12" t="s">
        <v>281</v>
      </c>
      <c r="BQ167" s="12" t="s">
        <v>454</v>
      </c>
      <c r="BR167" s="12" t="s">
        <v>454</v>
      </c>
      <c r="BS167" s="12" t="s">
        <v>454</v>
      </c>
      <c r="BT167" s="12" t="s">
        <v>282</v>
      </c>
      <c r="BU167" s="12" t="s">
        <v>282</v>
      </c>
      <c r="BV167" s="12" t="s">
        <v>282</v>
      </c>
      <c r="BW167" s="12" t="s">
        <v>455</v>
      </c>
      <c r="BX167" s="12" t="s">
        <v>455</v>
      </c>
      <c r="BY167" s="12" t="s">
        <v>455</v>
      </c>
      <c r="BZ167" s="12" t="s">
        <v>455</v>
      </c>
      <c r="CA167" s="12" t="s">
        <v>283</v>
      </c>
      <c r="CB167" s="12" t="s">
        <v>283</v>
      </c>
      <c r="CC167" s="12" t="s">
        <v>283</v>
      </c>
      <c r="CD167" s="12" t="s">
        <v>283</v>
      </c>
      <c r="CE167" s="12" t="s">
        <v>283</v>
      </c>
      <c r="CF167" s="12" t="s">
        <v>283</v>
      </c>
      <c r="CG167" s="12" t="s">
        <v>283</v>
      </c>
      <c r="CH167" s="12" t="s">
        <v>283</v>
      </c>
      <c r="CI167" s="12" t="s">
        <v>283</v>
      </c>
      <c r="CJ167" s="12" t="s">
        <v>283</v>
      </c>
      <c r="CK167" s="12" t="s">
        <v>283</v>
      </c>
      <c r="CL167" s="12" t="s">
        <v>283</v>
      </c>
      <c r="CM167" s="12" t="s">
        <v>283</v>
      </c>
      <c r="CN167" s="12" t="s">
        <v>283</v>
      </c>
      <c r="CO167" s="12" t="s">
        <v>283</v>
      </c>
      <c r="CP167" s="12" t="s">
        <v>283</v>
      </c>
      <c r="CQ167" s="12" t="s">
        <v>283</v>
      </c>
      <c r="CR167" s="12" t="s">
        <v>283</v>
      </c>
      <c r="CS167" s="12" t="s">
        <v>283</v>
      </c>
      <c r="CT167" s="12" t="s">
        <v>283</v>
      </c>
      <c r="CU167" s="12" t="s">
        <v>283</v>
      </c>
      <c r="CV167" s="12" t="s">
        <v>283</v>
      </c>
      <c r="CW167" s="12" t="s">
        <v>283</v>
      </c>
      <c r="CX167" s="12" t="s">
        <v>283</v>
      </c>
    </row>
    <row r="168" spans="1:102" hidden="1" x14ac:dyDescent="0.3">
      <c r="A168" s="12" t="s">
        <v>12</v>
      </c>
      <c r="B168" s="12" t="s">
        <v>3004</v>
      </c>
      <c r="C168" s="12" t="s">
        <v>3005</v>
      </c>
      <c r="D168" s="12" t="s">
        <v>3006</v>
      </c>
      <c r="E168" s="12" t="s">
        <v>277</v>
      </c>
      <c r="F168" s="12" t="s">
        <v>277</v>
      </c>
      <c r="G168" s="12" t="s">
        <v>277</v>
      </c>
      <c r="H168" s="12" t="s">
        <v>278</v>
      </c>
      <c r="I168" s="12" t="s">
        <v>278</v>
      </c>
      <c r="J168" s="12" t="s">
        <v>278</v>
      </c>
      <c r="K168" s="12" t="s">
        <v>278</v>
      </c>
      <c r="L168" s="12" t="s">
        <v>278</v>
      </c>
      <c r="M168" s="12" t="s">
        <v>278</v>
      </c>
      <c r="N168" s="12" t="s">
        <v>278</v>
      </c>
      <c r="O168" s="12" t="s">
        <v>278</v>
      </c>
      <c r="P168" s="12" t="s">
        <v>278</v>
      </c>
      <c r="Q168" s="12" t="s">
        <v>278</v>
      </c>
      <c r="R168" s="12" t="s">
        <v>278</v>
      </c>
      <c r="S168" s="12" t="s">
        <v>278</v>
      </c>
      <c r="T168" s="12" t="s">
        <v>278</v>
      </c>
      <c r="U168" s="12" t="s">
        <v>278</v>
      </c>
      <c r="V168" s="12" t="s">
        <v>278</v>
      </c>
      <c r="W168" s="12" t="s">
        <v>278</v>
      </c>
      <c r="X168" s="12" t="s">
        <v>278</v>
      </c>
      <c r="Y168" s="12" t="s">
        <v>278</v>
      </c>
      <c r="Z168" s="12" t="s">
        <v>278</v>
      </c>
      <c r="AA168" s="12" t="s">
        <v>278</v>
      </c>
      <c r="AB168" s="12" t="s">
        <v>278</v>
      </c>
      <c r="AC168" s="12" t="s">
        <v>278</v>
      </c>
      <c r="AD168" s="12" t="s">
        <v>278</v>
      </c>
      <c r="AE168" s="12" t="s">
        <v>278</v>
      </c>
      <c r="AF168" s="12" t="s">
        <v>278</v>
      </c>
      <c r="AG168" s="12" t="s">
        <v>278</v>
      </c>
      <c r="AH168" s="12" t="s">
        <v>278</v>
      </c>
      <c r="AI168" s="12" t="s">
        <v>278</v>
      </c>
      <c r="AJ168" s="12" t="s">
        <v>278</v>
      </c>
      <c r="AK168" s="12" t="s">
        <v>278</v>
      </c>
      <c r="AL168" s="12" t="s">
        <v>278</v>
      </c>
      <c r="AM168" s="12" t="s">
        <v>278</v>
      </c>
      <c r="AN168" s="12" t="s">
        <v>278</v>
      </c>
      <c r="AO168" s="12" t="s">
        <v>278</v>
      </c>
      <c r="AP168" s="12" t="s">
        <v>278</v>
      </c>
      <c r="AQ168" s="12" t="s">
        <v>278</v>
      </c>
      <c r="AR168" s="12" t="s">
        <v>278</v>
      </c>
      <c r="AS168" s="12" t="s">
        <v>278</v>
      </c>
      <c r="AT168" s="12" t="s">
        <v>278</v>
      </c>
      <c r="AU168" s="12" t="s">
        <v>278</v>
      </c>
      <c r="AV168" s="12" t="s">
        <v>278</v>
      </c>
      <c r="AW168" s="12" t="s">
        <v>278</v>
      </c>
      <c r="AX168" s="12" t="s">
        <v>278</v>
      </c>
      <c r="AY168" s="12" t="s">
        <v>278</v>
      </c>
      <c r="AZ168" s="12" t="s">
        <v>278</v>
      </c>
      <c r="BA168" s="12" t="s">
        <v>278</v>
      </c>
      <c r="BB168" s="12" t="s">
        <v>278</v>
      </c>
      <c r="BC168" s="12" t="s">
        <v>278</v>
      </c>
      <c r="BD168" s="12" t="s">
        <v>278</v>
      </c>
      <c r="BE168" s="12" t="s">
        <v>278</v>
      </c>
      <c r="BF168" s="12" t="s">
        <v>278</v>
      </c>
      <c r="BG168" s="12" t="s">
        <v>278</v>
      </c>
      <c r="BH168" s="12" t="s">
        <v>278</v>
      </c>
      <c r="BI168" s="12" t="s">
        <v>278</v>
      </c>
      <c r="BJ168" s="12" t="s">
        <v>278</v>
      </c>
      <c r="BK168" s="12" t="s">
        <v>278</v>
      </c>
      <c r="BL168" s="12" t="s">
        <v>278</v>
      </c>
      <c r="BM168" s="12" t="s">
        <v>278</v>
      </c>
      <c r="BN168" s="12" t="s">
        <v>322</v>
      </c>
      <c r="BO168" s="12" t="s">
        <v>322</v>
      </c>
      <c r="BP168" s="12" t="s">
        <v>371</v>
      </c>
      <c r="BQ168" s="12" t="s">
        <v>371</v>
      </c>
      <c r="BR168" s="12" t="s">
        <v>279</v>
      </c>
      <c r="BS168" s="12" t="s">
        <v>280</v>
      </c>
      <c r="BT168" s="12" t="s">
        <v>280</v>
      </c>
      <c r="BU168" s="12" t="s">
        <v>280</v>
      </c>
      <c r="BV168" s="12" t="s">
        <v>280</v>
      </c>
      <c r="BW168" s="12" t="s">
        <v>280</v>
      </c>
      <c r="BX168" s="12" t="s">
        <v>550</v>
      </c>
      <c r="BY168" s="12" t="s">
        <v>550</v>
      </c>
      <c r="BZ168" s="12" t="s">
        <v>460</v>
      </c>
      <c r="CA168" s="12" t="s">
        <v>460</v>
      </c>
      <c r="CB168" s="12" t="s">
        <v>460</v>
      </c>
      <c r="CC168" s="12" t="s">
        <v>460</v>
      </c>
      <c r="CD168" s="12" t="s">
        <v>460</v>
      </c>
      <c r="CE168" s="12" t="s">
        <v>460</v>
      </c>
      <c r="CF168" s="12" t="s">
        <v>460</v>
      </c>
      <c r="CG168" s="12" t="s">
        <v>460</v>
      </c>
      <c r="CH168" s="12" t="s">
        <v>324</v>
      </c>
      <c r="CI168" s="12" t="s">
        <v>455</v>
      </c>
      <c r="CJ168" s="12" t="s">
        <v>283</v>
      </c>
      <c r="CK168" s="12" t="s">
        <v>283</v>
      </c>
      <c r="CL168" s="12" t="s">
        <v>283</v>
      </c>
      <c r="CM168" s="12" t="s">
        <v>1716</v>
      </c>
      <c r="CN168" s="12" t="s">
        <v>465</v>
      </c>
      <c r="CO168" s="12" t="s">
        <v>465</v>
      </c>
      <c r="CP168" s="12" t="s">
        <v>465</v>
      </c>
      <c r="CQ168" s="12" t="s">
        <v>958</v>
      </c>
      <c r="CR168" s="12" t="s">
        <v>467</v>
      </c>
      <c r="CS168" s="12" t="s">
        <v>377</v>
      </c>
      <c r="CT168" s="12" t="s">
        <v>690</v>
      </c>
      <c r="CU168" s="12" t="s">
        <v>690</v>
      </c>
      <c r="CV168" s="12" t="s">
        <v>508</v>
      </c>
      <c r="CW168" s="12" t="s">
        <v>508</v>
      </c>
      <c r="CX168" s="12" t="s">
        <v>378</v>
      </c>
    </row>
    <row r="169" spans="1:102" hidden="1" x14ac:dyDescent="0.3">
      <c r="A169" s="12" t="s">
        <v>3007</v>
      </c>
      <c r="B169" s="12" t="s">
        <v>3008</v>
      </c>
      <c r="C169" s="12" t="s">
        <v>3009</v>
      </c>
      <c r="D169" s="12" t="s">
        <v>3010</v>
      </c>
      <c r="E169" s="12" t="s">
        <v>277</v>
      </c>
      <c r="F169" s="12" t="s">
        <v>277</v>
      </c>
      <c r="G169" s="12" t="s">
        <v>277</v>
      </c>
      <c r="H169" s="12" t="s">
        <v>277</v>
      </c>
      <c r="I169" s="12" t="s">
        <v>277</v>
      </c>
      <c r="J169" s="12" t="s">
        <v>277</v>
      </c>
      <c r="K169" s="12" t="s">
        <v>277</v>
      </c>
      <c r="L169" s="12" t="s">
        <v>277</v>
      </c>
      <c r="M169" s="12" t="s">
        <v>277</v>
      </c>
      <c r="N169" s="12" t="s">
        <v>277</v>
      </c>
      <c r="O169" s="12" t="s">
        <v>277</v>
      </c>
      <c r="P169" s="12" t="s">
        <v>277</v>
      </c>
      <c r="Q169" s="12" t="s">
        <v>277</v>
      </c>
      <c r="R169" s="12" t="s">
        <v>277</v>
      </c>
      <c r="S169" s="12" t="s">
        <v>277</v>
      </c>
      <c r="T169" s="12" t="s">
        <v>277</v>
      </c>
      <c r="U169" s="12" t="s">
        <v>277</v>
      </c>
      <c r="V169" s="12" t="s">
        <v>277</v>
      </c>
      <c r="W169" s="12" t="s">
        <v>277</v>
      </c>
      <c r="X169" s="12" t="s">
        <v>277</v>
      </c>
      <c r="Y169" s="12" t="s">
        <v>277</v>
      </c>
      <c r="Z169" s="12" t="s">
        <v>277</v>
      </c>
      <c r="AA169" s="12" t="s">
        <v>277</v>
      </c>
      <c r="AB169" s="12" t="s">
        <v>277</v>
      </c>
      <c r="AC169" s="12" t="s">
        <v>277</v>
      </c>
      <c r="AD169" s="12" t="s">
        <v>277</v>
      </c>
      <c r="AE169" s="12" t="s">
        <v>277</v>
      </c>
      <c r="AF169" s="12" t="s">
        <v>277</v>
      </c>
      <c r="AG169" s="12" t="s">
        <v>277</v>
      </c>
      <c r="AH169" s="12" t="s">
        <v>277</v>
      </c>
      <c r="AI169" s="12" t="s">
        <v>277</v>
      </c>
      <c r="AJ169" s="12" t="s">
        <v>277</v>
      </c>
      <c r="AK169" s="12" t="s">
        <v>277</v>
      </c>
      <c r="AL169" s="12" t="s">
        <v>277</v>
      </c>
      <c r="AM169" s="12" t="s">
        <v>277</v>
      </c>
      <c r="AN169" s="12" t="s">
        <v>277</v>
      </c>
      <c r="AO169" s="12" t="s">
        <v>277</v>
      </c>
      <c r="AP169" s="12" t="s">
        <v>277</v>
      </c>
      <c r="AQ169" s="12" t="s">
        <v>277</v>
      </c>
      <c r="AR169" s="12" t="s">
        <v>277</v>
      </c>
      <c r="AS169" s="12" t="s">
        <v>277</v>
      </c>
      <c r="AT169" s="12" t="s">
        <v>277</v>
      </c>
      <c r="AU169" s="12" t="s">
        <v>277</v>
      </c>
      <c r="AV169" s="12" t="s">
        <v>277</v>
      </c>
      <c r="AW169" s="12" t="s">
        <v>277</v>
      </c>
      <c r="AX169" s="12" t="s">
        <v>277</v>
      </c>
      <c r="AY169" s="12" t="s">
        <v>277</v>
      </c>
      <c r="AZ169" s="12" t="s">
        <v>277</v>
      </c>
      <c r="BA169" s="12" t="s">
        <v>277</v>
      </c>
      <c r="BB169" s="12" t="s">
        <v>277</v>
      </c>
      <c r="BC169" s="12" t="s">
        <v>277</v>
      </c>
      <c r="BD169" s="12" t="s">
        <v>322</v>
      </c>
      <c r="BE169" s="12" t="s">
        <v>322</v>
      </c>
      <c r="BF169" s="12" t="s">
        <v>322</v>
      </c>
      <c r="BG169" s="12" t="s">
        <v>322</v>
      </c>
      <c r="BH169" s="12" t="s">
        <v>371</v>
      </c>
      <c r="BI169" s="12" t="s">
        <v>279</v>
      </c>
      <c r="BJ169" s="12" t="s">
        <v>279</v>
      </c>
      <c r="BK169" s="12" t="s">
        <v>280</v>
      </c>
      <c r="BL169" s="12" t="s">
        <v>280</v>
      </c>
      <c r="BM169" s="12" t="s">
        <v>460</v>
      </c>
      <c r="BN169" s="12" t="s">
        <v>460</v>
      </c>
      <c r="BO169" s="12" t="s">
        <v>324</v>
      </c>
      <c r="BP169" s="12" t="s">
        <v>372</v>
      </c>
      <c r="BQ169" s="12" t="s">
        <v>568</v>
      </c>
      <c r="BR169" s="12" t="s">
        <v>326</v>
      </c>
      <c r="BS169" s="12" t="s">
        <v>617</v>
      </c>
      <c r="BT169" s="12" t="s">
        <v>653</v>
      </c>
      <c r="BU169" s="12" t="s">
        <v>653</v>
      </c>
      <c r="BV169" s="12" t="s">
        <v>330</v>
      </c>
      <c r="BW169" s="12" t="s">
        <v>330</v>
      </c>
      <c r="BX169" s="12" t="s">
        <v>379</v>
      </c>
      <c r="BY169" s="12" t="s">
        <v>552</v>
      </c>
      <c r="BZ169" s="12" t="s">
        <v>332</v>
      </c>
      <c r="CA169" s="12" t="s">
        <v>332</v>
      </c>
      <c r="CB169" s="12" t="s">
        <v>553</v>
      </c>
      <c r="CC169" s="12" t="s">
        <v>288</v>
      </c>
      <c r="CD169" s="12" t="s">
        <v>554</v>
      </c>
      <c r="CE169" s="12" t="s">
        <v>675</v>
      </c>
      <c r="CF169" s="12" t="s">
        <v>676</v>
      </c>
      <c r="CG169" s="12" t="s">
        <v>570</v>
      </c>
      <c r="CH169" s="12" t="s">
        <v>570</v>
      </c>
      <c r="CI169" s="12" t="s">
        <v>570</v>
      </c>
      <c r="CJ169" s="12" t="s">
        <v>570</v>
      </c>
      <c r="CK169" s="12" t="s">
        <v>557</v>
      </c>
      <c r="CL169" s="12" t="s">
        <v>824</v>
      </c>
      <c r="CM169" s="12" t="s">
        <v>558</v>
      </c>
      <c r="CN169" s="12" t="s">
        <v>558</v>
      </c>
      <c r="CO169" s="12" t="s">
        <v>471</v>
      </c>
      <c r="CP169" s="12" t="s">
        <v>471</v>
      </c>
      <c r="CQ169" s="12" t="s">
        <v>471</v>
      </c>
      <c r="CR169" s="12" t="s">
        <v>560</v>
      </c>
      <c r="CS169" s="12" t="s">
        <v>560</v>
      </c>
      <c r="CT169" s="12" t="s">
        <v>560</v>
      </c>
      <c r="CU169" s="12" t="s">
        <v>560</v>
      </c>
      <c r="CV169" s="12" t="s">
        <v>560</v>
      </c>
      <c r="CW169" s="12" t="s">
        <v>560</v>
      </c>
      <c r="CX169" s="12" t="s">
        <v>560</v>
      </c>
    </row>
    <row r="170" spans="1:102" hidden="1" x14ac:dyDescent="0.3">
      <c r="A170" s="12" t="s">
        <v>3011</v>
      </c>
      <c r="B170" s="12" t="s">
        <v>3008</v>
      </c>
      <c r="C170" s="12" t="s">
        <v>3012</v>
      </c>
      <c r="D170" s="12" t="s">
        <v>3013</v>
      </c>
      <c r="E170" s="12" t="s">
        <v>277</v>
      </c>
      <c r="F170" s="12" t="s">
        <v>277</v>
      </c>
      <c r="G170" s="12" t="s">
        <v>277</v>
      </c>
      <c r="H170" s="12" t="s">
        <v>277</v>
      </c>
      <c r="I170" s="12" t="s">
        <v>277</v>
      </c>
      <c r="J170" s="12" t="s">
        <v>277</v>
      </c>
      <c r="K170" s="12" t="s">
        <v>277</v>
      </c>
      <c r="L170" s="12" t="s">
        <v>277</v>
      </c>
      <c r="M170" s="12" t="s">
        <v>277</v>
      </c>
      <c r="N170" s="12" t="s">
        <v>277</v>
      </c>
      <c r="O170" s="12" t="s">
        <v>277</v>
      </c>
      <c r="P170" s="12" t="s">
        <v>277</v>
      </c>
      <c r="Q170" s="12" t="s">
        <v>277</v>
      </c>
      <c r="R170" s="12" t="s">
        <v>277</v>
      </c>
      <c r="S170" s="12" t="s">
        <v>277</v>
      </c>
      <c r="T170" s="12" t="s">
        <v>277</v>
      </c>
      <c r="U170" s="12" t="s">
        <v>277</v>
      </c>
      <c r="V170" s="12" t="s">
        <v>277</v>
      </c>
      <c r="W170" s="12" t="s">
        <v>277</v>
      </c>
      <c r="X170" s="12" t="s">
        <v>277</v>
      </c>
      <c r="Y170" s="12" t="s">
        <v>277</v>
      </c>
      <c r="Z170" s="12" t="s">
        <v>277</v>
      </c>
      <c r="AA170" s="12" t="s">
        <v>277</v>
      </c>
      <c r="AB170" s="12" t="s">
        <v>277</v>
      </c>
      <c r="AC170" s="12" t="s">
        <v>277</v>
      </c>
      <c r="AD170" s="12" t="s">
        <v>277</v>
      </c>
      <c r="AE170" s="12" t="s">
        <v>277</v>
      </c>
      <c r="AF170" s="12" t="s">
        <v>277</v>
      </c>
      <c r="AG170" s="12" t="s">
        <v>277</v>
      </c>
      <c r="AH170" s="12" t="s">
        <v>277</v>
      </c>
      <c r="AI170" s="12" t="s">
        <v>277</v>
      </c>
      <c r="AJ170" s="12" t="s">
        <v>277</v>
      </c>
      <c r="AK170" s="12" t="s">
        <v>277</v>
      </c>
      <c r="AL170" s="12" t="s">
        <v>277</v>
      </c>
      <c r="AM170" s="12" t="s">
        <v>277</v>
      </c>
      <c r="AN170" s="12" t="s">
        <v>277</v>
      </c>
      <c r="AO170" s="12" t="s">
        <v>277</v>
      </c>
      <c r="AP170" s="12" t="s">
        <v>277</v>
      </c>
      <c r="AQ170" s="12" t="s">
        <v>277</v>
      </c>
      <c r="AR170" s="12" t="s">
        <v>277</v>
      </c>
      <c r="AS170" s="12" t="s">
        <v>277</v>
      </c>
      <c r="AT170" s="12" t="s">
        <v>277</v>
      </c>
      <c r="AU170" s="12" t="s">
        <v>277</v>
      </c>
      <c r="AV170" s="12" t="s">
        <v>277</v>
      </c>
      <c r="AW170" s="12" t="s">
        <v>277</v>
      </c>
      <c r="AX170" s="12" t="s">
        <v>277</v>
      </c>
      <c r="AY170" s="12" t="s">
        <v>277</v>
      </c>
      <c r="AZ170" s="12" t="s">
        <v>277</v>
      </c>
      <c r="BA170" s="12" t="s">
        <v>277</v>
      </c>
      <c r="BB170" s="12" t="s">
        <v>277</v>
      </c>
      <c r="BC170" s="12" t="s">
        <v>277</v>
      </c>
      <c r="BD170" s="12" t="s">
        <v>277</v>
      </c>
      <c r="BE170" s="12" t="s">
        <v>278</v>
      </c>
      <c r="BF170" s="12" t="s">
        <v>278</v>
      </c>
      <c r="BG170" s="12" t="s">
        <v>278</v>
      </c>
      <c r="BH170" s="12" t="s">
        <v>371</v>
      </c>
      <c r="BI170" s="12" t="s">
        <v>371</v>
      </c>
      <c r="BJ170" s="12" t="s">
        <v>371</v>
      </c>
      <c r="BK170" s="12" t="s">
        <v>371</v>
      </c>
      <c r="BL170" s="12" t="s">
        <v>371</v>
      </c>
      <c r="BM170" s="12" t="s">
        <v>371</v>
      </c>
      <c r="BN170" s="12" t="s">
        <v>279</v>
      </c>
      <c r="BO170" s="12" t="s">
        <v>550</v>
      </c>
      <c r="BP170" s="12" t="s">
        <v>550</v>
      </c>
      <c r="BQ170" s="12" t="s">
        <v>550</v>
      </c>
      <c r="BR170" s="12" t="s">
        <v>454</v>
      </c>
      <c r="BS170" s="12" t="s">
        <v>454</v>
      </c>
      <c r="BT170" s="12" t="s">
        <v>454</v>
      </c>
      <c r="BU170" s="12" t="s">
        <v>282</v>
      </c>
      <c r="BV170" s="12" t="s">
        <v>282</v>
      </c>
      <c r="BW170" s="12" t="s">
        <v>282</v>
      </c>
      <c r="BX170" s="12" t="s">
        <v>282</v>
      </c>
      <c r="BY170" s="12" t="s">
        <v>282</v>
      </c>
      <c r="BZ170" s="12" t="s">
        <v>282</v>
      </c>
      <c r="CA170" s="12" t="s">
        <v>282</v>
      </c>
      <c r="CB170" s="12" t="s">
        <v>567</v>
      </c>
      <c r="CC170" s="12" t="s">
        <v>567</v>
      </c>
      <c r="CD170" s="12" t="s">
        <v>455</v>
      </c>
      <c r="CE170" s="12" t="s">
        <v>455</v>
      </c>
      <c r="CF170" s="12" t="s">
        <v>455</v>
      </c>
      <c r="CG170" s="12" t="s">
        <v>455</v>
      </c>
      <c r="CH170" s="12" t="s">
        <v>455</v>
      </c>
      <c r="CI170" s="12" t="s">
        <v>455</v>
      </c>
      <c r="CJ170" s="12" t="s">
        <v>455</v>
      </c>
      <c r="CK170" s="12" t="s">
        <v>455</v>
      </c>
      <c r="CL170" s="12" t="s">
        <v>455</v>
      </c>
      <c r="CM170" s="12" t="s">
        <v>455</v>
      </c>
      <c r="CN170" s="12" t="s">
        <v>455</v>
      </c>
      <c r="CO170" s="12" t="s">
        <v>455</v>
      </c>
      <c r="CP170" s="12" t="s">
        <v>455</v>
      </c>
      <c r="CQ170" s="12" t="s">
        <v>455</v>
      </c>
      <c r="CR170" s="12" t="s">
        <v>455</v>
      </c>
      <c r="CS170" s="12" t="s">
        <v>455</v>
      </c>
      <c r="CT170" s="12" t="s">
        <v>283</v>
      </c>
      <c r="CU170" s="12" t="s">
        <v>283</v>
      </c>
      <c r="CV170" s="12" t="s">
        <v>283</v>
      </c>
      <c r="CW170" s="12" t="s">
        <v>283</v>
      </c>
      <c r="CX170" s="12" t="s">
        <v>283</v>
      </c>
    </row>
    <row r="171" spans="1:102" hidden="1" x14ac:dyDescent="0.3">
      <c r="A171" s="12" t="s">
        <v>3014</v>
      </c>
      <c r="B171" s="12" t="s">
        <v>3008</v>
      </c>
      <c r="C171" s="12" t="s">
        <v>3015</v>
      </c>
      <c r="D171" s="12" t="s">
        <v>3016</v>
      </c>
      <c r="E171" s="12" t="s">
        <v>277</v>
      </c>
      <c r="F171" s="12" t="s">
        <v>277</v>
      </c>
      <c r="G171" s="12" t="s">
        <v>277</v>
      </c>
      <c r="H171" s="12" t="s">
        <v>277</v>
      </c>
      <c r="I171" s="12" t="s">
        <v>277</v>
      </c>
      <c r="J171" s="12" t="s">
        <v>277</v>
      </c>
      <c r="K171" s="12" t="s">
        <v>277</v>
      </c>
      <c r="L171" s="12" t="s">
        <v>277</v>
      </c>
      <c r="M171" s="12" t="s">
        <v>277</v>
      </c>
      <c r="N171" s="12" t="s">
        <v>277</v>
      </c>
      <c r="O171" s="12" t="s">
        <v>277</v>
      </c>
      <c r="P171" s="12" t="s">
        <v>277</v>
      </c>
      <c r="Q171" s="12" t="s">
        <v>277</v>
      </c>
      <c r="R171" s="12" t="s">
        <v>277</v>
      </c>
      <c r="S171" s="12" t="s">
        <v>277</v>
      </c>
      <c r="T171" s="12" t="s">
        <v>277</v>
      </c>
      <c r="U171" s="12" t="s">
        <v>277</v>
      </c>
      <c r="V171" s="12" t="s">
        <v>277</v>
      </c>
      <c r="W171" s="12" t="s">
        <v>277</v>
      </c>
      <c r="X171" s="12" t="s">
        <v>277</v>
      </c>
      <c r="Y171" s="12" t="s">
        <v>277</v>
      </c>
      <c r="Z171" s="12" t="s">
        <v>277</v>
      </c>
      <c r="AA171" s="12" t="s">
        <v>277</v>
      </c>
      <c r="AB171" s="12" t="s">
        <v>277</v>
      </c>
      <c r="AC171" s="12" t="s">
        <v>277</v>
      </c>
      <c r="AD171" s="12" t="s">
        <v>277</v>
      </c>
      <c r="AE171" s="12" t="s">
        <v>277</v>
      </c>
      <c r="AF171" s="12" t="s">
        <v>277</v>
      </c>
      <c r="AG171" s="12" t="s">
        <v>277</v>
      </c>
      <c r="AH171" s="12" t="s">
        <v>277</v>
      </c>
      <c r="AI171" s="12" t="s">
        <v>277</v>
      </c>
      <c r="AJ171" s="12" t="s">
        <v>277</v>
      </c>
      <c r="AK171" s="12" t="s">
        <v>277</v>
      </c>
      <c r="AL171" s="12" t="s">
        <v>277</v>
      </c>
      <c r="AM171" s="12" t="s">
        <v>277</v>
      </c>
      <c r="AN171" s="12" t="s">
        <v>277</v>
      </c>
      <c r="AO171" s="12" t="s">
        <v>277</v>
      </c>
      <c r="AP171" s="12" t="s">
        <v>277</v>
      </c>
      <c r="AQ171" s="12" t="s">
        <v>277</v>
      </c>
      <c r="AR171" s="12" t="s">
        <v>277</v>
      </c>
      <c r="AS171" s="12" t="s">
        <v>277</v>
      </c>
      <c r="AT171" s="12" t="s">
        <v>277</v>
      </c>
      <c r="AU171" s="12" t="s">
        <v>277</v>
      </c>
      <c r="AV171" s="12" t="s">
        <v>277</v>
      </c>
      <c r="AW171" s="12" t="s">
        <v>277</v>
      </c>
      <c r="AX171" s="12" t="s">
        <v>277</v>
      </c>
      <c r="AY171" s="12" t="s">
        <v>277</v>
      </c>
      <c r="AZ171" s="12" t="s">
        <v>277</v>
      </c>
      <c r="BA171" s="12" t="s">
        <v>277</v>
      </c>
      <c r="BB171" s="12" t="s">
        <v>277</v>
      </c>
      <c r="BC171" s="12" t="s">
        <v>277</v>
      </c>
      <c r="BD171" s="12" t="s">
        <v>277</v>
      </c>
      <c r="BE171" s="12" t="s">
        <v>277</v>
      </c>
      <c r="BF171" s="12" t="s">
        <v>277</v>
      </c>
      <c r="BG171" s="12" t="s">
        <v>277</v>
      </c>
      <c r="BH171" s="12" t="s">
        <v>277</v>
      </c>
      <c r="BI171" s="12" t="s">
        <v>277</v>
      </c>
      <c r="BJ171" s="12" t="s">
        <v>277</v>
      </c>
      <c r="BK171" s="12" t="s">
        <v>278</v>
      </c>
      <c r="BL171" s="12" t="s">
        <v>278</v>
      </c>
      <c r="BM171" s="12" t="s">
        <v>278</v>
      </c>
      <c r="BN171" s="12" t="s">
        <v>322</v>
      </c>
      <c r="BO171" s="12" t="s">
        <v>322</v>
      </c>
      <c r="BP171" s="12" t="s">
        <v>371</v>
      </c>
      <c r="BQ171" s="12" t="s">
        <v>371</v>
      </c>
      <c r="BR171" s="12" t="s">
        <v>371</v>
      </c>
      <c r="BS171" s="12" t="s">
        <v>371</v>
      </c>
      <c r="BT171" s="12" t="s">
        <v>550</v>
      </c>
      <c r="BU171" s="12" t="s">
        <v>550</v>
      </c>
      <c r="BV171" s="12" t="s">
        <v>550</v>
      </c>
      <c r="BW171" s="12" t="s">
        <v>283</v>
      </c>
      <c r="BX171" s="12" t="s">
        <v>507</v>
      </c>
      <c r="BY171" s="12" t="s">
        <v>325</v>
      </c>
      <c r="BZ171" s="12" t="s">
        <v>325</v>
      </c>
      <c r="CA171" s="12" t="s">
        <v>456</v>
      </c>
      <c r="CB171" s="12" t="s">
        <v>376</v>
      </c>
      <c r="CC171" s="12" t="s">
        <v>287</v>
      </c>
      <c r="CD171" s="12" t="s">
        <v>287</v>
      </c>
      <c r="CE171" s="12" t="s">
        <v>958</v>
      </c>
      <c r="CF171" s="12" t="s">
        <v>653</v>
      </c>
      <c r="CG171" s="12" t="s">
        <v>653</v>
      </c>
      <c r="CH171" s="12" t="s">
        <v>653</v>
      </c>
      <c r="CI171" s="12" t="s">
        <v>653</v>
      </c>
      <c r="CJ171" s="12" t="s">
        <v>508</v>
      </c>
      <c r="CK171" s="12" t="s">
        <v>418</v>
      </c>
      <c r="CL171" s="12" t="s">
        <v>691</v>
      </c>
      <c r="CM171" s="12" t="s">
        <v>691</v>
      </c>
      <c r="CN171" s="12" t="s">
        <v>332</v>
      </c>
      <c r="CO171" s="12" t="s">
        <v>654</v>
      </c>
      <c r="CP171" s="12" t="s">
        <v>654</v>
      </c>
      <c r="CQ171" s="12" t="s">
        <v>654</v>
      </c>
      <c r="CR171" s="12" t="s">
        <v>553</v>
      </c>
      <c r="CS171" s="12" t="s">
        <v>819</v>
      </c>
      <c r="CT171" s="12" t="s">
        <v>819</v>
      </c>
      <c r="CU171" s="12" t="s">
        <v>819</v>
      </c>
      <c r="CV171" s="12" t="s">
        <v>288</v>
      </c>
      <c r="CW171" s="12" t="s">
        <v>288</v>
      </c>
      <c r="CX171" s="12" t="s">
        <v>419</v>
      </c>
    </row>
    <row r="172" spans="1:102" hidden="1" x14ac:dyDescent="0.3">
      <c r="A172" s="12" t="s">
        <v>12</v>
      </c>
      <c r="B172" s="12" t="s">
        <v>3008</v>
      </c>
      <c r="C172" s="12" t="s">
        <v>3017</v>
      </c>
      <c r="D172" s="12" t="s">
        <v>3018</v>
      </c>
      <c r="E172" s="12" t="s">
        <v>277</v>
      </c>
      <c r="F172" s="12" t="s">
        <v>277</v>
      </c>
      <c r="G172" s="12" t="s">
        <v>277</v>
      </c>
      <c r="H172" s="12" t="s">
        <v>277</v>
      </c>
      <c r="I172" s="12" t="s">
        <v>277</v>
      </c>
      <c r="J172" s="12" t="s">
        <v>277</v>
      </c>
      <c r="K172" s="12" t="s">
        <v>277</v>
      </c>
      <c r="L172" s="12" t="s">
        <v>277</v>
      </c>
      <c r="M172" s="12" t="s">
        <v>277</v>
      </c>
      <c r="N172" s="12" t="s">
        <v>277</v>
      </c>
      <c r="O172" s="12" t="s">
        <v>277</v>
      </c>
      <c r="P172" s="12" t="s">
        <v>277</v>
      </c>
      <c r="Q172" s="12" t="s">
        <v>277</v>
      </c>
      <c r="R172" s="12" t="s">
        <v>277</v>
      </c>
      <c r="S172" s="12" t="s">
        <v>277</v>
      </c>
      <c r="T172" s="12" t="s">
        <v>277</v>
      </c>
      <c r="U172" s="12" t="s">
        <v>277</v>
      </c>
      <c r="V172" s="12" t="s">
        <v>277</v>
      </c>
      <c r="W172" s="12" t="s">
        <v>277</v>
      </c>
      <c r="X172" s="12" t="s">
        <v>277</v>
      </c>
      <c r="Y172" s="12" t="s">
        <v>277</v>
      </c>
      <c r="Z172" s="12" t="s">
        <v>277</v>
      </c>
      <c r="AA172" s="12" t="s">
        <v>277</v>
      </c>
      <c r="AB172" s="12" t="s">
        <v>277</v>
      </c>
      <c r="AC172" s="12" t="s">
        <v>277</v>
      </c>
      <c r="AD172" s="12" t="s">
        <v>277</v>
      </c>
      <c r="AE172" s="12" t="s">
        <v>277</v>
      </c>
      <c r="AF172" s="12" t="s">
        <v>277</v>
      </c>
      <c r="AG172" s="12" t="s">
        <v>277</v>
      </c>
      <c r="AH172" s="12" t="s">
        <v>277</v>
      </c>
      <c r="AI172" s="12" t="s">
        <v>277</v>
      </c>
      <c r="AJ172" s="12" t="s">
        <v>277</v>
      </c>
      <c r="AK172" s="12" t="s">
        <v>277</v>
      </c>
      <c r="AL172" s="12" t="s">
        <v>277</v>
      </c>
      <c r="AM172" s="12" t="s">
        <v>277</v>
      </c>
      <c r="AN172" s="12" t="s">
        <v>277</v>
      </c>
      <c r="AO172" s="12" t="s">
        <v>278</v>
      </c>
      <c r="AP172" s="12" t="s">
        <v>278</v>
      </c>
      <c r="AQ172" s="12" t="s">
        <v>550</v>
      </c>
      <c r="AR172" s="12" t="s">
        <v>323</v>
      </c>
      <c r="AS172" s="12" t="s">
        <v>507</v>
      </c>
      <c r="AT172" s="12" t="s">
        <v>286</v>
      </c>
      <c r="AU172" s="12" t="s">
        <v>327</v>
      </c>
      <c r="AV172" s="12" t="s">
        <v>675</v>
      </c>
      <c r="AW172" s="12" t="s">
        <v>472</v>
      </c>
      <c r="AX172" s="12" t="s">
        <v>424</v>
      </c>
      <c r="AY172" s="12" t="s">
        <v>516</v>
      </c>
      <c r="AZ172" s="12" t="s">
        <v>1010</v>
      </c>
      <c r="BA172" s="12" t="s">
        <v>1887</v>
      </c>
      <c r="BB172" s="12" t="s">
        <v>1070</v>
      </c>
      <c r="BC172" s="12" t="s">
        <v>1070</v>
      </c>
      <c r="BD172" s="12" t="s">
        <v>989</v>
      </c>
      <c r="BE172" s="12" t="s">
        <v>3019</v>
      </c>
      <c r="BF172" s="12" t="s">
        <v>705</v>
      </c>
      <c r="BG172" s="12" t="s">
        <v>1003</v>
      </c>
      <c r="BH172" s="12" t="s">
        <v>3020</v>
      </c>
      <c r="BI172" s="12" t="s">
        <v>3021</v>
      </c>
      <c r="BJ172" s="12" t="s">
        <v>3022</v>
      </c>
      <c r="BK172" s="12" t="s">
        <v>3023</v>
      </c>
      <c r="BL172" s="12" t="s">
        <v>3024</v>
      </c>
      <c r="BM172" s="12" t="s">
        <v>897</v>
      </c>
      <c r="BN172" s="12" t="s">
        <v>3025</v>
      </c>
      <c r="BO172" s="12" t="s">
        <v>3026</v>
      </c>
      <c r="BP172" s="12" t="s">
        <v>3027</v>
      </c>
      <c r="BQ172" s="12" t="s">
        <v>3028</v>
      </c>
      <c r="BR172" s="12" t="s">
        <v>3029</v>
      </c>
      <c r="BS172" s="12" t="s">
        <v>3030</v>
      </c>
      <c r="BT172" s="12" t="s">
        <v>3031</v>
      </c>
      <c r="BU172" s="12" t="s">
        <v>3032</v>
      </c>
      <c r="BV172" s="12" t="s">
        <v>3033</v>
      </c>
      <c r="BW172" s="12" t="s">
        <v>3034</v>
      </c>
      <c r="BX172" s="12" t="s">
        <v>3035</v>
      </c>
      <c r="BY172" s="12" t="s">
        <v>3036</v>
      </c>
      <c r="BZ172" s="12" t="s">
        <v>3037</v>
      </c>
      <c r="CA172" s="12" t="s">
        <v>3038</v>
      </c>
      <c r="CB172" s="12" t="s">
        <v>3039</v>
      </c>
      <c r="CC172" s="12" t="s">
        <v>3040</v>
      </c>
      <c r="CD172" s="12" t="s">
        <v>3041</v>
      </c>
      <c r="CE172" s="12" t="s">
        <v>3042</v>
      </c>
      <c r="CF172" s="12" t="s">
        <v>3043</v>
      </c>
      <c r="CG172" s="12" t="s">
        <v>3044</v>
      </c>
      <c r="CH172" s="12" t="s">
        <v>3045</v>
      </c>
      <c r="CI172" s="12" t="s">
        <v>3046</v>
      </c>
      <c r="CJ172" s="12" t="s">
        <v>3047</v>
      </c>
      <c r="CK172" s="12" t="s">
        <v>3048</v>
      </c>
      <c r="CL172" s="12" t="s">
        <v>3049</v>
      </c>
      <c r="CM172" s="12" t="s">
        <v>3050</v>
      </c>
      <c r="CN172" s="12" t="s">
        <v>3051</v>
      </c>
      <c r="CO172" s="12" t="s">
        <v>3052</v>
      </c>
      <c r="CP172" s="12" t="s">
        <v>3053</v>
      </c>
      <c r="CQ172" s="12" t="s">
        <v>3054</v>
      </c>
      <c r="CR172" s="12" t="s">
        <v>3055</v>
      </c>
      <c r="CS172" s="12" t="s">
        <v>3056</v>
      </c>
      <c r="CT172" s="12" t="s">
        <v>3057</v>
      </c>
      <c r="CU172" s="12" t="s">
        <v>4242</v>
      </c>
      <c r="CV172" s="12" t="s">
        <v>4243</v>
      </c>
      <c r="CW172" s="12" t="s">
        <v>4244</v>
      </c>
      <c r="CX172" s="12" t="s">
        <v>4245</v>
      </c>
    </row>
    <row r="173" spans="1:102" hidden="1" x14ac:dyDescent="0.3">
      <c r="A173" s="12" t="s">
        <v>12</v>
      </c>
      <c r="B173" s="12" t="s">
        <v>3058</v>
      </c>
      <c r="C173" s="12" t="s">
        <v>3059</v>
      </c>
      <c r="D173" s="12" t="s">
        <v>3060</v>
      </c>
      <c r="E173" s="12" t="s">
        <v>277</v>
      </c>
      <c r="F173" s="12" t="s">
        <v>277</v>
      </c>
      <c r="G173" s="12" t="s">
        <v>277</v>
      </c>
      <c r="H173" s="12" t="s">
        <v>277</v>
      </c>
      <c r="I173" s="12" t="s">
        <v>277</v>
      </c>
      <c r="J173" s="12" t="s">
        <v>277</v>
      </c>
      <c r="K173" s="12" t="s">
        <v>277</v>
      </c>
      <c r="L173" s="12" t="s">
        <v>277</v>
      </c>
      <c r="M173" s="12" t="s">
        <v>277</v>
      </c>
      <c r="N173" s="12" t="s">
        <v>277</v>
      </c>
      <c r="O173" s="12" t="s">
        <v>277</v>
      </c>
      <c r="P173" s="12" t="s">
        <v>277</v>
      </c>
      <c r="Q173" s="12" t="s">
        <v>277</v>
      </c>
      <c r="R173" s="12" t="s">
        <v>277</v>
      </c>
      <c r="S173" s="12" t="s">
        <v>277</v>
      </c>
      <c r="T173" s="12" t="s">
        <v>277</v>
      </c>
      <c r="U173" s="12" t="s">
        <v>277</v>
      </c>
      <c r="V173" s="12" t="s">
        <v>277</v>
      </c>
      <c r="W173" s="12" t="s">
        <v>277</v>
      </c>
      <c r="X173" s="12" t="s">
        <v>277</v>
      </c>
      <c r="Y173" s="12" t="s">
        <v>277</v>
      </c>
      <c r="Z173" s="12" t="s">
        <v>277</v>
      </c>
      <c r="AA173" s="12" t="s">
        <v>277</v>
      </c>
      <c r="AB173" s="12" t="s">
        <v>277</v>
      </c>
      <c r="AC173" s="12" t="s">
        <v>277</v>
      </c>
      <c r="AD173" s="12" t="s">
        <v>277</v>
      </c>
      <c r="AE173" s="12" t="s">
        <v>277</v>
      </c>
      <c r="AF173" s="12" t="s">
        <v>277</v>
      </c>
      <c r="AG173" s="12" t="s">
        <v>277</v>
      </c>
      <c r="AH173" s="12" t="s">
        <v>277</v>
      </c>
      <c r="AI173" s="12" t="s">
        <v>277</v>
      </c>
      <c r="AJ173" s="12" t="s">
        <v>277</v>
      </c>
      <c r="AK173" s="12" t="s">
        <v>277</v>
      </c>
      <c r="AL173" s="12" t="s">
        <v>277</v>
      </c>
      <c r="AM173" s="12" t="s">
        <v>277</v>
      </c>
      <c r="AN173" s="12" t="s">
        <v>277</v>
      </c>
      <c r="AO173" s="12" t="s">
        <v>277</v>
      </c>
      <c r="AP173" s="12" t="s">
        <v>278</v>
      </c>
      <c r="AQ173" s="12" t="s">
        <v>278</v>
      </c>
      <c r="AR173" s="12" t="s">
        <v>278</v>
      </c>
      <c r="AS173" s="12" t="s">
        <v>278</v>
      </c>
      <c r="AT173" s="12" t="s">
        <v>278</v>
      </c>
      <c r="AU173" s="12" t="s">
        <v>371</v>
      </c>
      <c r="AV173" s="12" t="s">
        <v>371</v>
      </c>
      <c r="AW173" s="12" t="s">
        <v>279</v>
      </c>
      <c r="AX173" s="12" t="s">
        <v>280</v>
      </c>
      <c r="AY173" s="12" t="s">
        <v>280</v>
      </c>
      <c r="AZ173" s="12" t="s">
        <v>280</v>
      </c>
      <c r="BA173" s="12" t="s">
        <v>280</v>
      </c>
      <c r="BB173" s="12" t="s">
        <v>280</v>
      </c>
      <c r="BC173" s="12" t="s">
        <v>280</v>
      </c>
      <c r="BD173" s="12" t="s">
        <v>280</v>
      </c>
      <c r="BE173" s="12" t="s">
        <v>550</v>
      </c>
      <c r="BF173" s="12" t="s">
        <v>454</v>
      </c>
      <c r="BG173" s="12" t="s">
        <v>454</v>
      </c>
      <c r="BH173" s="12" t="s">
        <v>324</v>
      </c>
      <c r="BI173" s="12" t="s">
        <v>374</v>
      </c>
      <c r="BJ173" s="12" t="s">
        <v>568</v>
      </c>
      <c r="BK173" s="12" t="s">
        <v>417</v>
      </c>
      <c r="BL173" s="12" t="s">
        <v>508</v>
      </c>
      <c r="BM173" s="12" t="s">
        <v>562</v>
      </c>
      <c r="BN173" s="12" t="s">
        <v>562</v>
      </c>
      <c r="BO173" s="12" t="s">
        <v>1321</v>
      </c>
      <c r="BP173" s="12" t="s">
        <v>685</v>
      </c>
      <c r="BQ173" s="12" t="s">
        <v>1526</v>
      </c>
      <c r="BR173" s="12" t="s">
        <v>981</v>
      </c>
      <c r="BS173" s="12" t="s">
        <v>1761</v>
      </c>
      <c r="BT173" s="12" t="s">
        <v>736</v>
      </c>
      <c r="BU173" s="12" t="s">
        <v>478</v>
      </c>
      <c r="BV173" s="12" t="s">
        <v>1691</v>
      </c>
      <c r="BW173" s="12" t="s">
        <v>2985</v>
      </c>
      <c r="BX173" s="12" t="s">
        <v>3061</v>
      </c>
      <c r="BY173" s="12" t="s">
        <v>3062</v>
      </c>
      <c r="BZ173" s="12" t="s">
        <v>1374</v>
      </c>
      <c r="CA173" s="12" t="s">
        <v>534</v>
      </c>
      <c r="CB173" s="12" t="s">
        <v>3063</v>
      </c>
      <c r="CC173" s="12" t="s">
        <v>3064</v>
      </c>
      <c r="CD173" s="12" t="s">
        <v>3065</v>
      </c>
      <c r="CE173" s="12" t="s">
        <v>2847</v>
      </c>
      <c r="CF173" s="12" t="s">
        <v>807</v>
      </c>
      <c r="CG173" s="12" t="s">
        <v>3066</v>
      </c>
      <c r="CH173" s="12" t="s">
        <v>3067</v>
      </c>
      <c r="CI173" s="12" t="s">
        <v>1469</v>
      </c>
      <c r="CJ173" s="12" t="s">
        <v>3068</v>
      </c>
      <c r="CK173" s="12" t="s">
        <v>3069</v>
      </c>
      <c r="CL173" s="12" t="s">
        <v>542</v>
      </c>
      <c r="CM173" s="12" t="s">
        <v>3070</v>
      </c>
      <c r="CN173" s="12" t="s">
        <v>3071</v>
      </c>
      <c r="CO173" s="12" t="s">
        <v>3072</v>
      </c>
      <c r="CP173" s="12" t="s">
        <v>3073</v>
      </c>
      <c r="CQ173" s="12" t="s">
        <v>1169</v>
      </c>
      <c r="CR173" s="12" t="s">
        <v>485</v>
      </c>
      <c r="CS173" s="12" t="s">
        <v>1483</v>
      </c>
      <c r="CT173" s="12" t="s">
        <v>3074</v>
      </c>
      <c r="CU173" s="12" t="s">
        <v>4246</v>
      </c>
      <c r="CV173" s="12" t="s">
        <v>4247</v>
      </c>
      <c r="CW173" s="12" t="s">
        <v>4248</v>
      </c>
      <c r="CX173" s="12" t="s">
        <v>4249</v>
      </c>
    </row>
    <row r="174" spans="1:102" hidden="1" x14ac:dyDescent="0.3">
      <c r="A174" s="12" t="s">
        <v>12</v>
      </c>
      <c r="B174" s="12" t="s">
        <v>3075</v>
      </c>
      <c r="C174" s="12" t="s">
        <v>3076</v>
      </c>
      <c r="D174" s="12" t="s">
        <v>3077</v>
      </c>
      <c r="E174" s="12" t="s">
        <v>277</v>
      </c>
      <c r="F174" s="12" t="s">
        <v>277</v>
      </c>
      <c r="G174" s="12" t="s">
        <v>277</v>
      </c>
      <c r="H174" s="12" t="s">
        <v>277</v>
      </c>
      <c r="I174" s="12" t="s">
        <v>277</v>
      </c>
      <c r="J174" s="12" t="s">
        <v>277</v>
      </c>
      <c r="K174" s="12" t="s">
        <v>277</v>
      </c>
      <c r="L174" s="12" t="s">
        <v>277</v>
      </c>
      <c r="M174" s="12" t="s">
        <v>277</v>
      </c>
      <c r="N174" s="12" t="s">
        <v>277</v>
      </c>
      <c r="O174" s="12" t="s">
        <v>277</v>
      </c>
      <c r="P174" s="12" t="s">
        <v>277</v>
      </c>
      <c r="Q174" s="12" t="s">
        <v>277</v>
      </c>
      <c r="R174" s="12" t="s">
        <v>277</v>
      </c>
      <c r="S174" s="12" t="s">
        <v>277</v>
      </c>
      <c r="T174" s="12" t="s">
        <v>277</v>
      </c>
      <c r="U174" s="12" t="s">
        <v>277</v>
      </c>
      <c r="V174" s="12" t="s">
        <v>277</v>
      </c>
      <c r="W174" s="12" t="s">
        <v>277</v>
      </c>
      <c r="X174" s="12" t="s">
        <v>277</v>
      </c>
      <c r="Y174" s="12" t="s">
        <v>277</v>
      </c>
      <c r="Z174" s="12" t="s">
        <v>277</v>
      </c>
      <c r="AA174" s="12" t="s">
        <v>277</v>
      </c>
      <c r="AB174" s="12" t="s">
        <v>277</v>
      </c>
      <c r="AC174" s="12" t="s">
        <v>277</v>
      </c>
      <c r="AD174" s="12" t="s">
        <v>277</v>
      </c>
      <c r="AE174" s="12" t="s">
        <v>277</v>
      </c>
      <c r="AF174" s="12" t="s">
        <v>277</v>
      </c>
      <c r="AG174" s="12" t="s">
        <v>277</v>
      </c>
      <c r="AH174" s="12" t="s">
        <v>277</v>
      </c>
      <c r="AI174" s="12" t="s">
        <v>277</v>
      </c>
      <c r="AJ174" s="12" t="s">
        <v>277</v>
      </c>
      <c r="AK174" s="12" t="s">
        <v>277</v>
      </c>
      <c r="AL174" s="12" t="s">
        <v>277</v>
      </c>
      <c r="AM174" s="12" t="s">
        <v>277</v>
      </c>
      <c r="AN174" s="12" t="s">
        <v>277</v>
      </c>
      <c r="AO174" s="12" t="s">
        <v>277</v>
      </c>
      <c r="AP174" s="12" t="s">
        <v>277</v>
      </c>
      <c r="AQ174" s="12" t="s">
        <v>277</v>
      </c>
      <c r="AR174" s="12" t="s">
        <v>277</v>
      </c>
      <c r="AS174" s="12" t="s">
        <v>277</v>
      </c>
      <c r="AT174" s="12" t="s">
        <v>277</v>
      </c>
      <c r="AU174" s="12" t="s">
        <v>277</v>
      </c>
      <c r="AV174" s="12" t="s">
        <v>277</v>
      </c>
      <c r="AW174" s="12" t="s">
        <v>277</v>
      </c>
      <c r="AX174" s="12" t="s">
        <v>277</v>
      </c>
      <c r="AY174" s="12" t="s">
        <v>277</v>
      </c>
      <c r="AZ174" s="12" t="s">
        <v>277</v>
      </c>
      <c r="BA174" s="12" t="s">
        <v>277</v>
      </c>
      <c r="BB174" s="12" t="s">
        <v>277</v>
      </c>
      <c r="BC174" s="12" t="s">
        <v>277</v>
      </c>
      <c r="BD174" s="12" t="s">
        <v>277</v>
      </c>
      <c r="BE174" s="12" t="s">
        <v>277</v>
      </c>
      <c r="BF174" s="12" t="s">
        <v>277</v>
      </c>
      <c r="BG174" s="12" t="s">
        <v>277</v>
      </c>
      <c r="BH174" s="12" t="s">
        <v>277</v>
      </c>
      <c r="BI174" s="12" t="s">
        <v>277</v>
      </c>
      <c r="BJ174" s="12" t="s">
        <v>278</v>
      </c>
      <c r="BK174" s="12" t="s">
        <v>278</v>
      </c>
      <c r="BL174" s="12" t="s">
        <v>322</v>
      </c>
      <c r="BM174" s="12" t="s">
        <v>322</v>
      </c>
      <c r="BN174" s="12" t="s">
        <v>322</v>
      </c>
      <c r="BO174" s="12" t="s">
        <v>322</v>
      </c>
      <c r="BP174" s="12" t="s">
        <v>322</v>
      </c>
      <c r="BQ174" s="12" t="s">
        <v>322</v>
      </c>
      <c r="BR174" s="12" t="s">
        <v>322</v>
      </c>
      <c r="BS174" s="12" t="s">
        <v>279</v>
      </c>
      <c r="BT174" s="12" t="s">
        <v>279</v>
      </c>
      <c r="BU174" s="12" t="s">
        <v>279</v>
      </c>
      <c r="BV174" s="12" t="s">
        <v>280</v>
      </c>
      <c r="BW174" s="12" t="s">
        <v>280</v>
      </c>
      <c r="BX174" s="12" t="s">
        <v>280</v>
      </c>
      <c r="BY174" s="12" t="s">
        <v>280</v>
      </c>
      <c r="BZ174" s="12" t="s">
        <v>280</v>
      </c>
      <c r="CA174" s="12" t="s">
        <v>550</v>
      </c>
      <c r="CB174" s="12" t="s">
        <v>550</v>
      </c>
      <c r="CC174" s="12" t="s">
        <v>550</v>
      </c>
      <c r="CD174" s="12" t="s">
        <v>550</v>
      </c>
      <c r="CE174" s="12" t="s">
        <v>281</v>
      </c>
      <c r="CF174" s="12" t="s">
        <v>281</v>
      </c>
      <c r="CG174" s="12" t="s">
        <v>454</v>
      </c>
      <c r="CH174" s="12" t="s">
        <v>460</v>
      </c>
      <c r="CI174" s="12" t="s">
        <v>460</v>
      </c>
      <c r="CJ174" s="12" t="s">
        <v>460</v>
      </c>
      <c r="CK174" s="12" t="s">
        <v>460</v>
      </c>
      <c r="CL174" s="12" t="s">
        <v>460</v>
      </c>
      <c r="CM174" s="12" t="s">
        <v>460</v>
      </c>
      <c r="CN174" s="12" t="s">
        <v>460</v>
      </c>
      <c r="CO174" s="12" t="s">
        <v>323</v>
      </c>
      <c r="CP174" s="12" t="s">
        <v>323</v>
      </c>
      <c r="CQ174" s="12" t="s">
        <v>323</v>
      </c>
      <c r="CR174" s="12" t="s">
        <v>323</v>
      </c>
      <c r="CS174" s="12" t="s">
        <v>282</v>
      </c>
      <c r="CT174" s="12" t="s">
        <v>282</v>
      </c>
      <c r="CU174" s="12" t="s">
        <v>324</v>
      </c>
      <c r="CV174" s="12" t="s">
        <v>567</v>
      </c>
      <c r="CW174" s="12" t="s">
        <v>567</v>
      </c>
      <c r="CX174" s="12" t="s">
        <v>567</v>
      </c>
    </row>
    <row r="175" spans="1:102" hidden="1" x14ac:dyDescent="0.3">
      <c r="A175" s="12" t="s">
        <v>12</v>
      </c>
      <c r="B175" s="12" t="s">
        <v>3078</v>
      </c>
      <c r="C175" s="12" t="s">
        <v>3079</v>
      </c>
      <c r="D175" s="12" t="s">
        <v>3080</v>
      </c>
      <c r="E175" s="12" t="s">
        <v>277</v>
      </c>
      <c r="F175" s="12" t="s">
        <v>277</v>
      </c>
      <c r="G175" s="12" t="s">
        <v>277</v>
      </c>
      <c r="H175" s="12" t="s">
        <v>277</v>
      </c>
      <c r="I175" s="12" t="s">
        <v>277</v>
      </c>
      <c r="J175" s="12" t="s">
        <v>277</v>
      </c>
      <c r="K175" s="12" t="s">
        <v>277</v>
      </c>
      <c r="L175" s="12" t="s">
        <v>277</v>
      </c>
      <c r="M175" s="12" t="s">
        <v>277</v>
      </c>
      <c r="N175" s="12" t="s">
        <v>277</v>
      </c>
      <c r="O175" s="12" t="s">
        <v>277</v>
      </c>
      <c r="P175" s="12" t="s">
        <v>277</v>
      </c>
      <c r="Q175" s="12" t="s">
        <v>277</v>
      </c>
      <c r="R175" s="12" t="s">
        <v>277</v>
      </c>
      <c r="S175" s="12" t="s">
        <v>277</v>
      </c>
      <c r="T175" s="12" t="s">
        <v>277</v>
      </c>
      <c r="U175" s="12" t="s">
        <v>277</v>
      </c>
      <c r="V175" s="12" t="s">
        <v>277</v>
      </c>
      <c r="W175" s="12" t="s">
        <v>277</v>
      </c>
      <c r="X175" s="12" t="s">
        <v>277</v>
      </c>
      <c r="Y175" s="12" t="s">
        <v>277</v>
      </c>
      <c r="Z175" s="12" t="s">
        <v>277</v>
      </c>
      <c r="AA175" s="12" t="s">
        <v>277</v>
      </c>
      <c r="AB175" s="12" t="s">
        <v>277</v>
      </c>
      <c r="AC175" s="12" t="s">
        <v>277</v>
      </c>
      <c r="AD175" s="12" t="s">
        <v>277</v>
      </c>
      <c r="AE175" s="12" t="s">
        <v>277</v>
      </c>
      <c r="AF175" s="12" t="s">
        <v>277</v>
      </c>
      <c r="AG175" s="12" t="s">
        <v>277</v>
      </c>
      <c r="AH175" s="12" t="s">
        <v>277</v>
      </c>
      <c r="AI175" s="12" t="s">
        <v>277</v>
      </c>
      <c r="AJ175" s="12" t="s">
        <v>277</v>
      </c>
      <c r="AK175" s="12" t="s">
        <v>277</v>
      </c>
      <c r="AL175" s="12" t="s">
        <v>277</v>
      </c>
      <c r="AM175" s="12" t="s">
        <v>277</v>
      </c>
      <c r="AN175" s="12" t="s">
        <v>277</v>
      </c>
      <c r="AO175" s="12" t="s">
        <v>277</v>
      </c>
      <c r="AP175" s="12" t="s">
        <v>277</v>
      </c>
      <c r="AQ175" s="12" t="s">
        <v>277</v>
      </c>
      <c r="AR175" s="12" t="s">
        <v>277</v>
      </c>
      <c r="AS175" s="12" t="s">
        <v>277</v>
      </c>
      <c r="AT175" s="12" t="s">
        <v>277</v>
      </c>
      <c r="AU175" s="12" t="s">
        <v>277</v>
      </c>
      <c r="AV175" s="12" t="s">
        <v>277</v>
      </c>
      <c r="AW175" s="12" t="s">
        <v>277</v>
      </c>
      <c r="AX175" s="12" t="s">
        <v>277</v>
      </c>
      <c r="AY175" s="12" t="s">
        <v>277</v>
      </c>
      <c r="AZ175" s="12" t="s">
        <v>277</v>
      </c>
      <c r="BA175" s="12" t="s">
        <v>277</v>
      </c>
      <c r="BB175" s="12" t="s">
        <v>277</v>
      </c>
      <c r="BC175" s="12" t="s">
        <v>277</v>
      </c>
      <c r="BD175" s="12" t="s">
        <v>277</v>
      </c>
      <c r="BE175" s="12" t="s">
        <v>277</v>
      </c>
      <c r="BF175" s="12" t="s">
        <v>277</v>
      </c>
      <c r="BG175" s="12" t="s">
        <v>277</v>
      </c>
      <c r="BH175" s="12" t="s">
        <v>277</v>
      </c>
      <c r="BI175" s="12" t="s">
        <v>277</v>
      </c>
      <c r="BJ175" s="12" t="s">
        <v>277</v>
      </c>
      <c r="BK175" s="12" t="s">
        <v>278</v>
      </c>
      <c r="BL175" s="12" t="s">
        <v>278</v>
      </c>
      <c r="BM175" s="12" t="s">
        <v>322</v>
      </c>
      <c r="BN175" s="12" t="s">
        <v>371</v>
      </c>
      <c r="BO175" s="12" t="s">
        <v>371</v>
      </c>
      <c r="BP175" s="12" t="s">
        <v>281</v>
      </c>
      <c r="BQ175" s="12" t="s">
        <v>323</v>
      </c>
      <c r="BR175" s="12" t="s">
        <v>323</v>
      </c>
      <c r="BS175" s="12" t="s">
        <v>323</v>
      </c>
      <c r="BT175" s="12" t="s">
        <v>507</v>
      </c>
      <c r="BU175" s="12" t="s">
        <v>612</v>
      </c>
      <c r="BV175" s="12" t="s">
        <v>612</v>
      </c>
      <c r="BW175" s="12" t="s">
        <v>288</v>
      </c>
      <c r="BX175" s="12" t="s">
        <v>677</v>
      </c>
      <c r="BY175" s="12" t="s">
        <v>292</v>
      </c>
      <c r="BZ175" s="12" t="s">
        <v>619</v>
      </c>
      <c r="CA175" s="12" t="s">
        <v>620</v>
      </c>
      <c r="CB175" s="12" t="s">
        <v>1189</v>
      </c>
      <c r="CC175" s="12" t="s">
        <v>727</v>
      </c>
      <c r="CD175" s="12" t="s">
        <v>1217</v>
      </c>
      <c r="CE175" s="12" t="s">
        <v>1393</v>
      </c>
      <c r="CF175" s="12" t="s">
        <v>666</v>
      </c>
      <c r="CG175" s="12" t="s">
        <v>1401</v>
      </c>
      <c r="CH175" s="12" t="s">
        <v>1420</v>
      </c>
      <c r="CI175" s="12" t="s">
        <v>1420</v>
      </c>
      <c r="CJ175" s="12" t="s">
        <v>1682</v>
      </c>
      <c r="CK175" s="12" t="s">
        <v>363</v>
      </c>
      <c r="CL175" s="12" t="s">
        <v>363</v>
      </c>
      <c r="CM175" s="12" t="s">
        <v>3081</v>
      </c>
      <c r="CN175" s="12" t="s">
        <v>1769</v>
      </c>
      <c r="CO175" s="12" t="s">
        <v>2399</v>
      </c>
      <c r="CP175" s="12" t="s">
        <v>2399</v>
      </c>
      <c r="CQ175" s="12" t="s">
        <v>1888</v>
      </c>
      <c r="CR175" s="12" t="s">
        <v>1873</v>
      </c>
      <c r="CS175" s="12" t="s">
        <v>3082</v>
      </c>
      <c r="CT175" s="12" t="s">
        <v>1874</v>
      </c>
      <c r="CU175" s="12" t="s">
        <v>1548</v>
      </c>
      <c r="CV175" s="12" t="s">
        <v>445</v>
      </c>
      <c r="CW175" s="12" t="s">
        <v>2686</v>
      </c>
      <c r="CX175" s="12" t="s">
        <v>3512</v>
      </c>
    </row>
    <row r="176" spans="1:102" hidden="1" x14ac:dyDescent="0.3">
      <c r="A176" s="12" t="s">
        <v>12</v>
      </c>
      <c r="B176" s="12" t="s">
        <v>3083</v>
      </c>
      <c r="C176" s="12" t="s">
        <v>3084</v>
      </c>
      <c r="D176" s="12" t="s">
        <v>3085</v>
      </c>
      <c r="E176" s="12" t="s">
        <v>277</v>
      </c>
      <c r="F176" s="12" t="s">
        <v>277</v>
      </c>
      <c r="G176" s="12" t="s">
        <v>277</v>
      </c>
      <c r="H176" s="12" t="s">
        <v>277</v>
      </c>
      <c r="I176" s="12" t="s">
        <v>277</v>
      </c>
      <c r="J176" s="12" t="s">
        <v>277</v>
      </c>
      <c r="K176" s="12" t="s">
        <v>277</v>
      </c>
      <c r="L176" s="12" t="s">
        <v>277</v>
      </c>
      <c r="M176" s="12" t="s">
        <v>277</v>
      </c>
      <c r="N176" s="12" t="s">
        <v>277</v>
      </c>
      <c r="O176" s="12" t="s">
        <v>277</v>
      </c>
      <c r="P176" s="12" t="s">
        <v>277</v>
      </c>
      <c r="Q176" s="12" t="s">
        <v>277</v>
      </c>
      <c r="R176" s="12" t="s">
        <v>277</v>
      </c>
      <c r="S176" s="12" t="s">
        <v>277</v>
      </c>
      <c r="T176" s="12" t="s">
        <v>277</v>
      </c>
      <c r="U176" s="12" t="s">
        <v>277</v>
      </c>
      <c r="V176" s="12" t="s">
        <v>277</v>
      </c>
      <c r="W176" s="12" t="s">
        <v>277</v>
      </c>
      <c r="X176" s="12" t="s">
        <v>277</v>
      </c>
      <c r="Y176" s="12" t="s">
        <v>277</v>
      </c>
      <c r="Z176" s="12" t="s">
        <v>277</v>
      </c>
      <c r="AA176" s="12" t="s">
        <v>277</v>
      </c>
      <c r="AB176" s="12" t="s">
        <v>277</v>
      </c>
      <c r="AC176" s="12" t="s">
        <v>277</v>
      </c>
      <c r="AD176" s="12" t="s">
        <v>277</v>
      </c>
      <c r="AE176" s="12" t="s">
        <v>277</v>
      </c>
      <c r="AF176" s="12" t="s">
        <v>277</v>
      </c>
      <c r="AG176" s="12" t="s">
        <v>277</v>
      </c>
      <c r="AH176" s="12" t="s">
        <v>277</v>
      </c>
      <c r="AI176" s="12" t="s">
        <v>277</v>
      </c>
      <c r="AJ176" s="12" t="s">
        <v>277</v>
      </c>
      <c r="AK176" s="12" t="s">
        <v>277</v>
      </c>
      <c r="AL176" s="12" t="s">
        <v>277</v>
      </c>
      <c r="AM176" s="12" t="s">
        <v>277</v>
      </c>
      <c r="AN176" s="12" t="s">
        <v>277</v>
      </c>
      <c r="AO176" s="12" t="s">
        <v>277</v>
      </c>
      <c r="AP176" s="12" t="s">
        <v>278</v>
      </c>
      <c r="AQ176" s="12" t="s">
        <v>278</v>
      </c>
      <c r="AR176" s="12" t="s">
        <v>278</v>
      </c>
      <c r="AS176" s="12" t="s">
        <v>278</v>
      </c>
      <c r="AT176" s="12" t="s">
        <v>278</v>
      </c>
      <c r="AU176" s="12" t="s">
        <v>278</v>
      </c>
      <c r="AV176" s="12" t="s">
        <v>278</v>
      </c>
      <c r="AW176" s="12" t="s">
        <v>278</v>
      </c>
      <c r="AX176" s="12" t="s">
        <v>278</v>
      </c>
      <c r="AY176" s="12" t="s">
        <v>278</v>
      </c>
      <c r="AZ176" s="12" t="s">
        <v>322</v>
      </c>
      <c r="BA176" s="12" t="s">
        <v>322</v>
      </c>
      <c r="BB176" s="12" t="s">
        <v>322</v>
      </c>
      <c r="BC176" s="12" t="s">
        <v>322</v>
      </c>
      <c r="BD176" s="12" t="s">
        <v>322</v>
      </c>
      <c r="BE176" s="12" t="s">
        <v>322</v>
      </c>
      <c r="BF176" s="12" t="s">
        <v>322</v>
      </c>
      <c r="BG176" s="12" t="s">
        <v>322</v>
      </c>
      <c r="BH176" s="12" t="s">
        <v>371</v>
      </c>
      <c r="BI176" s="12" t="s">
        <v>454</v>
      </c>
      <c r="BJ176" s="12" t="s">
        <v>454</v>
      </c>
      <c r="BK176" s="12" t="s">
        <v>324</v>
      </c>
      <c r="BL176" s="12" t="s">
        <v>285</v>
      </c>
      <c r="BM176" s="12" t="s">
        <v>1716</v>
      </c>
      <c r="BN176" s="12" t="s">
        <v>287</v>
      </c>
      <c r="BO176" s="12" t="s">
        <v>795</v>
      </c>
      <c r="BP176" s="12" t="s">
        <v>329</v>
      </c>
      <c r="BQ176" s="12" t="s">
        <v>569</v>
      </c>
      <c r="BR176" s="12" t="s">
        <v>333</v>
      </c>
      <c r="BS176" s="12" t="s">
        <v>335</v>
      </c>
      <c r="BT176" s="12" t="s">
        <v>678</v>
      </c>
      <c r="BU176" s="12" t="s">
        <v>746</v>
      </c>
      <c r="BV176" s="12" t="s">
        <v>1055</v>
      </c>
      <c r="BW176" s="12" t="s">
        <v>294</v>
      </c>
      <c r="BX176" s="12" t="s">
        <v>620</v>
      </c>
      <c r="BY176" s="12" t="s">
        <v>574</v>
      </c>
      <c r="BZ176" s="12" t="s">
        <v>825</v>
      </c>
      <c r="CA176" s="12" t="s">
        <v>1205</v>
      </c>
      <c r="CB176" s="12" t="s">
        <v>1322</v>
      </c>
      <c r="CC176" s="12" t="s">
        <v>1190</v>
      </c>
      <c r="CD176" s="12" t="s">
        <v>3086</v>
      </c>
      <c r="CE176" s="12" t="s">
        <v>1094</v>
      </c>
      <c r="CF176" s="12" t="s">
        <v>657</v>
      </c>
      <c r="CG176" s="12" t="s">
        <v>1095</v>
      </c>
      <c r="CH176" s="12" t="s">
        <v>980</v>
      </c>
      <c r="CI176" s="12" t="s">
        <v>1443</v>
      </c>
      <c r="CJ176" s="12" t="s">
        <v>1679</v>
      </c>
      <c r="CK176" s="12" t="s">
        <v>519</v>
      </c>
      <c r="CL176" s="12" t="s">
        <v>1397</v>
      </c>
      <c r="CM176" s="12" t="s">
        <v>625</v>
      </c>
      <c r="CN176" s="12" t="s">
        <v>1101</v>
      </c>
      <c r="CO176" s="12" t="s">
        <v>3081</v>
      </c>
      <c r="CP176" s="12" t="s">
        <v>307</v>
      </c>
      <c r="CQ176" s="12" t="s">
        <v>307</v>
      </c>
      <c r="CR176" s="12" t="s">
        <v>632</v>
      </c>
      <c r="CS176" s="12" t="s">
        <v>1564</v>
      </c>
      <c r="CT176" s="12" t="s">
        <v>1457</v>
      </c>
      <c r="CU176" s="12" t="s">
        <v>1894</v>
      </c>
      <c r="CV176" s="12" t="s">
        <v>1577</v>
      </c>
      <c r="CW176" s="12" t="s">
        <v>719</v>
      </c>
      <c r="CX176" s="12" t="s">
        <v>1493</v>
      </c>
    </row>
    <row r="177" spans="1:102" hidden="1" x14ac:dyDescent="0.3">
      <c r="A177" s="12" t="s">
        <v>12</v>
      </c>
      <c r="B177" s="12" t="s">
        <v>3087</v>
      </c>
      <c r="C177" s="12" t="s">
        <v>3088</v>
      </c>
      <c r="D177" s="12" t="s">
        <v>3089</v>
      </c>
      <c r="E177" s="12" t="s">
        <v>277</v>
      </c>
      <c r="F177" s="12" t="s">
        <v>277</v>
      </c>
      <c r="G177" s="12" t="s">
        <v>277</v>
      </c>
      <c r="H177" s="12" t="s">
        <v>277</v>
      </c>
      <c r="I177" s="12" t="s">
        <v>277</v>
      </c>
      <c r="J177" s="12" t="s">
        <v>277</v>
      </c>
      <c r="K177" s="12" t="s">
        <v>277</v>
      </c>
      <c r="L177" s="12" t="s">
        <v>277</v>
      </c>
      <c r="M177" s="12" t="s">
        <v>277</v>
      </c>
      <c r="N177" s="12" t="s">
        <v>277</v>
      </c>
      <c r="O177" s="12" t="s">
        <v>277</v>
      </c>
      <c r="P177" s="12" t="s">
        <v>277</v>
      </c>
      <c r="Q177" s="12" t="s">
        <v>277</v>
      </c>
      <c r="R177" s="12" t="s">
        <v>277</v>
      </c>
      <c r="S177" s="12" t="s">
        <v>277</v>
      </c>
      <c r="T177" s="12" t="s">
        <v>277</v>
      </c>
      <c r="U177" s="12" t="s">
        <v>277</v>
      </c>
      <c r="V177" s="12" t="s">
        <v>277</v>
      </c>
      <c r="W177" s="12" t="s">
        <v>277</v>
      </c>
      <c r="X177" s="12" t="s">
        <v>277</v>
      </c>
      <c r="Y177" s="12" t="s">
        <v>277</v>
      </c>
      <c r="Z177" s="12" t="s">
        <v>277</v>
      </c>
      <c r="AA177" s="12" t="s">
        <v>277</v>
      </c>
      <c r="AB177" s="12" t="s">
        <v>277</v>
      </c>
      <c r="AC177" s="12" t="s">
        <v>277</v>
      </c>
      <c r="AD177" s="12" t="s">
        <v>277</v>
      </c>
      <c r="AE177" s="12" t="s">
        <v>277</v>
      </c>
      <c r="AF177" s="12" t="s">
        <v>277</v>
      </c>
      <c r="AG177" s="12" t="s">
        <v>277</v>
      </c>
      <c r="AH177" s="12" t="s">
        <v>277</v>
      </c>
      <c r="AI177" s="12" t="s">
        <v>277</v>
      </c>
      <c r="AJ177" s="12" t="s">
        <v>277</v>
      </c>
      <c r="AK177" s="12" t="s">
        <v>277</v>
      </c>
      <c r="AL177" s="12" t="s">
        <v>277</v>
      </c>
      <c r="AM177" s="12" t="s">
        <v>277</v>
      </c>
      <c r="AN177" s="12" t="s">
        <v>278</v>
      </c>
      <c r="AO177" s="12" t="s">
        <v>278</v>
      </c>
      <c r="AP177" s="12" t="s">
        <v>278</v>
      </c>
      <c r="AQ177" s="12" t="s">
        <v>278</v>
      </c>
      <c r="AR177" s="12" t="s">
        <v>278</v>
      </c>
      <c r="AS177" s="12" t="s">
        <v>278</v>
      </c>
      <c r="AT177" s="12" t="s">
        <v>278</v>
      </c>
      <c r="AU177" s="12" t="s">
        <v>278</v>
      </c>
      <c r="AV177" s="12" t="s">
        <v>278</v>
      </c>
      <c r="AW177" s="12" t="s">
        <v>371</v>
      </c>
      <c r="AX177" s="12" t="s">
        <v>371</v>
      </c>
      <c r="AY177" s="12" t="s">
        <v>371</v>
      </c>
      <c r="AZ177" s="12" t="s">
        <v>371</v>
      </c>
      <c r="BA177" s="12" t="s">
        <v>281</v>
      </c>
      <c r="BB177" s="12" t="s">
        <v>281</v>
      </c>
      <c r="BC177" s="12" t="s">
        <v>281</v>
      </c>
      <c r="BD177" s="12" t="s">
        <v>455</v>
      </c>
      <c r="BE177" s="12" t="s">
        <v>455</v>
      </c>
      <c r="BF177" s="12" t="s">
        <v>455</v>
      </c>
      <c r="BG177" s="12" t="s">
        <v>507</v>
      </c>
      <c r="BH177" s="12" t="s">
        <v>375</v>
      </c>
      <c r="BI177" s="12" t="s">
        <v>616</v>
      </c>
      <c r="BJ177" s="12" t="s">
        <v>377</v>
      </c>
      <c r="BK177" s="12" t="s">
        <v>654</v>
      </c>
      <c r="BL177" s="12" t="s">
        <v>823</v>
      </c>
      <c r="BM177" s="12" t="s">
        <v>510</v>
      </c>
      <c r="BN177" s="12" t="s">
        <v>511</v>
      </c>
      <c r="BO177" s="12" t="s">
        <v>1203</v>
      </c>
      <c r="BP177" s="12" t="s">
        <v>1229</v>
      </c>
      <c r="BQ177" s="12" t="s">
        <v>383</v>
      </c>
      <c r="BR177" s="12" t="s">
        <v>1268</v>
      </c>
      <c r="BS177" s="12" t="s">
        <v>1206</v>
      </c>
      <c r="BT177" s="12" t="s">
        <v>344</v>
      </c>
      <c r="BU177" s="12" t="s">
        <v>828</v>
      </c>
      <c r="BV177" s="12" t="s">
        <v>518</v>
      </c>
      <c r="BW177" s="12" t="s">
        <v>966</v>
      </c>
      <c r="BX177" s="12" t="s">
        <v>1097</v>
      </c>
      <c r="BY177" s="12" t="s">
        <v>2357</v>
      </c>
      <c r="BZ177" s="12" t="s">
        <v>1544</v>
      </c>
      <c r="CA177" s="12" t="s">
        <v>305</v>
      </c>
      <c r="CB177" s="12" t="s">
        <v>1682</v>
      </c>
      <c r="CC177" s="12" t="s">
        <v>1804</v>
      </c>
      <c r="CD177" s="12" t="s">
        <v>1160</v>
      </c>
      <c r="CE177" s="12" t="s">
        <v>366</v>
      </c>
      <c r="CF177" s="12" t="s">
        <v>1662</v>
      </c>
      <c r="CG177" s="12" t="s">
        <v>1740</v>
      </c>
      <c r="CH177" s="12" t="s">
        <v>3090</v>
      </c>
      <c r="CI177" s="12" t="s">
        <v>3091</v>
      </c>
      <c r="CJ177" s="12" t="s">
        <v>3092</v>
      </c>
      <c r="CK177" s="12" t="s">
        <v>639</v>
      </c>
      <c r="CL177" s="12" t="s">
        <v>3093</v>
      </c>
      <c r="CM177" s="12" t="s">
        <v>1809</v>
      </c>
      <c r="CN177" s="12" t="s">
        <v>3094</v>
      </c>
      <c r="CO177" s="12" t="s">
        <v>2132</v>
      </c>
      <c r="CP177" s="12" t="s">
        <v>3095</v>
      </c>
      <c r="CQ177" s="12" t="s">
        <v>867</v>
      </c>
      <c r="CR177" s="12" t="s">
        <v>3096</v>
      </c>
      <c r="CS177" s="12" t="s">
        <v>2808</v>
      </c>
      <c r="CT177" s="12" t="s">
        <v>1988</v>
      </c>
      <c r="CU177" s="12" t="s">
        <v>4250</v>
      </c>
      <c r="CV177" s="12" t="s">
        <v>3069</v>
      </c>
      <c r="CW177" s="12" t="s">
        <v>4099</v>
      </c>
      <c r="CX177" s="12" t="s">
        <v>1004</v>
      </c>
    </row>
    <row r="178" spans="1:102" hidden="1" x14ac:dyDescent="0.3">
      <c r="A178" s="12" t="s">
        <v>12</v>
      </c>
      <c r="B178" s="12" t="s">
        <v>3097</v>
      </c>
      <c r="C178" s="12" t="s">
        <v>3098</v>
      </c>
      <c r="D178" s="12" t="s">
        <v>3099</v>
      </c>
      <c r="E178" s="12" t="s">
        <v>277</v>
      </c>
      <c r="F178" s="12" t="s">
        <v>277</v>
      </c>
      <c r="G178" s="12" t="s">
        <v>277</v>
      </c>
      <c r="H178" s="12" t="s">
        <v>277</v>
      </c>
      <c r="I178" s="12" t="s">
        <v>277</v>
      </c>
      <c r="J178" s="12" t="s">
        <v>277</v>
      </c>
      <c r="K178" s="12" t="s">
        <v>277</v>
      </c>
      <c r="L178" s="12" t="s">
        <v>277</v>
      </c>
      <c r="M178" s="12" t="s">
        <v>277</v>
      </c>
      <c r="N178" s="12" t="s">
        <v>277</v>
      </c>
      <c r="O178" s="12" t="s">
        <v>277</v>
      </c>
      <c r="P178" s="12" t="s">
        <v>277</v>
      </c>
      <c r="Q178" s="12" t="s">
        <v>277</v>
      </c>
      <c r="R178" s="12" t="s">
        <v>277</v>
      </c>
      <c r="S178" s="12" t="s">
        <v>277</v>
      </c>
      <c r="T178" s="12" t="s">
        <v>277</v>
      </c>
      <c r="U178" s="12" t="s">
        <v>277</v>
      </c>
      <c r="V178" s="12" t="s">
        <v>277</v>
      </c>
      <c r="W178" s="12" t="s">
        <v>277</v>
      </c>
      <c r="X178" s="12" t="s">
        <v>277</v>
      </c>
      <c r="Y178" s="12" t="s">
        <v>277</v>
      </c>
      <c r="Z178" s="12" t="s">
        <v>277</v>
      </c>
      <c r="AA178" s="12" t="s">
        <v>277</v>
      </c>
      <c r="AB178" s="12" t="s">
        <v>277</v>
      </c>
      <c r="AC178" s="12" t="s">
        <v>277</v>
      </c>
      <c r="AD178" s="12" t="s">
        <v>277</v>
      </c>
      <c r="AE178" s="12" t="s">
        <v>277</v>
      </c>
      <c r="AF178" s="12" t="s">
        <v>277</v>
      </c>
      <c r="AG178" s="12" t="s">
        <v>277</v>
      </c>
      <c r="AH178" s="12" t="s">
        <v>277</v>
      </c>
      <c r="AI178" s="12" t="s">
        <v>277</v>
      </c>
      <c r="AJ178" s="12" t="s">
        <v>277</v>
      </c>
      <c r="AK178" s="12" t="s">
        <v>277</v>
      </c>
      <c r="AL178" s="12" t="s">
        <v>277</v>
      </c>
      <c r="AM178" s="12" t="s">
        <v>277</v>
      </c>
      <c r="AN178" s="12" t="s">
        <v>278</v>
      </c>
      <c r="AO178" s="12" t="s">
        <v>278</v>
      </c>
      <c r="AP178" s="12" t="s">
        <v>550</v>
      </c>
      <c r="AQ178" s="12" t="s">
        <v>461</v>
      </c>
      <c r="AR178" s="12" t="s">
        <v>373</v>
      </c>
      <c r="AS178" s="12" t="s">
        <v>456</v>
      </c>
      <c r="AT178" s="12" t="s">
        <v>551</v>
      </c>
      <c r="AU178" s="12" t="s">
        <v>468</v>
      </c>
      <c r="AV178" s="12" t="s">
        <v>380</v>
      </c>
      <c r="AW178" s="12" t="s">
        <v>1197</v>
      </c>
      <c r="AX178" s="12" t="s">
        <v>1213</v>
      </c>
      <c r="AY178" s="12" t="s">
        <v>977</v>
      </c>
      <c r="AZ178" s="12" t="s">
        <v>685</v>
      </c>
      <c r="BA178" s="12" t="s">
        <v>351</v>
      </c>
      <c r="BB178" s="12" t="s">
        <v>969</v>
      </c>
      <c r="BC178" s="12" t="s">
        <v>1837</v>
      </c>
      <c r="BD178" s="12" t="s">
        <v>313</v>
      </c>
      <c r="BE178" s="12" t="s">
        <v>3100</v>
      </c>
      <c r="BF178" s="12" t="s">
        <v>3101</v>
      </c>
      <c r="BG178" s="12" t="s">
        <v>1465</v>
      </c>
      <c r="BH178" s="12" t="s">
        <v>3102</v>
      </c>
      <c r="BI178" s="12" t="s">
        <v>3103</v>
      </c>
      <c r="BJ178" s="12" t="s">
        <v>3104</v>
      </c>
      <c r="BK178" s="12" t="s">
        <v>401</v>
      </c>
      <c r="BL178" s="12" t="s">
        <v>3105</v>
      </c>
      <c r="BM178" s="12" t="s">
        <v>3106</v>
      </c>
      <c r="BN178" s="12" t="s">
        <v>3107</v>
      </c>
      <c r="BO178" s="12" t="s">
        <v>597</v>
      </c>
      <c r="BP178" s="12" t="s">
        <v>3108</v>
      </c>
      <c r="BQ178" s="12" t="s">
        <v>2171</v>
      </c>
      <c r="BR178" s="12" t="s">
        <v>2046</v>
      </c>
      <c r="BS178" s="12" t="s">
        <v>49</v>
      </c>
      <c r="BT178" s="12" t="s">
        <v>2178</v>
      </c>
      <c r="BU178" s="12" t="s">
        <v>3109</v>
      </c>
      <c r="BV178" s="12" t="s">
        <v>3110</v>
      </c>
      <c r="BW178" s="12" t="s">
        <v>3111</v>
      </c>
      <c r="BX178" s="12" t="s">
        <v>3112</v>
      </c>
      <c r="BY178" s="12" t="s">
        <v>3113</v>
      </c>
      <c r="BZ178" s="12" t="s">
        <v>3114</v>
      </c>
      <c r="CA178" s="12" t="s">
        <v>3115</v>
      </c>
      <c r="CB178" s="12" t="s">
        <v>3116</v>
      </c>
      <c r="CC178" s="12" t="s">
        <v>3117</v>
      </c>
      <c r="CD178" s="12" t="s">
        <v>3117</v>
      </c>
      <c r="CE178" s="12" t="s">
        <v>3118</v>
      </c>
      <c r="CF178" s="12" t="s">
        <v>3119</v>
      </c>
      <c r="CG178" s="12" t="s">
        <v>3120</v>
      </c>
      <c r="CH178" s="12" t="s">
        <v>3121</v>
      </c>
      <c r="CI178" s="12" t="s">
        <v>3122</v>
      </c>
      <c r="CJ178" s="12" t="s">
        <v>3123</v>
      </c>
      <c r="CK178" s="12" t="s">
        <v>3124</v>
      </c>
      <c r="CL178" s="12" t="s">
        <v>3125</v>
      </c>
      <c r="CM178" s="12" t="s">
        <v>3126</v>
      </c>
      <c r="CN178" s="12" t="s">
        <v>3127</v>
      </c>
      <c r="CO178" s="12" t="s">
        <v>3128</v>
      </c>
      <c r="CP178" s="12" t="s">
        <v>3129</v>
      </c>
      <c r="CQ178" s="12" t="s">
        <v>3130</v>
      </c>
      <c r="CR178" s="12" t="s">
        <v>3131</v>
      </c>
      <c r="CS178" s="12" t="s">
        <v>3132</v>
      </c>
      <c r="CT178" s="12" t="s">
        <v>3133</v>
      </c>
      <c r="CU178" s="12" t="s">
        <v>4251</v>
      </c>
      <c r="CV178" s="12" t="s">
        <v>4252</v>
      </c>
      <c r="CW178" s="12" t="s">
        <v>4253</v>
      </c>
      <c r="CX178" s="12" t="s">
        <v>4254</v>
      </c>
    </row>
    <row r="179" spans="1:102" hidden="1" x14ac:dyDescent="0.3">
      <c r="A179" s="12" t="s">
        <v>12</v>
      </c>
      <c r="B179" s="12" t="s">
        <v>3134</v>
      </c>
      <c r="C179" s="12" t="s">
        <v>2422</v>
      </c>
      <c r="D179" s="12" t="s">
        <v>3135</v>
      </c>
      <c r="E179" s="12" t="s">
        <v>277</v>
      </c>
      <c r="F179" s="12" t="s">
        <v>277</v>
      </c>
      <c r="G179" s="12" t="s">
        <v>277</v>
      </c>
      <c r="H179" s="12" t="s">
        <v>277</v>
      </c>
      <c r="I179" s="12" t="s">
        <v>277</v>
      </c>
      <c r="J179" s="12" t="s">
        <v>277</v>
      </c>
      <c r="K179" s="12" t="s">
        <v>277</v>
      </c>
      <c r="L179" s="12" t="s">
        <v>277</v>
      </c>
      <c r="M179" s="12" t="s">
        <v>277</v>
      </c>
      <c r="N179" s="12" t="s">
        <v>277</v>
      </c>
      <c r="O179" s="12" t="s">
        <v>277</v>
      </c>
      <c r="P179" s="12" t="s">
        <v>277</v>
      </c>
      <c r="Q179" s="12" t="s">
        <v>277</v>
      </c>
      <c r="R179" s="12" t="s">
        <v>277</v>
      </c>
      <c r="S179" s="12" t="s">
        <v>277</v>
      </c>
      <c r="T179" s="12" t="s">
        <v>277</v>
      </c>
      <c r="U179" s="12" t="s">
        <v>277</v>
      </c>
      <c r="V179" s="12" t="s">
        <v>277</v>
      </c>
      <c r="W179" s="12" t="s">
        <v>277</v>
      </c>
      <c r="X179" s="12" t="s">
        <v>277</v>
      </c>
      <c r="Y179" s="12" t="s">
        <v>277</v>
      </c>
      <c r="Z179" s="12" t="s">
        <v>277</v>
      </c>
      <c r="AA179" s="12" t="s">
        <v>277</v>
      </c>
      <c r="AB179" s="12" t="s">
        <v>277</v>
      </c>
      <c r="AC179" s="12" t="s">
        <v>277</v>
      </c>
      <c r="AD179" s="12" t="s">
        <v>277</v>
      </c>
      <c r="AE179" s="12" t="s">
        <v>277</v>
      </c>
      <c r="AF179" s="12" t="s">
        <v>277</v>
      </c>
      <c r="AG179" s="12" t="s">
        <v>277</v>
      </c>
      <c r="AH179" s="12" t="s">
        <v>277</v>
      </c>
      <c r="AI179" s="12" t="s">
        <v>277</v>
      </c>
      <c r="AJ179" s="12" t="s">
        <v>277</v>
      </c>
      <c r="AK179" s="12" t="s">
        <v>277</v>
      </c>
      <c r="AL179" s="12" t="s">
        <v>322</v>
      </c>
      <c r="AM179" s="12" t="s">
        <v>322</v>
      </c>
      <c r="AN179" s="12" t="s">
        <v>279</v>
      </c>
      <c r="AO179" s="12" t="s">
        <v>279</v>
      </c>
      <c r="AP179" s="12" t="s">
        <v>279</v>
      </c>
      <c r="AQ179" s="12" t="s">
        <v>550</v>
      </c>
      <c r="AR179" s="12" t="s">
        <v>550</v>
      </c>
      <c r="AS179" s="12" t="s">
        <v>550</v>
      </c>
      <c r="AT179" s="12" t="s">
        <v>324</v>
      </c>
      <c r="AU179" s="12" t="s">
        <v>461</v>
      </c>
      <c r="AV179" s="12" t="s">
        <v>283</v>
      </c>
      <c r="AW179" s="12" t="s">
        <v>283</v>
      </c>
      <c r="AX179" s="12" t="s">
        <v>283</v>
      </c>
      <c r="AY179" s="12" t="s">
        <v>283</v>
      </c>
      <c r="AZ179" s="12" t="s">
        <v>283</v>
      </c>
      <c r="BA179" s="12" t="s">
        <v>507</v>
      </c>
      <c r="BB179" s="12" t="s">
        <v>507</v>
      </c>
      <c r="BC179" s="12" t="s">
        <v>507</v>
      </c>
      <c r="BD179" s="12" t="s">
        <v>373</v>
      </c>
      <c r="BE179" s="12" t="s">
        <v>373</v>
      </c>
      <c r="BF179" s="12" t="s">
        <v>285</v>
      </c>
      <c r="BG179" s="12" t="s">
        <v>285</v>
      </c>
      <c r="BH179" s="12" t="s">
        <v>286</v>
      </c>
      <c r="BI179" s="12" t="s">
        <v>417</v>
      </c>
      <c r="BJ179" s="12" t="s">
        <v>377</v>
      </c>
      <c r="BK179" s="12" t="s">
        <v>377</v>
      </c>
      <c r="BL179" s="12" t="s">
        <v>508</v>
      </c>
      <c r="BM179" s="12" t="s">
        <v>330</v>
      </c>
      <c r="BN179" s="12" t="s">
        <v>672</v>
      </c>
      <c r="BO179" s="12" t="s">
        <v>289</v>
      </c>
      <c r="BP179" s="12" t="s">
        <v>559</v>
      </c>
      <c r="BQ179" s="12" t="s">
        <v>907</v>
      </c>
      <c r="BR179" s="12" t="s">
        <v>746</v>
      </c>
      <c r="BS179" s="12" t="s">
        <v>884</v>
      </c>
      <c r="BT179" s="12" t="s">
        <v>1185</v>
      </c>
      <c r="BU179" s="12" t="s">
        <v>1432</v>
      </c>
      <c r="BV179" s="12" t="s">
        <v>2537</v>
      </c>
      <c r="BW179" s="12" t="s">
        <v>574</v>
      </c>
      <c r="BX179" s="12" t="s">
        <v>726</v>
      </c>
      <c r="BY179" s="12" t="s">
        <v>1209</v>
      </c>
      <c r="BZ179" s="12" t="s">
        <v>345</v>
      </c>
      <c r="CA179" s="12" t="s">
        <v>797</v>
      </c>
      <c r="CB179" s="12" t="s">
        <v>1064</v>
      </c>
      <c r="CC179" s="12" t="s">
        <v>1759</v>
      </c>
      <c r="CD179" s="12" t="s">
        <v>829</v>
      </c>
      <c r="CE179" s="12" t="s">
        <v>1068</v>
      </c>
      <c r="CF179" s="12" t="s">
        <v>303</v>
      </c>
      <c r="CG179" s="12" t="s">
        <v>741</v>
      </c>
      <c r="CH179" s="12" t="s">
        <v>1804</v>
      </c>
      <c r="CI179" s="12" t="s">
        <v>2424</v>
      </c>
      <c r="CJ179" s="12" t="s">
        <v>1454</v>
      </c>
      <c r="CK179" s="12" t="s">
        <v>1373</v>
      </c>
      <c r="CL179" s="12" t="s">
        <v>647</v>
      </c>
      <c r="CM179" s="12" t="s">
        <v>3136</v>
      </c>
      <c r="CN179" s="12" t="s">
        <v>3137</v>
      </c>
      <c r="CO179" s="12" t="s">
        <v>1167</v>
      </c>
      <c r="CP179" s="12" t="s">
        <v>2384</v>
      </c>
      <c r="CQ179" s="12" t="s">
        <v>3138</v>
      </c>
      <c r="CR179" s="12" t="s">
        <v>3139</v>
      </c>
      <c r="CS179" s="12" t="s">
        <v>3140</v>
      </c>
      <c r="CT179" s="12" t="s">
        <v>2457</v>
      </c>
      <c r="CU179" s="12" t="s">
        <v>4255</v>
      </c>
      <c r="CV179" s="12" t="s">
        <v>2426</v>
      </c>
      <c r="CW179" s="12" t="s">
        <v>2965</v>
      </c>
      <c r="CX179" s="12" t="s">
        <v>4256</v>
      </c>
    </row>
    <row r="180" spans="1:102" hidden="1" x14ac:dyDescent="0.3">
      <c r="A180" s="12" t="s">
        <v>12</v>
      </c>
      <c r="B180" s="12" t="s">
        <v>3141</v>
      </c>
      <c r="C180" s="12" t="s">
        <v>3142</v>
      </c>
      <c r="D180" s="12" t="s">
        <v>3143</v>
      </c>
      <c r="E180" s="12" t="s">
        <v>277</v>
      </c>
      <c r="F180" s="12" t="s">
        <v>277</v>
      </c>
      <c r="G180" s="12" t="s">
        <v>277</v>
      </c>
      <c r="H180" s="12" t="s">
        <v>277</v>
      </c>
      <c r="I180" s="12" t="s">
        <v>277</v>
      </c>
      <c r="J180" s="12" t="s">
        <v>277</v>
      </c>
      <c r="K180" s="12" t="s">
        <v>277</v>
      </c>
      <c r="L180" s="12" t="s">
        <v>277</v>
      </c>
      <c r="M180" s="12" t="s">
        <v>277</v>
      </c>
      <c r="N180" s="12" t="s">
        <v>277</v>
      </c>
      <c r="O180" s="12" t="s">
        <v>277</v>
      </c>
      <c r="P180" s="12" t="s">
        <v>277</v>
      </c>
      <c r="Q180" s="12" t="s">
        <v>277</v>
      </c>
      <c r="R180" s="12" t="s">
        <v>277</v>
      </c>
      <c r="S180" s="12" t="s">
        <v>277</v>
      </c>
      <c r="T180" s="12" t="s">
        <v>277</v>
      </c>
      <c r="U180" s="12" t="s">
        <v>277</v>
      </c>
      <c r="V180" s="12" t="s">
        <v>277</v>
      </c>
      <c r="W180" s="12" t="s">
        <v>277</v>
      </c>
      <c r="X180" s="12" t="s">
        <v>277</v>
      </c>
      <c r="Y180" s="12" t="s">
        <v>277</v>
      </c>
      <c r="Z180" s="12" t="s">
        <v>277</v>
      </c>
      <c r="AA180" s="12" t="s">
        <v>277</v>
      </c>
      <c r="AB180" s="12" t="s">
        <v>277</v>
      </c>
      <c r="AC180" s="12" t="s">
        <v>277</v>
      </c>
      <c r="AD180" s="12" t="s">
        <v>277</v>
      </c>
      <c r="AE180" s="12" t="s">
        <v>277</v>
      </c>
      <c r="AF180" s="12" t="s">
        <v>277</v>
      </c>
      <c r="AG180" s="12" t="s">
        <v>277</v>
      </c>
      <c r="AH180" s="12" t="s">
        <v>277</v>
      </c>
      <c r="AI180" s="12" t="s">
        <v>277</v>
      </c>
      <c r="AJ180" s="12" t="s">
        <v>277</v>
      </c>
      <c r="AK180" s="12" t="s">
        <v>277</v>
      </c>
      <c r="AL180" s="12" t="s">
        <v>277</v>
      </c>
      <c r="AM180" s="12" t="s">
        <v>277</v>
      </c>
      <c r="AN180" s="12" t="s">
        <v>322</v>
      </c>
      <c r="AO180" s="12" t="s">
        <v>322</v>
      </c>
      <c r="AP180" s="12" t="s">
        <v>322</v>
      </c>
      <c r="AQ180" s="12" t="s">
        <v>279</v>
      </c>
      <c r="AR180" s="12" t="s">
        <v>279</v>
      </c>
      <c r="AS180" s="12" t="s">
        <v>279</v>
      </c>
      <c r="AT180" s="12" t="s">
        <v>280</v>
      </c>
      <c r="AU180" s="12" t="s">
        <v>280</v>
      </c>
      <c r="AV180" s="12" t="s">
        <v>280</v>
      </c>
      <c r="AW180" s="12" t="s">
        <v>550</v>
      </c>
      <c r="AX180" s="12" t="s">
        <v>550</v>
      </c>
      <c r="AY180" s="12" t="s">
        <v>550</v>
      </c>
      <c r="AZ180" s="12" t="s">
        <v>550</v>
      </c>
      <c r="BA180" s="12" t="s">
        <v>283</v>
      </c>
      <c r="BB180" s="12" t="s">
        <v>373</v>
      </c>
      <c r="BC180" s="12" t="s">
        <v>374</v>
      </c>
      <c r="BD180" s="12" t="s">
        <v>568</v>
      </c>
      <c r="BE180" s="12" t="s">
        <v>465</v>
      </c>
      <c r="BF180" s="12" t="s">
        <v>418</v>
      </c>
      <c r="BG180" s="12" t="s">
        <v>511</v>
      </c>
      <c r="BH180" s="12" t="s">
        <v>1215</v>
      </c>
      <c r="BI180" s="12" t="s">
        <v>298</v>
      </c>
      <c r="BJ180" s="12" t="s">
        <v>387</v>
      </c>
      <c r="BK180" s="12" t="s">
        <v>435</v>
      </c>
      <c r="BL180" s="12" t="s">
        <v>1127</v>
      </c>
      <c r="BM180" s="12" t="s">
        <v>3144</v>
      </c>
      <c r="BN180" s="12" t="s">
        <v>2852</v>
      </c>
      <c r="BO180" s="12" t="s">
        <v>3145</v>
      </c>
      <c r="BP180" s="12" t="s">
        <v>3146</v>
      </c>
      <c r="BQ180" s="12" t="s">
        <v>538</v>
      </c>
      <c r="BR180" s="12" t="s">
        <v>809</v>
      </c>
      <c r="BS180" s="12" t="s">
        <v>1898</v>
      </c>
      <c r="BT180" s="12" t="s">
        <v>3147</v>
      </c>
      <c r="BU180" s="12" t="s">
        <v>3148</v>
      </c>
      <c r="BV180" s="12" t="s">
        <v>3149</v>
      </c>
      <c r="BW180" s="12" t="s">
        <v>3105</v>
      </c>
      <c r="BX180" s="12" t="s">
        <v>3150</v>
      </c>
      <c r="BY180" s="12" t="s">
        <v>592</v>
      </c>
      <c r="BZ180" s="12" t="s">
        <v>3151</v>
      </c>
      <c r="CA180" s="12" t="s">
        <v>3152</v>
      </c>
      <c r="CB180" s="12" t="s">
        <v>3153</v>
      </c>
      <c r="CC180" s="12" t="s">
        <v>3154</v>
      </c>
      <c r="CD180" s="12" t="s">
        <v>3155</v>
      </c>
      <c r="CE180" s="12" t="s">
        <v>3156</v>
      </c>
      <c r="CF180" s="12" t="s">
        <v>2596</v>
      </c>
      <c r="CG180" s="12" t="s">
        <v>3157</v>
      </c>
      <c r="CH180" s="12" t="s">
        <v>3158</v>
      </c>
      <c r="CI180" s="12" t="s">
        <v>3159</v>
      </c>
      <c r="CJ180" s="12" t="s">
        <v>3160</v>
      </c>
      <c r="CK180" s="12" t="s">
        <v>3161</v>
      </c>
      <c r="CL180" s="12" t="s">
        <v>3162</v>
      </c>
      <c r="CM180" s="12" t="s">
        <v>3163</v>
      </c>
      <c r="CN180" s="12" t="s">
        <v>3164</v>
      </c>
      <c r="CO180" s="12" t="s">
        <v>3165</v>
      </c>
      <c r="CP180" s="12" t="s">
        <v>3166</v>
      </c>
      <c r="CQ180" s="12" t="s">
        <v>3167</v>
      </c>
      <c r="CR180" s="12" t="s">
        <v>3168</v>
      </c>
      <c r="CS180" s="12" t="s">
        <v>3169</v>
      </c>
      <c r="CT180" s="12" t="s">
        <v>3170</v>
      </c>
      <c r="CU180" s="12" t="s">
        <v>4257</v>
      </c>
      <c r="CV180" s="12" t="s">
        <v>4258</v>
      </c>
      <c r="CW180" s="12" t="s">
        <v>4259</v>
      </c>
      <c r="CX180" s="12" t="s">
        <v>4260</v>
      </c>
    </row>
    <row r="181" spans="1:102" hidden="1" x14ac:dyDescent="0.3">
      <c r="A181" s="12" t="s">
        <v>12</v>
      </c>
      <c r="B181" s="12" t="s">
        <v>3171</v>
      </c>
      <c r="C181" s="12" t="s">
        <v>3172</v>
      </c>
      <c r="D181" s="12" t="s">
        <v>3173</v>
      </c>
      <c r="E181" s="12" t="s">
        <v>277</v>
      </c>
      <c r="F181" s="12" t="s">
        <v>277</v>
      </c>
      <c r="G181" s="12" t="s">
        <v>277</v>
      </c>
      <c r="H181" s="12" t="s">
        <v>277</v>
      </c>
      <c r="I181" s="12" t="s">
        <v>277</v>
      </c>
      <c r="J181" s="12" t="s">
        <v>277</v>
      </c>
      <c r="K181" s="12" t="s">
        <v>277</v>
      </c>
      <c r="L181" s="12" t="s">
        <v>277</v>
      </c>
      <c r="M181" s="12" t="s">
        <v>277</v>
      </c>
      <c r="N181" s="12" t="s">
        <v>277</v>
      </c>
      <c r="O181" s="12" t="s">
        <v>277</v>
      </c>
      <c r="P181" s="12" t="s">
        <v>277</v>
      </c>
      <c r="Q181" s="12" t="s">
        <v>277</v>
      </c>
      <c r="R181" s="12" t="s">
        <v>277</v>
      </c>
      <c r="S181" s="12" t="s">
        <v>277</v>
      </c>
      <c r="T181" s="12" t="s">
        <v>277</v>
      </c>
      <c r="U181" s="12" t="s">
        <v>277</v>
      </c>
      <c r="V181" s="12" t="s">
        <v>277</v>
      </c>
      <c r="W181" s="12" t="s">
        <v>277</v>
      </c>
      <c r="X181" s="12" t="s">
        <v>277</v>
      </c>
      <c r="Y181" s="12" t="s">
        <v>277</v>
      </c>
      <c r="Z181" s="12" t="s">
        <v>277</v>
      </c>
      <c r="AA181" s="12" t="s">
        <v>277</v>
      </c>
      <c r="AB181" s="12" t="s">
        <v>277</v>
      </c>
      <c r="AC181" s="12" t="s">
        <v>277</v>
      </c>
      <c r="AD181" s="12" t="s">
        <v>277</v>
      </c>
      <c r="AE181" s="12" t="s">
        <v>277</v>
      </c>
      <c r="AF181" s="12" t="s">
        <v>277</v>
      </c>
      <c r="AG181" s="12" t="s">
        <v>277</v>
      </c>
      <c r="AH181" s="12" t="s">
        <v>277</v>
      </c>
      <c r="AI181" s="12" t="s">
        <v>277</v>
      </c>
      <c r="AJ181" s="12" t="s">
        <v>277</v>
      </c>
      <c r="AK181" s="12" t="s">
        <v>277</v>
      </c>
      <c r="AL181" s="12" t="s">
        <v>277</v>
      </c>
      <c r="AM181" s="12" t="s">
        <v>277</v>
      </c>
      <c r="AN181" s="12" t="s">
        <v>277</v>
      </c>
      <c r="AO181" s="12" t="s">
        <v>277</v>
      </c>
      <c r="AP181" s="12" t="s">
        <v>277</v>
      </c>
      <c r="AQ181" s="12" t="s">
        <v>277</v>
      </c>
      <c r="AR181" s="12" t="s">
        <v>277</v>
      </c>
      <c r="AS181" s="12" t="s">
        <v>277</v>
      </c>
      <c r="AT181" s="12" t="s">
        <v>277</v>
      </c>
      <c r="AU181" s="12" t="s">
        <v>277</v>
      </c>
      <c r="AV181" s="12" t="s">
        <v>277</v>
      </c>
      <c r="AW181" s="12" t="s">
        <v>277</v>
      </c>
      <c r="AX181" s="12" t="s">
        <v>277</v>
      </c>
      <c r="AY181" s="12" t="s">
        <v>277</v>
      </c>
      <c r="AZ181" s="12" t="s">
        <v>277</v>
      </c>
      <c r="BA181" s="12" t="s">
        <v>278</v>
      </c>
      <c r="BB181" s="12" t="s">
        <v>454</v>
      </c>
      <c r="BC181" s="12" t="s">
        <v>282</v>
      </c>
      <c r="BD181" s="12" t="s">
        <v>612</v>
      </c>
      <c r="BE181" s="12" t="s">
        <v>670</v>
      </c>
      <c r="BF181" s="12" t="s">
        <v>958</v>
      </c>
      <c r="BG181" s="12" t="s">
        <v>330</v>
      </c>
      <c r="BH181" s="12" t="s">
        <v>673</v>
      </c>
      <c r="BI181" s="12" t="s">
        <v>676</v>
      </c>
      <c r="BJ181" s="12" t="s">
        <v>907</v>
      </c>
      <c r="BK181" s="12" t="s">
        <v>1056</v>
      </c>
      <c r="BL181" s="12" t="s">
        <v>684</v>
      </c>
      <c r="BM181" s="12" t="s">
        <v>1306</v>
      </c>
      <c r="BN181" s="12" t="s">
        <v>1096</v>
      </c>
      <c r="BO181" s="12" t="s">
        <v>1096</v>
      </c>
      <c r="BP181" s="12" t="s">
        <v>624</v>
      </c>
      <c r="BQ181" s="12" t="s">
        <v>1403</v>
      </c>
      <c r="BR181" s="12" t="s">
        <v>987</v>
      </c>
      <c r="BS181" s="12" t="s">
        <v>3174</v>
      </c>
      <c r="BT181" s="12" t="s">
        <v>991</v>
      </c>
      <c r="BU181" s="12" t="s">
        <v>1379</v>
      </c>
      <c r="BV181" s="12" t="s">
        <v>1142</v>
      </c>
      <c r="BW181" s="12" t="s">
        <v>1142</v>
      </c>
      <c r="BX181" s="12" t="s">
        <v>3175</v>
      </c>
      <c r="BY181" s="12" t="s">
        <v>1485</v>
      </c>
      <c r="BZ181" s="12" t="s">
        <v>2335</v>
      </c>
      <c r="CA181" s="12" t="s">
        <v>3176</v>
      </c>
      <c r="CB181" s="12" t="s">
        <v>2856</v>
      </c>
      <c r="CC181" s="12" t="s">
        <v>3177</v>
      </c>
      <c r="CD181" s="12" t="s">
        <v>3178</v>
      </c>
      <c r="CE181" s="12" t="s">
        <v>3179</v>
      </c>
      <c r="CF181" s="12" t="s">
        <v>3180</v>
      </c>
      <c r="CG181" s="12" t="s">
        <v>2167</v>
      </c>
      <c r="CH181" s="12" t="s">
        <v>3181</v>
      </c>
      <c r="CI181" s="12" t="s">
        <v>3182</v>
      </c>
      <c r="CJ181" s="12" t="s">
        <v>3183</v>
      </c>
      <c r="CK181" s="12" t="s">
        <v>3184</v>
      </c>
      <c r="CL181" s="12" t="s">
        <v>3185</v>
      </c>
      <c r="CM181" s="12" t="s">
        <v>3186</v>
      </c>
      <c r="CN181" s="12" t="s">
        <v>3187</v>
      </c>
      <c r="CO181" s="12" t="s">
        <v>2563</v>
      </c>
      <c r="CP181" s="12" t="s">
        <v>3188</v>
      </c>
      <c r="CQ181" s="12" t="s">
        <v>3189</v>
      </c>
      <c r="CR181" s="12" t="s">
        <v>3190</v>
      </c>
      <c r="CS181" s="12" t="s">
        <v>3191</v>
      </c>
      <c r="CT181" s="12" t="s">
        <v>3192</v>
      </c>
      <c r="CU181" s="12" t="s">
        <v>4047</v>
      </c>
      <c r="CV181" s="12" t="s">
        <v>4261</v>
      </c>
      <c r="CW181" s="12" t="s">
        <v>4262</v>
      </c>
      <c r="CX181" s="12" t="s">
        <v>4262</v>
      </c>
    </row>
    <row r="182" spans="1:102" hidden="1" x14ac:dyDescent="0.3">
      <c r="A182" s="12" t="s">
        <v>12</v>
      </c>
      <c r="B182" s="12" t="s">
        <v>3193</v>
      </c>
      <c r="C182" s="12" t="s">
        <v>3194</v>
      </c>
      <c r="D182" s="12" t="s">
        <v>3195</v>
      </c>
      <c r="E182" s="12" t="s">
        <v>277</v>
      </c>
      <c r="F182" s="12" t="s">
        <v>277</v>
      </c>
      <c r="G182" s="12" t="s">
        <v>277</v>
      </c>
      <c r="H182" s="12" t="s">
        <v>277</v>
      </c>
      <c r="I182" s="12" t="s">
        <v>277</v>
      </c>
      <c r="J182" s="12" t="s">
        <v>277</v>
      </c>
      <c r="K182" s="12" t="s">
        <v>277</v>
      </c>
      <c r="L182" s="12" t="s">
        <v>277</v>
      </c>
      <c r="M182" s="12" t="s">
        <v>277</v>
      </c>
      <c r="N182" s="12" t="s">
        <v>277</v>
      </c>
      <c r="O182" s="12" t="s">
        <v>277</v>
      </c>
      <c r="P182" s="12" t="s">
        <v>277</v>
      </c>
      <c r="Q182" s="12" t="s">
        <v>277</v>
      </c>
      <c r="R182" s="12" t="s">
        <v>277</v>
      </c>
      <c r="S182" s="12" t="s">
        <v>277</v>
      </c>
      <c r="T182" s="12" t="s">
        <v>277</v>
      </c>
      <c r="U182" s="12" t="s">
        <v>277</v>
      </c>
      <c r="V182" s="12" t="s">
        <v>277</v>
      </c>
      <c r="W182" s="12" t="s">
        <v>277</v>
      </c>
      <c r="X182" s="12" t="s">
        <v>277</v>
      </c>
      <c r="Y182" s="12" t="s">
        <v>277</v>
      </c>
      <c r="Z182" s="12" t="s">
        <v>277</v>
      </c>
      <c r="AA182" s="12" t="s">
        <v>277</v>
      </c>
      <c r="AB182" s="12" t="s">
        <v>277</v>
      </c>
      <c r="AC182" s="12" t="s">
        <v>277</v>
      </c>
      <c r="AD182" s="12" t="s">
        <v>277</v>
      </c>
      <c r="AE182" s="12" t="s">
        <v>277</v>
      </c>
      <c r="AF182" s="12" t="s">
        <v>277</v>
      </c>
      <c r="AG182" s="12" t="s">
        <v>277</v>
      </c>
      <c r="AH182" s="12" t="s">
        <v>277</v>
      </c>
      <c r="AI182" s="12" t="s">
        <v>277</v>
      </c>
      <c r="AJ182" s="12" t="s">
        <v>277</v>
      </c>
      <c r="AK182" s="12" t="s">
        <v>277</v>
      </c>
      <c r="AL182" s="12" t="s">
        <v>277</v>
      </c>
      <c r="AM182" s="12" t="s">
        <v>277</v>
      </c>
      <c r="AN182" s="12" t="s">
        <v>277</v>
      </c>
      <c r="AO182" s="12" t="s">
        <v>277</v>
      </c>
      <c r="AP182" s="12" t="s">
        <v>277</v>
      </c>
      <c r="AQ182" s="12" t="s">
        <v>277</v>
      </c>
      <c r="AR182" s="12" t="s">
        <v>277</v>
      </c>
      <c r="AS182" s="12" t="s">
        <v>277</v>
      </c>
      <c r="AT182" s="12" t="s">
        <v>277</v>
      </c>
      <c r="AU182" s="12" t="s">
        <v>277</v>
      </c>
      <c r="AV182" s="12" t="s">
        <v>277</v>
      </c>
      <c r="AW182" s="12" t="s">
        <v>277</v>
      </c>
      <c r="AX182" s="12" t="s">
        <v>277</v>
      </c>
      <c r="AY182" s="12" t="s">
        <v>277</v>
      </c>
      <c r="AZ182" s="12" t="s">
        <v>277</v>
      </c>
      <c r="BA182" s="12" t="s">
        <v>277</v>
      </c>
      <c r="BB182" s="12" t="s">
        <v>277</v>
      </c>
      <c r="BC182" s="12" t="s">
        <v>277</v>
      </c>
      <c r="BD182" s="12" t="s">
        <v>277</v>
      </c>
      <c r="BE182" s="12" t="s">
        <v>277</v>
      </c>
      <c r="BF182" s="12" t="s">
        <v>277</v>
      </c>
      <c r="BG182" s="12" t="s">
        <v>277</v>
      </c>
      <c r="BH182" s="12" t="s">
        <v>277</v>
      </c>
      <c r="BI182" s="12" t="s">
        <v>277</v>
      </c>
      <c r="BJ182" s="12" t="s">
        <v>277</v>
      </c>
      <c r="BK182" s="12" t="s">
        <v>278</v>
      </c>
      <c r="BL182" s="12" t="s">
        <v>278</v>
      </c>
      <c r="BM182" s="12" t="s">
        <v>278</v>
      </c>
      <c r="BN182" s="12" t="s">
        <v>278</v>
      </c>
      <c r="BO182" s="12" t="s">
        <v>278</v>
      </c>
      <c r="BP182" s="12" t="s">
        <v>278</v>
      </c>
      <c r="BQ182" s="12" t="s">
        <v>278</v>
      </c>
      <c r="BR182" s="12" t="s">
        <v>278</v>
      </c>
      <c r="BS182" s="12" t="s">
        <v>278</v>
      </c>
      <c r="BT182" s="12" t="s">
        <v>278</v>
      </c>
      <c r="BU182" s="12" t="s">
        <v>278</v>
      </c>
      <c r="BV182" s="12" t="s">
        <v>278</v>
      </c>
      <c r="BW182" s="12" t="s">
        <v>278</v>
      </c>
      <c r="BX182" s="12" t="s">
        <v>278</v>
      </c>
      <c r="BY182" s="12" t="s">
        <v>278</v>
      </c>
      <c r="BZ182" s="12" t="s">
        <v>278</v>
      </c>
      <c r="CA182" s="12" t="s">
        <v>278</v>
      </c>
      <c r="CB182" s="12" t="s">
        <v>322</v>
      </c>
      <c r="CC182" s="12" t="s">
        <v>322</v>
      </c>
      <c r="CD182" s="12" t="s">
        <v>322</v>
      </c>
      <c r="CE182" s="12" t="s">
        <v>322</v>
      </c>
      <c r="CF182" s="12" t="s">
        <v>322</v>
      </c>
      <c r="CG182" s="12" t="s">
        <v>322</v>
      </c>
      <c r="CH182" s="12" t="s">
        <v>322</v>
      </c>
      <c r="CI182" s="12" t="s">
        <v>322</v>
      </c>
      <c r="CJ182" s="12" t="s">
        <v>322</v>
      </c>
      <c r="CK182" s="12" t="s">
        <v>322</v>
      </c>
      <c r="CL182" s="12" t="s">
        <v>281</v>
      </c>
      <c r="CM182" s="12" t="s">
        <v>281</v>
      </c>
      <c r="CN182" s="12" t="s">
        <v>281</v>
      </c>
      <c r="CO182" s="12" t="s">
        <v>281</v>
      </c>
      <c r="CP182" s="12" t="s">
        <v>281</v>
      </c>
      <c r="CQ182" s="12" t="s">
        <v>281</v>
      </c>
      <c r="CR182" s="12" t="s">
        <v>454</v>
      </c>
      <c r="CS182" s="12" t="s">
        <v>454</v>
      </c>
      <c r="CT182" s="12" t="s">
        <v>454</v>
      </c>
      <c r="CU182" s="12" t="s">
        <v>454</v>
      </c>
      <c r="CV182" s="12" t="s">
        <v>454</v>
      </c>
      <c r="CW182" s="12" t="s">
        <v>454</v>
      </c>
      <c r="CX182" s="12" t="s">
        <v>454</v>
      </c>
    </row>
    <row r="183" spans="1:102" hidden="1" x14ac:dyDescent="0.3">
      <c r="A183" s="12" t="s">
        <v>12</v>
      </c>
      <c r="B183" s="12" t="s">
        <v>3196</v>
      </c>
      <c r="C183" s="12" t="s">
        <v>3197</v>
      </c>
      <c r="D183" s="12" t="s">
        <v>3198</v>
      </c>
      <c r="E183" s="12" t="s">
        <v>277</v>
      </c>
      <c r="F183" s="12" t="s">
        <v>277</v>
      </c>
      <c r="G183" s="12" t="s">
        <v>277</v>
      </c>
      <c r="H183" s="12" t="s">
        <v>277</v>
      </c>
      <c r="I183" s="12" t="s">
        <v>277</v>
      </c>
      <c r="J183" s="12" t="s">
        <v>277</v>
      </c>
      <c r="K183" s="12" t="s">
        <v>277</v>
      </c>
      <c r="L183" s="12" t="s">
        <v>277</v>
      </c>
      <c r="M183" s="12" t="s">
        <v>277</v>
      </c>
      <c r="N183" s="12" t="s">
        <v>277</v>
      </c>
      <c r="O183" s="12" t="s">
        <v>277</v>
      </c>
      <c r="P183" s="12" t="s">
        <v>277</v>
      </c>
      <c r="Q183" s="12" t="s">
        <v>277</v>
      </c>
      <c r="R183" s="12" t="s">
        <v>277</v>
      </c>
      <c r="S183" s="12" t="s">
        <v>277</v>
      </c>
      <c r="T183" s="12" t="s">
        <v>277</v>
      </c>
      <c r="U183" s="12" t="s">
        <v>277</v>
      </c>
      <c r="V183" s="12" t="s">
        <v>277</v>
      </c>
      <c r="W183" s="12" t="s">
        <v>277</v>
      </c>
      <c r="X183" s="12" t="s">
        <v>277</v>
      </c>
      <c r="Y183" s="12" t="s">
        <v>277</v>
      </c>
      <c r="Z183" s="12" t="s">
        <v>277</v>
      </c>
      <c r="AA183" s="12" t="s">
        <v>277</v>
      </c>
      <c r="AB183" s="12" t="s">
        <v>277</v>
      </c>
      <c r="AC183" s="12" t="s">
        <v>277</v>
      </c>
      <c r="AD183" s="12" t="s">
        <v>277</v>
      </c>
      <c r="AE183" s="12" t="s">
        <v>277</v>
      </c>
      <c r="AF183" s="12" t="s">
        <v>277</v>
      </c>
      <c r="AG183" s="12" t="s">
        <v>277</v>
      </c>
      <c r="AH183" s="12" t="s">
        <v>277</v>
      </c>
      <c r="AI183" s="12" t="s">
        <v>277</v>
      </c>
      <c r="AJ183" s="12" t="s">
        <v>277</v>
      </c>
      <c r="AK183" s="12" t="s">
        <v>277</v>
      </c>
      <c r="AL183" s="12" t="s">
        <v>277</v>
      </c>
      <c r="AM183" s="12" t="s">
        <v>277</v>
      </c>
      <c r="AN183" s="12" t="s">
        <v>277</v>
      </c>
      <c r="AO183" s="12" t="s">
        <v>277</v>
      </c>
      <c r="AP183" s="12" t="s">
        <v>277</v>
      </c>
      <c r="AQ183" s="12" t="s">
        <v>277</v>
      </c>
      <c r="AR183" s="12" t="s">
        <v>277</v>
      </c>
      <c r="AS183" s="12" t="s">
        <v>277</v>
      </c>
      <c r="AT183" s="12" t="s">
        <v>277</v>
      </c>
      <c r="AU183" s="12" t="s">
        <v>277</v>
      </c>
      <c r="AV183" s="12" t="s">
        <v>277</v>
      </c>
      <c r="AW183" s="12" t="s">
        <v>277</v>
      </c>
      <c r="AX183" s="12" t="s">
        <v>277</v>
      </c>
      <c r="AY183" s="12" t="s">
        <v>278</v>
      </c>
      <c r="AZ183" s="12" t="s">
        <v>278</v>
      </c>
      <c r="BA183" s="12" t="s">
        <v>278</v>
      </c>
      <c r="BB183" s="12" t="s">
        <v>280</v>
      </c>
      <c r="BC183" s="12" t="s">
        <v>280</v>
      </c>
      <c r="BD183" s="12" t="s">
        <v>550</v>
      </c>
      <c r="BE183" s="12" t="s">
        <v>550</v>
      </c>
      <c r="BF183" s="12" t="s">
        <v>550</v>
      </c>
      <c r="BG183" s="12" t="s">
        <v>454</v>
      </c>
      <c r="BH183" s="12" t="s">
        <v>460</v>
      </c>
      <c r="BI183" s="12" t="s">
        <v>282</v>
      </c>
      <c r="BJ183" s="12" t="s">
        <v>282</v>
      </c>
      <c r="BK183" s="12" t="s">
        <v>567</v>
      </c>
      <c r="BL183" s="12" t="s">
        <v>507</v>
      </c>
      <c r="BM183" s="12" t="s">
        <v>285</v>
      </c>
      <c r="BN183" s="12" t="s">
        <v>285</v>
      </c>
      <c r="BO183" s="12" t="s">
        <v>612</v>
      </c>
      <c r="BP183" s="12" t="s">
        <v>376</v>
      </c>
      <c r="BQ183" s="12" t="s">
        <v>745</v>
      </c>
      <c r="BR183" s="12" t="s">
        <v>508</v>
      </c>
      <c r="BS183" s="12" t="s">
        <v>468</v>
      </c>
      <c r="BT183" s="12" t="s">
        <v>331</v>
      </c>
      <c r="BU183" s="12" t="s">
        <v>332</v>
      </c>
      <c r="BV183" s="12" t="s">
        <v>569</v>
      </c>
      <c r="BW183" s="12" t="s">
        <v>673</v>
      </c>
      <c r="BX183" s="12" t="s">
        <v>554</v>
      </c>
      <c r="BY183" s="12" t="s">
        <v>570</v>
      </c>
      <c r="BZ183" s="12" t="s">
        <v>558</v>
      </c>
      <c r="CA183" s="12" t="s">
        <v>336</v>
      </c>
      <c r="CB183" s="12" t="s">
        <v>421</v>
      </c>
      <c r="CC183" s="12" t="s">
        <v>510</v>
      </c>
      <c r="CD183" s="12" t="s">
        <v>1117</v>
      </c>
      <c r="CE183" s="12" t="s">
        <v>1448</v>
      </c>
      <c r="CF183" s="12" t="s">
        <v>1054</v>
      </c>
      <c r="CG183" s="12" t="s">
        <v>422</v>
      </c>
      <c r="CH183" s="12" t="s">
        <v>572</v>
      </c>
      <c r="CI183" s="12" t="s">
        <v>1213</v>
      </c>
      <c r="CJ183" s="12" t="s">
        <v>1431</v>
      </c>
      <c r="CK183" s="12" t="s">
        <v>1787</v>
      </c>
      <c r="CL183" s="12" t="s">
        <v>294</v>
      </c>
      <c r="CM183" s="12" t="s">
        <v>2058</v>
      </c>
      <c r="CN183" s="12" t="s">
        <v>1678</v>
      </c>
      <c r="CO183" s="12" t="s">
        <v>1302</v>
      </c>
      <c r="CP183" s="12" t="s">
        <v>1585</v>
      </c>
      <c r="CQ183" s="12" t="s">
        <v>1585</v>
      </c>
      <c r="CR183" s="12" t="s">
        <v>1726</v>
      </c>
      <c r="CS183" s="12" t="s">
        <v>1726</v>
      </c>
      <c r="CT183" s="12" t="s">
        <v>342</v>
      </c>
      <c r="CU183" s="12" t="s">
        <v>826</v>
      </c>
      <c r="CV183" s="12" t="s">
        <v>826</v>
      </c>
      <c r="CW183" s="12" t="s">
        <v>826</v>
      </c>
      <c r="CX183" s="12" t="s">
        <v>908</v>
      </c>
    </row>
    <row r="184" spans="1:102" hidden="1" x14ac:dyDescent="0.3">
      <c r="A184" s="12" t="s">
        <v>12</v>
      </c>
      <c r="B184" s="12" t="s">
        <v>3199</v>
      </c>
      <c r="C184" s="12" t="s">
        <v>3200</v>
      </c>
      <c r="D184" s="12" t="s">
        <v>3201</v>
      </c>
      <c r="E184" s="12" t="s">
        <v>277</v>
      </c>
      <c r="F184" s="12" t="s">
        <v>277</v>
      </c>
      <c r="G184" s="12" t="s">
        <v>277</v>
      </c>
      <c r="H184" s="12" t="s">
        <v>277</v>
      </c>
      <c r="I184" s="12" t="s">
        <v>277</v>
      </c>
      <c r="J184" s="12" t="s">
        <v>277</v>
      </c>
      <c r="K184" s="12" t="s">
        <v>277</v>
      </c>
      <c r="L184" s="12" t="s">
        <v>277</v>
      </c>
      <c r="M184" s="12" t="s">
        <v>277</v>
      </c>
      <c r="N184" s="12" t="s">
        <v>277</v>
      </c>
      <c r="O184" s="12" t="s">
        <v>277</v>
      </c>
      <c r="P184" s="12" t="s">
        <v>277</v>
      </c>
      <c r="Q184" s="12" t="s">
        <v>277</v>
      </c>
      <c r="R184" s="12" t="s">
        <v>277</v>
      </c>
      <c r="S184" s="12" t="s">
        <v>277</v>
      </c>
      <c r="T184" s="12" t="s">
        <v>277</v>
      </c>
      <c r="U184" s="12" t="s">
        <v>277</v>
      </c>
      <c r="V184" s="12" t="s">
        <v>277</v>
      </c>
      <c r="W184" s="12" t="s">
        <v>277</v>
      </c>
      <c r="X184" s="12" t="s">
        <v>277</v>
      </c>
      <c r="Y184" s="12" t="s">
        <v>277</v>
      </c>
      <c r="Z184" s="12" t="s">
        <v>277</v>
      </c>
      <c r="AA184" s="12" t="s">
        <v>277</v>
      </c>
      <c r="AB184" s="12" t="s">
        <v>277</v>
      </c>
      <c r="AC184" s="12" t="s">
        <v>277</v>
      </c>
      <c r="AD184" s="12" t="s">
        <v>277</v>
      </c>
      <c r="AE184" s="12" t="s">
        <v>277</v>
      </c>
      <c r="AF184" s="12" t="s">
        <v>277</v>
      </c>
      <c r="AG184" s="12" t="s">
        <v>277</v>
      </c>
      <c r="AH184" s="12" t="s">
        <v>277</v>
      </c>
      <c r="AI184" s="12" t="s">
        <v>277</v>
      </c>
      <c r="AJ184" s="12" t="s">
        <v>277</v>
      </c>
      <c r="AK184" s="12" t="s">
        <v>277</v>
      </c>
      <c r="AL184" s="12" t="s">
        <v>277</v>
      </c>
      <c r="AM184" s="12" t="s">
        <v>277</v>
      </c>
      <c r="AN184" s="12" t="s">
        <v>277</v>
      </c>
      <c r="AO184" s="12" t="s">
        <v>277</v>
      </c>
      <c r="AP184" s="12" t="s">
        <v>277</v>
      </c>
      <c r="AQ184" s="12" t="s">
        <v>277</v>
      </c>
      <c r="AR184" s="12" t="s">
        <v>277</v>
      </c>
      <c r="AS184" s="12" t="s">
        <v>277</v>
      </c>
      <c r="AT184" s="12" t="s">
        <v>277</v>
      </c>
      <c r="AU184" s="12" t="s">
        <v>277</v>
      </c>
      <c r="AV184" s="12" t="s">
        <v>277</v>
      </c>
      <c r="AW184" s="12" t="s">
        <v>278</v>
      </c>
      <c r="AX184" s="12" t="s">
        <v>278</v>
      </c>
      <c r="AY184" s="12" t="s">
        <v>550</v>
      </c>
      <c r="AZ184" s="12" t="s">
        <v>281</v>
      </c>
      <c r="BA184" s="12" t="s">
        <v>282</v>
      </c>
      <c r="BB184" s="12" t="s">
        <v>282</v>
      </c>
      <c r="BC184" s="12" t="s">
        <v>461</v>
      </c>
      <c r="BD184" s="12" t="s">
        <v>568</v>
      </c>
      <c r="BE184" s="12" t="s">
        <v>327</v>
      </c>
      <c r="BF184" s="12" t="s">
        <v>958</v>
      </c>
      <c r="BG184" s="12" t="s">
        <v>676</v>
      </c>
      <c r="BH184" s="12" t="s">
        <v>1116</v>
      </c>
      <c r="BI184" s="12" t="s">
        <v>1584</v>
      </c>
      <c r="BJ184" s="12" t="s">
        <v>1864</v>
      </c>
      <c r="BK184" s="12" t="s">
        <v>1864</v>
      </c>
      <c r="BL184" s="12" t="s">
        <v>1095</v>
      </c>
      <c r="BM184" s="12" t="s">
        <v>1758</v>
      </c>
      <c r="BN184" s="12" t="s">
        <v>1392</v>
      </c>
      <c r="BO184" s="12" t="s">
        <v>353</v>
      </c>
      <c r="BP184" s="12" t="s">
        <v>1366</v>
      </c>
      <c r="BQ184" s="12" t="s">
        <v>1407</v>
      </c>
      <c r="BR184" s="12" t="s">
        <v>1076</v>
      </c>
      <c r="BS184" s="12" t="s">
        <v>3082</v>
      </c>
      <c r="BT184" s="12" t="s">
        <v>3202</v>
      </c>
      <c r="BU184" s="12" t="s">
        <v>1374</v>
      </c>
      <c r="BV184" s="12" t="s">
        <v>1839</v>
      </c>
      <c r="BW184" s="12" t="s">
        <v>3203</v>
      </c>
      <c r="BX184" s="12" t="s">
        <v>2455</v>
      </c>
      <c r="BY184" s="12" t="s">
        <v>2063</v>
      </c>
      <c r="BZ184" s="12" t="s">
        <v>3104</v>
      </c>
      <c r="CA184" s="12" t="s">
        <v>2217</v>
      </c>
      <c r="CB184" s="12" t="s">
        <v>3204</v>
      </c>
      <c r="CC184" s="12" t="s">
        <v>3205</v>
      </c>
      <c r="CD184" s="12" t="s">
        <v>3206</v>
      </c>
      <c r="CE184" s="12" t="s">
        <v>3207</v>
      </c>
      <c r="CF184" s="12" t="s">
        <v>3208</v>
      </c>
      <c r="CG184" s="12" t="s">
        <v>3209</v>
      </c>
      <c r="CH184" s="12" t="s">
        <v>3210</v>
      </c>
      <c r="CI184" s="12" t="s">
        <v>3211</v>
      </c>
      <c r="CJ184" s="12" t="s">
        <v>3212</v>
      </c>
      <c r="CK184" s="12" t="s">
        <v>3213</v>
      </c>
      <c r="CL184" s="12" t="s">
        <v>3214</v>
      </c>
      <c r="CM184" s="12" t="s">
        <v>3215</v>
      </c>
      <c r="CN184" s="12" t="s">
        <v>3216</v>
      </c>
      <c r="CO184" s="12" t="s">
        <v>3217</v>
      </c>
      <c r="CP184" s="12" t="s">
        <v>3218</v>
      </c>
      <c r="CQ184" s="12" t="s">
        <v>3219</v>
      </c>
      <c r="CR184" s="12" t="s">
        <v>72</v>
      </c>
      <c r="CS184" s="12" t="s">
        <v>3220</v>
      </c>
      <c r="CT184" s="12" t="s">
        <v>3221</v>
      </c>
      <c r="CU184" s="12" t="s">
        <v>4263</v>
      </c>
      <c r="CV184" s="12" t="s">
        <v>4264</v>
      </c>
      <c r="CW184" s="12" t="s">
        <v>4265</v>
      </c>
      <c r="CX184" s="12" t="s">
        <v>4266</v>
      </c>
    </row>
    <row r="185" spans="1:102" hidden="1" x14ac:dyDescent="0.3">
      <c r="A185" s="12" t="s">
        <v>12</v>
      </c>
      <c r="B185" s="12" t="s">
        <v>3222</v>
      </c>
      <c r="C185" s="12" t="s">
        <v>3223</v>
      </c>
      <c r="D185" s="12" t="s">
        <v>3224</v>
      </c>
      <c r="E185" s="12" t="s">
        <v>277</v>
      </c>
      <c r="F185" s="12" t="s">
        <v>277</v>
      </c>
      <c r="G185" s="12" t="s">
        <v>277</v>
      </c>
      <c r="H185" s="12" t="s">
        <v>277</v>
      </c>
      <c r="I185" s="12" t="s">
        <v>277</v>
      </c>
      <c r="J185" s="12" t="s">
        <v>277</v>
      </c>
      <c r="K185" s="12" t="s">
        <v>277</v>
      </c>
      <c r="L185" s="12" t="s">
        <v>277</v>
      </c>
      <c r="M185" s="12" t="s">
        <v>278</v>
      </c>
      <c r="N185" s="12" t="s">
        <v>278</v>
      </c>
      <c r="O185" s="12" t="s">
        <v>278</v>
      </c>
      <c r="P185" s="12" t="s">
        <v>322</v>
      </c>
      <c r="Q185" s="12" t="s">
        <v>322</v>
      </c>
      <c r="R185" s="12" t="s">
        <v>322</v>
      </c>
      <c r="S185" s="12" t="s">
        <v>322</v>
      </c>
      <c r="T185" s="12" t="s">
        <v>322</v>
      </c>
      <c r="U185" s="12" t="s">
        <v>371</v>
      </c>
      <c r="V185" s="12" t="s">
        <v>371</v>
      </c>
      <c r="W185" s="12" t="s">
        <v>371</v>
      </c>
      <c r="X185" s="12" t="s">
        <v>371</v>
      </c>
      <c r="Y185" s="12" t="s">
        <v>371</v>
      </c>
      <c r="Z185" s="12" t="s">
        <v>371</v>
      </c>
      <c r="AA185" s="12" t="s">
        <v>371</v>
      </c>
      <c r="AB185" s="12" t="s">
        <v>371</v>
      </c>
      <c r="AC185" s="12" t="s">
        <v>371</v>
      </c>
      <c r="AD185" s="12" t="s">
        <v>371</v>
      </c>
      <c r="AE185" s="12" t="s">
        <v>371</v>
      </c>
      <c r="AF185" s="12" t="s">
        <v>371</v>
      </c>
      <c r="AG185" s="12" t="s">
        <v>371</v>
      </c>
      <c r="AH185" s="12" t="s">
        <v>371</v>
      </c>
      <c r="AI185" s="12" t="s">
        <v>371</v>
      </c>
      <c r="AJ185" s="12" t="s">
        <v>371</v>
      </c>
      <c r="AK185" s="12" t="s">
        <v>371</v>
      </c>
      <c r="AL185" s="12" t="s">
        <v>371</v>
      </c>
      <c r="AM185" s="12" t="s">
        <v>371</v>
      </c>
      <c r="AN185" s="12" t="s">
        <v>371</v>
      </c>
      <c r="AO185" s="12" t="s">
        <v>371</v>
      </c>
      <c r="AP185" s="12" t="s">
        <v>371</v>
      </c>
      <c r="AQ185" s="12" t="s">
        <v>371</v>
      </c>
      <c r="AR185" s="12" t="s">
        <v>371</v>
      </c>
      <c r="AS185" s="12" t="s">
        <v>371</v>
      </c>
      <c r="AT185" s="12" t="s">
        <v>371</v>
      </c>
      <c r="AU185" s="12" t="s">
        <v>371</v>
      </c>
      <c r="AV185" s="12" t="s">
        <v>371</v>
      </c>
      <c r="AW185" s="12" t="s">
        <v>280</v>
      </c>
      <c r="AX185" s="12" t="s">
        <v>550</v>
      </c>
      <c r="AY185" s="12" t="s">
        <v>323</v>
      </c>
      <c r="AZ185" s="12" t="s">
        <v>374</v>
      </c>
      <c r="BA185" s="12" t="s">
        <v>326</v>
      </c>
      <c r="BB185" s="12" t="s">
        <v>690</v>
      </c>
      <c r="BC185" s="12" t="s">
        <v>508</v>
      </c>
      <c r="BD185" s="12" t="s">
        <v>332</v>
      </c>
      <c r="BE185" s="12" t="s">
        <v>678</v>
      </c>
      <c r="BF185" s="12" t="s">
        <v>724</v>
      </c>
      <c r="BG185" s="12" t="s">
        <v>1712</v>
      </c>
      <c r="BH185" s="12" t="s">
        <v>1061</v>
      </c>
      <c r="BI185" s="12" t="s">
        <v>1678</v>
      </c>
      <c r="BJ185" s="12" t="s">
        <v>1187</v>
      </c>
      <c r="BK185" s="12" t="s">
        <v>384</v>
      </c>
      <c r="BL185" s="12" t="s">
        <v>575</v>
      </c>
      <c r="BM185" s="12" t="s">
        <v>1389</v>
      </c>
      <c r="BN185" s="12" t="s">
        <v>3225</v>
      </c>
      <c r="BO185" s="12" t="s">
        <v>1767</v>
      </c>
      <c r="BP185" s="12" t="s">
        <v>1687</v>
      </c>
      <c r="BQ185" s="12" t="s">
        <v>3226</v>
      </c>
      <c r="BR185" s="12" t="s">
        <v>865</v>
      </c>
      <c r="BS185" s="12" t="s">
        <v>1141</v>
      </c>
      <c r="BT185" s="12" t="s">
        <v>2156</v>
      </c>
      <c r="BU185" s="12" t="s">
        <v>1014</v>
      </c>
      <c r="BV185" s="12" t="s">
        <v>3227</v>
      </c>
      <c r="BW185" s="12" t="s">
        <v>3228</v>
      </c>
      <c r="BX185" s="12" t="s">
        <v>3229</v>
      </c>
      <c r="BY185" s="12" t="s">
        <v>3230</v>
      </c>
      <c r="BZ185" s="12" t="s">
        <v>3231</v>
      </c>
      <c r="CA185" s="12" t="s">
        <v>3232</v>
      </c>
      <c r="CB185" s="12" t="s">
        <v>3233</v>
      </c>
      <c r="CC185" s="12" t="s">
        <v>3234</v>
      </c>
      <c r="CD185" s="12" t="s">
        <v>3235</v>
      </c>
      <c r="CE185" s="12" t="s">
        <v>3236</v>
      </c>
      <c r="CF185" s="12" t="s">
        <v>3237</v>
      </c>
      <c r="CG185" s="12" t="s">
        <v>3238</v>
      </c>
      <c r="CH185" s="12" t="s">
        <v>3239</v>
      </c>
      <c r="CI185" s="12" t="s">
        <v>3240</v>
      </c>
      <c r="CJ185" s="12" t="s">
        <v>3241</v>
      </c>
      <c r="CK185" s="12" t="s">
        <v>3242</v>
      </c>
      <c r="CL185" s="12" t="s">
        <v>3243</v>
      </c>
      <c r="CM185" s="12" t="s">
        <v>3244</v>
      </c>
      <c r="CN185" s="12" t="s">
        <v>3245</v>
      </c>
      <c r="CO185" s="12" t="s">
        <v>3246</v>
      </c>
      <c r="CP185" s="12" t="s">
        <v>3247</v>
      </c>
      <c r="CQ185" s="12" t="s">
        <v>3248</v>
      </c>
      <c r="CR185" s="12" t="s">
        <v>3249</v>
      </c>
      <c r="CS185" s="12" t="s">
        <v>3250</v>
      </c>
      <c r="CT185" s="12" t="s">
        <v>3251</v>
      </c>
      <c r="CU185" s="12" t="s">
        <v>4267</v>
      </c>
      <c r="CV185" s="12" t="s">
        <v>4268</v>
      </c>
      <c r="CW185" s="12" t="s">
        <v>4269</v>
      </c>
      <c r="CX185" s="12" t="s">
        <v>4270</v>
      </c>
    </row>
    <row r="186" spans="1:102" hidden="1" x14ac:dyDescent="0.3">
      <c r="A186" s="12" t="s">
        <v>12</v>
      </c>
      <c r="B186" s="12" t="s">
        <v>3252</v>
      </c>
      <c r="C186" s="12" t="s">
        <v>3253</v>
      </c>
      <c r="D186" s="12" t="s">
        <v>3254</v>
      </c>
      <c r="E186" s="12" t="s">
        <v>277</v>
      </c>
      <c r="F186" s="12" t="s">
        <v>277</v>
      </c>
      <c r="G186" s="12" t="s">
        <v>277</v>
      </c>
      <c r="H186" s="12" t="s">
        <v>277</v>
      </c>
      <c r="I186" s="12" t="s">
        <v>277</v>
      </c>
      <c r="J186" s="12" t="s">
        <v>277</v>
      </c>
      <c r="K186" s="12" t="s">
        <v>277</v>
      </c>
      <c r="L186" s="12" t="s">
        <v>277</v>
      </c>
      <c r="M186" s="12" t="s">
        <v>277</v>
      </c>
      <c r="N186" s="12" t="s">
        <v>277</v>
      </c>
      <c r="O186" s="12" t="s">
        <v>277</v>
      </c>
      <c r="P186" s="12" t="s">
        <v>277</v>
      </c>
      <c r="Q186" s="12" t="s">
        <v>277</v>
      </c>
      <c r="R186" s="12" t="s">
        <v>277</v>
      </c>
      <c r="S186" s="12" t="s">
        <v>277</v>
      </c>
      <c r="T186" s="12" t="s">
        <v>277</v>
      </c>
      <c r="U186" s="12" t="s">
        <v>277</v>
      </c>
      <c r="V186" s="12" t="s">
        <v>277</v>
      </c>
      <c r="W186" s="12" t="s">
        <v>277</v>
      </c>
      <c r="X186" s="12" t="s">
        <v>277</v>
      </c>
      <c r="Y186" s="12" t="s">
        <v>277</v>
      </c>
      <c r="Z186" s="12" t="s">
        <v>277</v>
      </c>
      <c r="AA186" s="12" t="s">
        <v>277</v>
      </c>
      <c r="AB186" s="12" t="s">
        <v>277</v>
      </c>
      <c r="AC186" s="12" t="s">
        <v>277</v>
      </c>
      <c r="AD186" s="12" t="s">
        <v>277</v>
      </c>
      <c r="AE186" s="12" t="s">
        <v>277</v>
      </c>
      <c r="AF186" s="12" t="s">
        <v>277</v>
      </c>
      <c r="AG186" s="12" t="s">
        <v>277</v>
      </c>
      <c r="AH186" s="12" t="s">
        <v>277</v>
      </c>
      <c r="AI186" s="12" t="s">
        <v>277</v>
      </c>
      <c r="AJ186" s="12" t="s">
        <v>277</v>
      </c>
      <c r="AK186" s="12" t="s">
        <v>277</v>
      </c>
      <c r="AL186" s="12" t="s">
        <v>277</v>
      </c>
      <c r="AM186" s="12" t="s">
        <v>277</v>
      </c>
      <c r="AN186" s="12" t="s">
        <v>277</v>
      </c>
      <c r="AO186" s="12" t="s">
        <v>277</v>
      </c>
      <c r="AP186" s="12" t="s">
        <v>277</v>
      </c>
      <c r="AQ186" s="12" t="s">
        <v>277</v>
      </c>
      <c r="AR186" s="12" t="s">
        <v>277</v>
      </c>
      <c r="AS186" s="12" t="s">
        <v>277</v>
      </c>
      <c r="AT186" s="12" t="s">
        <v>277</v>
      </c>
      <c r="AU186" s="12" t="s">
        <v>278</v>
      </c>
      <c r="AV186" s="12" t="s">
        <v>278</v>
      </c>
      <c r="AW186" s="12" t="s">
        <v>280</v>
      </c>
      <c r="AX186" s="12" t="s">
        <v>280</v>
      </c>
      <c r="AY186" s="12" t="s">
        <v>282</v>
      </c>
      <c r="AZ186" s="12" t="s">
        <v>283</v>
      </c>
      <c r="BA186" s="12" t="s">
        <v>285</v>
      </c>
      <c r="BB186" s="12" t="s">
        <v>465</v>
      </c>
      <c r="BC186" s="12" t="s">
        <v>690</v>
      </c>
      <c r="BD186" s="12" t="s">
        <v>469</v>
      </c>
      <c r="BE186" s="12" t="s">
        <v>561</v>
      </c>
      <c r="BF186" s="12" t="s">
        <v>1117</v>
      </c>
      <c r="BG186" s="12" t="s">
        <v>1229</v>
      </c>
      <c r="BH186" s="12" t="s">
        <v>1322</v>
      </c>
      <c r="BI186" s="12" t="s">
        <v>1515</v>
      </c>
      <c r="BJ186" s="12" t="s">
        <v>694</v>
      </c>
      <c r="BK186" s="12" t="s">
        <v>1231</v>
      </c>
      <c r="BL186" s="12" t="s">
        <v>1765</v>
      </c>
      <c r="BM186" s="12" t="s">
        <v>365</v>
      </c>
      <c r="BN186" s="12" t="s">
        <v>1736</v>
      </c>
      <c r="BO186" s="12" t="s">
        <v>991</v>
      </c>
      <c r="BP186" s="12" t="s">
        <v>3255</v>
      </c>
      <c r="BQ186" s="12" t="s">
        <v>3101</v>
      </c>
      <c r="BR186" s="12" t="s">
        <v>3256</v>
      </c>
      <c r="BS186" s="12" t="s">
        <v>3257</v>
      </c>
      <c r="BT186" s="12" t="s">
        <v>3258</v>
      </c>
      <c r="BU186" s="12" t="s">
        <v>3259</v>
      </c>
      <c r="BV186" s="12" t="s">
        <v>3228</v>
      </c>
      <c r="BW186" s="12" t="s">
        <v>1017</v>
      </c>
      <c r="BX186" s="12" t="s">
        <v>3260</v>
      </c>
      <c r="BY186" s="12" t="s">
        <v>3261</v>
      </c>
      <c r="BZ186" s="12" t="s">
        <v>3262</v>
      </c>
      <c r="CA186" s="12" t="s">
        <v>3263</v>
      </c>
      <c r="CB186" s="12" t="s">
        <v>3264</v>
      </c>
      <c r="CC186" s="12" t="s">
        <v>3265</v>
      </c>
      <c r="CD186" s="12" t="s">
        <v>3266</v>
      </c>
      <c r="CE186" s="12" t="s">
        <v>3267</v>
      </c>
      <c r="CF186" s="12" t="s">
        <v>3268</v>
      </c>
      <c r="CG186" s="12" t="s">
        <v>3269</v>
      </c>
      <c r="CH186" s="12" t="s">
        <v>3270</v>
      </c>
      <c r="CI186" s="12" t="s">
        <v>3271</v>
      </c>
      <c r="CJ186" s="12" t="s">
        <v>3272</v>
      </c>
      <c r="CK186" s="12" t="s">
        <v>3273</v>
      </c>
      <c r="CL186" s="12" t="s">
        <v>3274</v>
      </c>
      <c r="CM186" s="12" t="s">
        <v>3275</v>
      </c>
      <c r="CN186" s="12" t="s">
        <v>3276</v>
      </c>
      <c r="CO186" s="12" t="s">
        <v>3277</v>
      </c>
      <c r="CP186" s="12" t="s">
        <v>3278</v>
      </c>
      <c r="CQ186" s="12" t="s">
        <v>3279</v>
      </c>
      <c r="CR186" s="12" t="s">
        <v>3280</v>
      </c>
      <c r="CS186" s="12" t="s">
        <v>3281</v>
      </c>
      <c r="CT186" s="12" t="s">
        <v>3282</v>
      </c>
      <c r="CU186" s="12" t="s">
        <v>4271</v>
      </c>
      <c r="CV186" s="12" t="s">
        <v>4272</v>
      </c>
      <c r="CW186" s="12" t="s">
        <v>4273</v>
      </c>
      <c r="CX186" s="12" t="s">
        <v>4274</v>
      </c>
    </row>
    <row r="187" spans="1:102" hidden="1" x14ac:dyDescent="0.3">
      <c r="A187" s="12" t="s">
        <v>12</v>
      </c>
      <c r="B187" s="12" t="s">
        <v>3283</v>
      </c>
      <c r="C187" s="12" t="s">
        <v>3284</v>
      </c>
      <c r="D187" s="12" t="s">
        <v>3285</v>
      </c>
      <c r="E187" s="12" t="s">
        <v>277</v>
      </c>
      <c r="F187" s="12" t="s">
        <v>277</v>
      </c>
      <c r="G187" s="12" t="s">
        <v>277</v>
      </c>
      <c r="H187" s="12" t="s">
        <v>277</v>
      </c>
      <c r="I187" s="12" t="s">
        <v>277</v>
      </c>
      <c r="J187" s="12" t="s">
        <v>277</v>
      </c>
      <c r="K187" s="12" t="s">
        <v>277</v>
      </c>
      <c r="L187" s="12" t="s">
        <v>277</v>
      </c>
      <c r="M187" s="12" t="s">
        <v>277</v>
      </c>
      <c r="N187" s="12" t="s">
        <v>277</v>
      </c>
      <c r="O187" s="12" t="s">
        <v>277</v>
      </c>
      <c r="P187" s="12" t="s">
        <v>277</v>
      </c>
      <c r="Q187" s="12" t="s">
        <v>277</v>
      </c>
      <c r="R187" s="12" t="s">
        <v>277</v>
      </c>
      <c r="S187" s="12" t="s">
        <v>277</v>
      </c>
      <c r="T187" s="12" t="s">
        <v>277</v>
      </c>
      <c r="U187" s="12" t="s">
        <v>277</v>
      </c>
      <c r="V187" s="12" t="s">
        <v>277</v>
      </c>
      <c r="W187" s="12" t="s">
        <v>277</v>
      </c>
      <c r="X187" s="12" t="s">
        <v>277</v>
      </c>
      <c r="Y187" s="12" t="s">
        <v>277</v>
      </c>
      <c r="Z187" s="12" t="s">
        <v>277</v>
      </c>
      <c r="AA187" s="12" t="s">
        <v>277</v>
      </c>
      <c r="AB187" s="12" t="s">
        <v>277</v>
      </c>
      <c r="AC187" s="12" t="s">
        <v>277</v>
      </c>
      <c r="AD187" s="12" t="s">
        <v>277</v>
      </c>
      <c r="AE187" s="12" t="s">
        <v>277</v>
      </c>
      <c r="AF187" s="12" t="s">
        <v>277</v>
      </c>
      <c r="AG187" s="12" t="s">
        <v>277</v>
      </c>
      <c r="AH187" s="12" t="s">
        <v>277</v>
      </c>
      <c r="AI187" s="12" t="s">
        <v>277</v>
      </c>
      <c r="AJ187" s="12" t="s">
        <v>277</v>
      </c>
      <c r="AK187" s="12" t="s">
        <v>277</v>
      </c>
      <c r="AL187" s="12" t="s">
        <v>277</v>
      </c>
      <c r="AM187" s="12" t="s">
        <v>277</v>
      </c>
      <c r="AN187" s="12" t="s">
        <v>277</v>
      </c>
      <c r="AO187" s="12" t="s">
        <v>277</v>
      </c>
      <c r="AP187" s="12" t="s">
        <v>277</v>
      </c>
      <c r="AQ187" s="12" t="s">
        <v>277</v>
      </c>
      <c r="AR187" s="12" t="s">
        <v>277</v>
      </c>
      <c r="AS187" s="12" t="s">
        <v>322</v>
      </c>
      <c r="AT187" s="12" t="s">
        <v>322</v>
      </c>
      <c r="AU187" s="12" t="s">
        <v>280</v>
      </c>
      <c r="AV187" s="12" t="s">
        <v>454</v>
      </c>
      <c r="AW187" s="12" t="s">
        <v>567</v>
      </c>
      <c r="AX187" s="12" t="s">
        <v>374</v>
      </c>
      <c r="AY187" s="12" t="s">
        <v>1716</v>
      </c>
      <c r="AZ187" s="12" t="s">
        <v>1716</v>
      </c>
      <c r="BA187" s="12" t="s">
        <v>745</v>
      </c>
      <c r="BB187" s="12" t="s">
        <v>331</v>
      </c>
      <c r="BC187" s="12" t="s">
        <v>331</v>
      </c>
      <c r="BD187" s="12" t="s">
        <v>571</v>
      </c>
      <c r="BE187" s="12" t="s">
        <v>681</v>
      </c>
      <c r="BF187" s="12" t="s">
        <v>1514</v>
      </c>
      <c r="BG187" s="12" t="s">
        <v>1064</v>
      </c>
      <c r="BH187" s="12" t="s">
        <v>3286</v>
      </c>
      <c r="BI187" s="12" t="s">
        <v>3286</v>
      </c>
      <c r="BJ187" s="12" t="s">
        <v>2554</v>
      </c>
      <c r="BK187" s="12" t="s">
        <v>2400</v>
      </c>
      <c r="BL187" s="12" t="s">
        <v>3287</v>
      </c>
      <c r="BM187" s="12" t="s">
        <v>1900</v>
      </c>
      <c r="BN187" s="12" t="s">
        <v>3288</v>
      </c>
      <c r="BO187" s="12" t="s">
        <v>3289</v>
      </c>
      <c r="BP187" s="12" t="s">
        <v>3290</v>
      </c>
      <c r="BQ187" s="12" t="s">
        <v>3291</v>
      </c>
      <c r="BR187" s="12" t="s">
        <v>3292</v>
      </c>
      <c r="BS187" s="12" t="s">
        <v>3293</v>
      </c>
      <c r="BT187" s="12" t="s">
        <v>3294</v>
      </c>
      <c r="BU187" s="12" t="s">
        <v>3295</v>
      </c>
      <c r="BV187" s="12" t="s">
        <v>3296</v>
      </c>
      <c r="BW187" s="12" t="s">
        <v>3297</v>
      </c>
      <c r="BX187" s="12" t="s">
        <v>3298</v>
      </c>
      <c r="BY187" s="12" t="s">
        <v>3299</v>
      </c>
      <c r="BZ187" s="12" t="s">
        <v>3300</v>
      </c>
      <c r="CA187" s="12" t="s">
        <v>3301</v>
      </c>
      <c r="CB187" s="12" t="s">
        <v>3302</v>
      </c>
      <c r="CC187" s="12" t="s">
        <v>3303</v>
      </c>
      <c r="CD187" s="12" t="s">
        <v>3304</v>
      </c>
      <c r="CE187" s="12" t="s">
        <v>3305</v>
      </c>
      <c r="CF187" s="12" t="s">
        <v>3306</v>
      </c>
      <c r="CG187" s="12" t="s">
        <v>3307</v>
      </c>
      <c r="CH187" s="12" t="s">
        <v>3308</v>
      </c>
      <c r="CI187" s="12" t="s">
        <v>3309</v>
      </c>
      <c r="CJ187" s="12" t="s">
        <v>3310</v>
      </c>
      <c r="CK187" s="12" t="s">
        <v>3311</v>
      </c>
      <c r="CL187" s="12" t="s">
        <v>3312</v>
      </c>
      <c r="CM187" s="12" t="s">
        <v>3313</v>
      </c>
      <c r="CN187" s="12" t="s">
        <v>3314</v>
      </c>
      <c r="CO187" s="12" t="s">
        <v>3315</v>
      </c>
      <c r="CP187" s="12" t="s">
        <v>3316</v>
      </c>
      <c r="CQ187" s="12" t="s">
        <v>3317</v>
      </c>
      <c r="CR187" s="12" t="s">
        <v>3318</v>
      </c>
      <c r="CS187" s="12" t="s">
        <v>3319</v>
      </c>
      <c r="CT187" s="12" t="s">
        <v>3320</v>
      </c>
      <c r="CU187" s="12" t="s">
        <v>4275</v>
      </c>
      <c r="CV187" s="12" t="s">
        <v>4276</v>
      </c>
      <c r="CW187" s="12" t="s">
        <v>4277</v>
      </c>
      <c r="CX187" s="12" t="s">
        <v>4278</v>
      </c>
    </row>
    <row r="188" spans="1:102" hidden="1" x14ac:dyDescent="0.3">
      <c r="A188" s="12" t="s">
        <v>12</v>
      </c>
      <c r="B188" s="12" t="s">
        <v>3321</v>
      </c>
      <c r="C188" s="12" t="s">
        <v>3322</v>
      </c>
      <c r="D188" s="12" t="s">
        <v>3323</v>
      </c>
      <c r="E188" s="12" t="s">
        <v>277</v>
      </c>
      <c r="F188" s="12" t="s">
        <v>277</v>
      </c>
      <c r="G188" s="12" t="s">
        <v>277</v>
      </c>
      <c r="H188" s="12" t="s">
        <v>277</v>
      </c>
      <c r="I188" s="12" t="s">
        <v>277</v>
      </c>
      <c r="J188" s="12" t="s">
        <v>277</v>
      </c>
      <c r="K188" s="12" t="s">
        <v>277</v>
      </c>
      <c r="L188" s="12" t="s">
        <v>277</v>
      </c>
      <c r="M188" s="12" t="s">
        <v>277</v>
      </c>
      <c r="N188" s="12" t="s">
        <v>277</v>
      </c>
      <c r="O188" s="12" t="s">
        <v>277</v>
      </c>
      <c r="P188" s="12" t="s">
        <v>277</v>
      </c>
      <c r="Q188" s="12" t="s">
        <v>277</v>
      </c>
      <c r="R188" s="12" t="s">
        <v>277</v>
      </c>
      <c r="S188" s="12" t="s">
        <v>277</v>
      </c>
      <c r="T188" s="12" t="s">
        <v>277</v>
      </c>
      <c r="U188" s="12" t="s">
        <v>277</v>
      </c>
      <c r="V188" s="12" t="s">
        <v>277</v>
      </c>
      <c r="W188" s="12" t="s">
        <v>277</v>
      </c>
      <c r="X188" s="12" t="s">
        <v>277</v>
      </c>
      <c r="Y188" s="12" t="s">
        <v>277</v>
      </c>
      <c r="Z188" s="12" t="s">
        <v>277</v>
      </c>
      <c r="AA188" s="12" t="s">
        <v>277</v>
      </c>
      <c r="AB188" s="12" t="s">
        <v>277</v>
      </c>
      <c r="AC188" s="12" t="s">
        <v>277</v>
      </c>
      <c r="AD188" s="12" t="s">
        <v>277</v>
      </c>
      <c r="AE188" s="12" t="s">
        <v>277</v>
      </c>
      <c r="AF188" s="12" t="s">
        <v>277</v>
      </c>
      <c r="AG188" s="12" t="s">
        <v>277</v>
      </c>
      <c r="AH188" s="12" t="s">
        <v>277</v>
      </c>
      <c r="AI188" s="12" t="s">
        <v>277</v>
      </c>
      <c r="AJ188" s="12" t="s">
        <v>277</v>
      </c>
      <c r="AK188" s="12" t="s">
        <v>277</v>
      </c>
      <c r="AL188" s="12" t="s">
        <v>277</v>
      </c>
      <c r="AM188" s="12" t="s">
        <v>277</v>
      </c>
      <c r="AN188" s="12" t="s">
        <v>277</v>
      </c>
      <c r="AO188" s="12" t="s">
        <v>277</v>
      </c>
      <c r="AP188" s="12" t="s">
        <v>277</v>
      </c>
      <c r="AQ188" s="12" t="s">
        <v>278</v>
      </c>
      <c r="AR188" s="12" t="s">
        <v>371</v>
      </c>
      <c r="AS188" s="12" t="s">
        <v>371</v>
      </c>
      <c r="AT188" s="12" t="s">
        <v>281</v>
      </c>
      <c r="AU188" s="12" t="s">
        <v>454</v>
      </c>
      <c r="AV188" s="12" t="s">
        <v>454</v>
      </c>
      <c r="AW188" s="12" t="s">
        <v>454</v>
      </c>
      <c r="AX188" s="12" t="s">
        <v>454</v>
      </c>
      <c r="AY188" s="12" t="s">
        <v>461</v>
      </c>
      <c r="AZ188" s="12" t="s">
        <v>507</v>
      </c>
      <c r="BA188" s="12" t="s">
        <v>286</v>
      </c>
      <c r="BB188" s="12" t="s">
        <v>1192</v>
      </c>
      <c r="BC188" s="12" t="s">
        <v>1192</v>
      </c>
      <c r="BD188" s="12" t="s">
        <v>1309</v>
      </c>
      <c r="BE188" s="12" t="s">
        <v>658</v>
      </c>
      <c r="BF188" s="12" t="s">
        <v>2721</v>
      </c>
      <c r="BG188" s="12" t="s">
        <v>433</v>
      </c>
      <c r="BH188" s="12" t="s">
        <v>433</v>
      </c>
      <c r="BI188" s="12" t="s">
        <v>1398</v>
      </c>
      <c r="BJ188" s="12" t="s">
        <v>732</v>
      </c>
      <c r="BK188" s="12" t="s">
        <v>1542</v>
      </c>
      <c r="BL188" s="12" t="s">
        <v>733</v>
      </c>
      <c r="BM188" s="12" t="s">
        <v>358</v>
      </c>
      <c r="BN188" s="12" t="s">
        <v>435</v>
      </c>
      <c r="BO188" s="12" t="s">
        <v>1764</v>
      </c>
      <c r="BP188" s="12" t="s">
        <v>1324</v>
      </c>
      <c r="BQ188" s="12" t="s">
        <v>1072</v>
      </c>
      <c r="BR188" s="12" t="s">
        <v>362</v>
      </c>
      <c r="BS188" s="12" t="s">
        <v>1412</v>
      </c>
      <c r="BT188" s="12" t="s">
        <v>365</v>
      </c>
      <c r="BU188" s="12" t="s">
        <v>3324</v>
      </c>
      <c r="BV188" s="12" t="s">
        <v>630</v>
      </c>
      <c r="BW188" s="12" t="s">
        <v>631</v>
      </c>
      <c r="BX188" s="12" t="s">
        <v>2214</v>
      </c>
      <c r="BY188" s="12" t="s">
        <v>1141</v>
      </c>
      <c r="BZ188" s="12" t="s">
        <v>3325</v>
      </c>
      <c r="CA188" s="12" t="s">
        <v>3326</v>
      </c>
      <c r="CB188" s="12" t="s">
        <v>1905</v>
      </c>
      <c r="CC188" s="12" t="s">
        <v>3327</v>
      </c>
      <c r="CD188" s="12" t="s">
        <v>3328</v>
      </c>
      <c r="CE188" s="12" t="s">
        <v>3329</v>
      </c>
      <c r="CF188" s="12" t="s">
        <v>3330</v>
      </c>
      <c r="CG188" s="12" t="s">
        <v>3331</v>
      </c>
      <c r="CH188" s="12" t="s">
        <v>1850</v>
      </c>
      <c r="CI188" s="12" t="s">
        <v>3332</v>
      </c>
      <c r="CJ188" s="12" t="s">
        <v>3333</v>
      </c>
      <c r="CK188" s="12" t="s">
        <v>3334</v>
      </c>
      <c r="CL188" s="12" t="s">
        <v>3335</v>
      </c>
      <c r="CM188" s="12" t="s">
        <v>3336</v>
      </c>
      <c r="CN188" s="12" t="s">
        <v>3337</v>
      </c>
      <c r="CO188" s="12" t="s">
        <v>3338</v>
      </c>
      <c r="CP188" s="12" t="s">
        <v>3339</v>
      </c>
      <c r="CQ188" s="12" t="s">
        <v>3340</v>
      </c>
      <c r="CR188" s="12" t="s">
        <v>3341</v>
      </c>
      <c r="CS188" s="12" t="s">
        <v>3342</v>
      </c>
      <c r="CT188" s="12" t="s">
        <v>3343</v>
      </c>
      <c r="CU188" s="12" t="s">
        <v>4279</v>
      </c>
      <c r="CV188" s="12" t="s">
        <v>4280</v>
      </c>
      <c r="CW188" s="12" t="s">
        <v>4281</v>
      </c>
      <c r="CX188" s="12" t="s">
        <v>4282</v>
      </c>
    </row>
    <row r="189" spans="1:102" hidden="1" x14ac:dyDescent="0.3">
      <c r="A189" s="12" t="s">
        <v>12</v>
      </c>
      <c r="B189" s="12" t="s">
        <v>3344</v>
      </c>
      <c r="C189" s="12" t="s">
        <v>3345</v>
      </c>
      <c r="D189" s="12" t="s">
        <v>3346</v>
      </c>
      <c r="E189" s="12" t="s">
        <v>277</v>
      </c>
      <c r="F189" s="12" t="s">
        <v>277</v>
      </c>
      <c r="G189" s="12" t="s">
        <v>277</v>
      </c>
      <c r="H189" s="12" t="s">
        <v>277</v>
      </c>
      <c r="I189" s="12" t="s">
        <v>277</v>
      </c>
      <c r="J189" s="12" t="s">
        <v>277</v>
      </c>
      <c r="K189" s="12" t="s">
        <v>277</v>
      </c>
      <c r="L189" s="12" t="s">
        <v>277</v>
      </c>
      <c r="M189" s="12" t="s">
        <v>277</v>
      </c>
      <c r="N189" s="12" t="s">
        <v>277</v>
      </c>
      <c r="O189" s="12" t="s">
        <v>277</v>
      </c>
      <c r="P189" s="12" t="s">
        <v>277</v>
      </c>
      <c r="Q189" s="12" t="s">
        <v>277</v>
      </c>
      <c r="R189" s="12" t="s">
        <v>277</v>
      </c>
      <c r="S189" s="12" t="s">
        <v>277</v>
      </c>
      <c r="T189" s="12" t="s">
        <v>277</v>
      </c>
      <c r="U189" s="12" t="s">
        <v>277</v>
      </c>
      <c r="V189" s="12" t="s">
        <v>277</v>
      </c>
      <c r="W189" s="12" t="s">
        <v>277</v>
      </c>
      <c r="X189" s="12" t="s">
        <v>277</v>
      </c>
      <c r="Y189" s="12" t="s">
        <v>277</v>
      </c>
      <c r="Z189" s="12" t="s">
        <v>277</v>
      </c>
      <c r="AA189" s="12" t="s">
        <v>277</v>
      </c>
      <c r="AB189" s="12" t="s">
        <v>277</v>
      </c>
      <c r="AC189" s="12" t="s">
        <v>277</v>
      </c>
      <c r="AD189" s="12" t="s">
        <v>277</v>
      </c>
      <c r="AE189" s="12" t="s">
        <v>277</v>
      </c>
      <c r="AF189" s="12" t="s">
        <v>277</v>
      </c>
      <c r="AG189" s="12" t="s">
        <v>277</v>
      </c>
      <c r="AH189" s="12" t="s">
        <v>277</v>
      </c>
      <c r="AI189" s="12" t="s">
        <v>277</v>
      </c>
      <c r="AJ189" s="12" t="s">
        <v>277</v>
      </c>
      <c r="AK189" s="12" t="s">
        <v>277</v>
      </c>
      <c r="AL189" s="12" t="s">
        <v>277</v>
      </c>
      <c r="AM189" s="12" t="s">
        <v>277</v>
      </c>
      <c r="AN189" s="12" t="s">
        <v>278</v>
      </c>
      <c r="AO189" s="12" t="s">
        <v>278</v>
      </c>
      <c r="AP189" s="12" t="s">
        <v>371</v>
      </c>
      <c r="AQ189" s="12" t="s">
        <v>371</v>
      </c>
      <c r="AR189" s="12" t="s">
        <v>371</v>
      </c>
      <c r="AS189" s="12" t="s">
        <v>371</v>
      </c>
      <c r="AT189" s="12" t="s">
        <v>371</v>
      </c>
      <c r="AU189" s="12" t="s">
        <v>279</v>
      </c>
      <c r="AV189" s="12" t="s">
        <v>550</v>
      </c>
      <c r="AW189" s="12" t="s">
        <v>460</v>
      </c>
      <c r="AX189" s="12" t="s">
        <v>460</v>
      </c>
      <c r="AY189" s="12" t="s">
        <v>461</v>
      </c>
      <c r="AZ189" s="12" t="s">
        <v>461</v>
      </c>
      <c r="BA189" s="12" t="s">
        <v>456</v>
      </c>
      <c r="BB189" s="12" t="s">
        <v>467</v>
      </c>
      <c r="BC189" s="12" t="s">
        <v>690</v>
      </c>
      <c r="BD189" s="12" t="s">
        <v>335</v>
      </c>
      <c r="BE189" s="12" t="s">
        <v>337</v>
      </c>
      <c r="BF189" s="12" t="s">
        <v>746</v>
      </c>
      <c r="BG189" s="12" t="s">
        <v>473</v>
      </c>
      <c r="BH189" s="12" t="s">
        <v>620</v>
      </c>
      <c r="BI189" s="12" t="s">
        <v>1304</v>
      </c>
      <c r="BJ189" s="12" t="s">
        <v>345</v>
      </c>
      <c r="BK189" s="12" t="s">
        <v>427</v>
      </c>
      <c r="BL189" s="12" t="s">
        <v>300</v>
      </c>
      <c r="BM189" s="12" t="s">
        <v>354</v>
      </c>
      <c r="BN189" s="12" t="s">
        <v>1104</v>
      </c>
      <c r="BO189" s="12" t="s">
        <v>3347</v>
      </c>
      <c r="BP189" s="12" t="s">
        <v>311</v>
      </c>
      <c r="BQ189" s="12" t="s">
        <v>580</v>
      </c>
      <c r="BR189" s="12" t="s">
        <v>3348</v>
      </c>
      <c r="BS189" s="12" t="s">
        <v>3349</v>
      </c>
      <c r="BT189" s="12" t="s">
        <v>3350</v>
      </c>
      <c r="BU189" s="12" t="s">
        <v>3351</v>
      </c>
      <c r="BV189" s="12" t="s">
        <v>2349</v>
      </c>
      <c r="BW189" s="12" t="s">
        <v>3022</v>
      </c>
      <c r="BX189" s="12" t="s">
        <v>1334</v>
      </c>
      <c r="BY189" s="12" t="s">
        <v>3352</v>
      </c>
      <c r="BZ189" s="12" t="s">
        <v>3353</v>
      </c>
      <c r="CA189" s="12" t="s">
        <v>3354</v>
      </c>
      <c r="CB189" s="12" t="s">
        <v>3355</v>
      </c>
      <c r="CC189" s="12" t="s">
        <v>3356</v>
      </c>
      <c r="CD189" s="12" t="s">
        <v>3357</v>
      </c>
      <c r="CE189" s="12" t="s">
        <v>3358</v>
      </c>
      <c r="CF189" s="12" t="s">
        <v>3359</v>
      </c>
      <c r="CG189" s="12" t="s">
        <v>3360</v>
      </c>
      <c r="CH189" s="12" t="s">
        <v>3361</v>
      </c>
      <c r="CI189" s="12" t="s">
        <v>2221</v>
      </c>
      <c r="CJ189" s="12" t="s">
        <v>2012</v>
      </c>
      <c r="CK189" s="12" t="s">
        <v>3362</v>
      </c>
      <c r="CL189" s="12" t="s">
        <v>3363</v>
      </c>
      <c r="CM189" s="12" t="s">
        <v>3364</v>
      </c>
      <c r="CN189" s="12" t="s">
        <v>3166</v>
      </c>
      <c r="CO189" s="12" t="s">
        <v>3365</v>
      </c>
      <c r="CP189" s="12" t="s">
        <v>3366</v>
      </c>
      <c r="CQ189" s="12" t="s">
        <v>3367</v>
      </c>
      <c r="CR189" s="12" t="s">
        <v>3368</v>
      </c>
      <c r="CS189" s="12" t="s">
        <v>3369</v>
      </c>
      <c r="CT189" s="12" t="s">
        <v>3370</v>
      </c>
      <c r="CU189" s="12" t="s">
        <v>2794</v>
      </c>
      <c r="CV189" s="12" t="s">
        <v>4283</v>
      </c>
      <c r="CW189" s="12" t="s">
        <v>4284</v>
      </c>
      <c r="CX189" s="12" t="s">
        <v>4285</v>
      </c>
    </row>
    <row r="190" spans="1:102" hidden="1" x14ac:dyDescent="0.3">
      <c r="A190" s="12" t="s">
        <v>12</v>
      </c>
      <c r="B190" s="12" t="s">
        <v>3371</v>
      </c>
      <c r="C190" s="12" t="s">
        <v>3372</v>
      </c>
      <c r="D190" s="12" t="s">
        <v>3373</v>
      </c>
      <c r="E190" s="12" t="s">
        <v>277</v>
      </c>
      <c r="F190" s="12" t="s">
        <v>277</v>
      </c>
      <c r="G190" s="12" t="s">
        <v>277</v>
      </c>
      <c r="H190" s="12" t="s">
        <v>277</v>
      </c>
      <c r="I190" s="12" t="s">
        <v>277</v>
      </c>
      <c r="J190" s="12" t="s">
        <v>277</v>
      </c>
      <c r="K190" s="12" t="s">
        <v>277</v>
      </c>
      <c r="L190" s="12" t="s">
        <v>277</v>
      </c>
      <c r="M190" s="12" t="s">
        <v>277</v>
      </c>
      <c r="N190" s="12" t="s">
        <v>322</v>
      </c>
      <c r="O190" s="12" t="s">
        <v>322</v>
      </c>
      <c r="P190" s="12" t="s">
        <v>322</v>
      </c>
      <c r="Q190" s="12" t="s">
        <v>322</v>
      </c>
      <c r="R190" s="12" t="s">
        <v>322</v>
      </c>
      <c r="S190" s="12" t="s">
        <v>322</v>
      </c>
      <c r="T190" s="12" t="s">
        <v>322</v>
      </c>
      <c r="U190" s="12" t="s">
        <v>322</v>
      </c>
      <c r="V190" s="12" t="s">
        <v>322</v>
      </c>
      <c r="W190" s="12" t="s">
        <v>322</v>
      </c>
      <c r="X190" s="12" t="s">
        <v>322</v>
      </c>
      <c r="Y190" s="12" t="s">
        <v>322</v>
      </c>
      <c r="Z190" s="12" t="s">
        <v>322</v>
      </c>
      <c r="AA190" s="12" t="s">
        <v>322</v>
      </c>
      <c r="AB190" s="12" t="s">
        <v>322</v>
      </c>
      <c r="AC190" s="12" t="s">
        <v>322</v>
      </c>
      <c r="AD190" s="12" t="s">
        <v>322</v>
      </c>
      <c r="AE190" s="12" t="s">
        <v>322</v>
      </c>
      <c r="AF190" s="12" t="s">
        <v>322</v>
      </c>
      <c r="AG190" s="12" t="s">
        <v>322</v>
      </c>
      <c r="AH190" s="12" t="s">
        <v>322</v>
      </c>
      <c r="AI190" s="12" t="s">
        <v>322</v>
      </c>
      <c r="AJ190" s="12" t="s">
        <v>322</v>
      </c>
      <c r="AK190" s="12" t="s">
        <v>322</v>
      </c>
      <c r="AL190" s="12" t="s">
        <v>322</v>
      </c>
      <c r="AM190" s="12" t="s">
        <v>322</v>
      </c>
      <c r="AN190" s="12" t="s">
        <v>322</v>
      </c>
      <c r="AO190" s="12" t="s">
        <v>322</v>
      </c>
      <c r="AP190" s="12" t="s">
        <v>322</v>
      </c>
      <c r="AQ190" s="12" t="s">
        <v>322</v>
      </c>
      <c r="AR190" s="12" t="s">
        <v>322</v>
      </c>
      <c r="AS190" s="12" t="s">
        <v>371</v>
      </c>
      <c r="AT190" s="12" t="s">
        <v>371</v>
      </c>
      <c r="AU190" s="12" t="s">
        <v>371</v>
      </c>
      <c r="AV190" s="12" t="s">
        <v>279</v>
      </c>
      <c r="AW190" s="12" t="s">
        <v>567</v>
      </c>
      <c r="AX190" s="12" t="s">
        <v>567</v>
      </c>
      <c r="AY190" s="12" t="s">
        <v>372</v>
      </c>
      <c r="AZ190" s="12" t="s">
        <v>372</v>
      </c>
      <c r="BA190" s="12" t="s">
        <v>374</v>
      </c>
      <c r="BB190" s="12" t="s">
        <v>374</v>
      </c>
      <c r="BC190" s="12" t="s">
        <v>568</v>
      </c>
      <c r="BD190" s="12" t="s">
        <v>467</v>
      </c>
      <c r="BE190" s="12" t="s">
        <v>331</v>
      </c>
      <c r="BF190" s="12" t="s">
        <v>879</v>
      </c>
      <c r="BG190" s="12" t="s">
        <v>381</v>
      </c>
      <c r="BH190" s="12" t="s">
        <v>1052</v>
      </c>
      <c r="BI190" s="12" t="s">
        <v>1213</v>
      </c>
      <c r="BJ190" s="12" t="s">
        <v>2058</v>
      </c>
      <c r="BK190" s="12" t="s">
        <v>1189</v>
      </c>
      <c r="BL190" s="12" t="s">
        <v>1123</v>
      </c>
      <c r="BM190" s="12" t="s">
        <v>300</v>
      </c>
      <c r="BN190" s="12" t="s">
        <v>666</v>
      </c>
      <c r="BO190" s="12" t="s">
        <v>734</v>
      </c>
      <c r="BP190" s="12" t="s">
        <v>1126</v>
      </c>
      <c r="BQ190" s="12" t="s">
        <v>310</v>
      </c>
      <c r="BR190" s="12" t="s">
        <v>702</v>
      </c>
      <c r="BS190" s="12" t="s">
        <v>1831</v>
      </c>
      <c r="BT190" s="12" t="s">
        <v>1899</v>
      </c>
      <c r="BU190" s="12" t="s">
        <v>3374</v>
      </c>
      <c r="BV190" s="12" t="s">
        <v>2747</v>
      </c>
      <c r="BW190" s="12" t="s">
        <v>3375</v>
      </c>
      <c r="BX190" s="12" t="s">
        <v>3376</v>
      </c>
      <c r="BY190" s="12" t="s">
        <v>1856</v>
      </c>
      <c r="BZ190" s="12" t="s">
        <v>3377</v>
      </c>
      <c r="CA190" s="12" t="s">
        <v>2910</v>
      </c>
      <c r="CB190" s="12" t="s">
        <v>3378</v>
      </c>
      <c r="CC190" s="12" t="s">
        <v>2950</v>
      </c>
      <c r="CD190" s="12" t="s">
        <v>3379</v>
      </c>
      <c r="CE190" s="12" t="s">
        <v>3380</v>
      </c>
      <c r="CF190" s="12" t="s">
        <v>3381</v>
      </c>
      <c r="CG190" s="12" t="s">
        <v>3382</v>
      </c>
      <c r="CH190" s="12" t="s">
        <v>3383</v>
      </c>
      <c r="CI190" s="12" t="s">
        <v>3384</v>
      </c>
      <c r="CJ190" s="12" t="s">
        <v>3385</v>
      </c>
      <c r="CK190" s="12" t="s">
        <v>3386</v>
      </c>
      <c r="CL190" s="12" t="s">
        <v>3387</v>
      </c>
      <c r="CM190" s="12" t="s">
        <v>3388</v>
      </c>
      <c r="CN190" s="12" t="s">
        <v>3389</v>
      </c>
      <c r="CO190" s="12" t="s">
        <v>3390</v>
      </c>
      <c r="CP190" s="12" t="s">
        <v>3391</v>
      </c>
      <c r="CQ190" s="12" t="s">
        <v>3392</v>
      </c>
      <c r="CR190" s="12" t="s">
        <v>3393</v>
      </c>
      <c r="CS190" s="12" t="s">
        <v>3394</v>
      </c>
      <c r="CT190" s="12" t="s">
        <v>3395</v>
      </c>
      <c r="CU190" s="12" t="s">
        <v>4286</v>
      </c>
      <c r="CV190" s="12" t="s">
        <v>4287</v>
      </c>
      <c r="CW190" s="12" t="s">
        <v>4288</v>
      </c>
      <c r="CX190" s="12" t="s">
        <v>4289</v>
      </c>
    </row>
    <row r="191" spans="1:102" hidden="1" x14ac:dyDescent="0.3">
      <c r="A191" s="12" t="s">
        <v>12</v>
      </c>
      <c r="B191" s="12" t="s">
        <v>3396</v>
      </c>
      <c r="C191" s="12" t="s">
        <v>3397</v>
      </c>
      <c r="D191" s="12" t="s">
        <v>3398</v>
      </c>
      <c r="E191" s="12" t="s">
        <v>277</v>
      </c>
      <c r="F191" s="12" t="s">
        <v>277</v>
      </c>
      <c r="G191" s="12" t="s">
        <v>277</v>
      </c>
      <c r="H191" s="12" t="s">
        <v>277</v>
      </c>
      <c r="I191" s="12" t="s">
        <v>277</v>
      </c>
      <c r="J191" s="12" t="s">
        <v>277</v>
      </c>
      <c r="K191" s="12" t="s">
        <v>277</v>
      </c>
      <c r="L191" s="12" t="s">
        <v>277</v>
      </c>
      <c r="M191" s="12" t="s">
        <v>277</v>
      </c>
      <c r="N191" s="12" t="s">
        <v>277</v>
      </c>
      <c r="O191" s="12" t="s">
        <v>277</v>
      </c>
      <c r="P191" s="12" t="s">
        <v>277</v>
      </c>
      <c r="Q191" s="12" t="s">
        <v>277</v>
      </c>
      <c r="R191" s="12" t="s">
        <v>277</v>
      </c>
      <c r="S191" s="12" t="s">
        <v>277</v>
      </c>
      <c r="T191" s="12" t="s">
        <v>277</v>
      </c>
      <c r="U191" s="12" t="s">
        <v>277</v>
      </c>
      <c r="V191" s="12" t="s">
        <v>277</v>
      </c>
      <c r="W191" s="12" t="s">
        <v>277</v>
      </c>
      <c r="X191" s="12" t="s">
        <v>277</v>
      </c>
      <c r="Y191" s="12" t="s">
        <v>277</v>
      </c>
      <c r="Z191" s="12" t="s">
        <v>277</v>
      </c>
      <c r="AA191" s="12" t="s">
        <v>277</v>
      </c>
      <c r="AB191" s="12" t="s">
        <v>277</v>
      </c>
      <c r="AC191" s="12" t="s">
        <v>277</v>
      </c>
      <c r="AD191" s="12" t="s">
        <v>277</v>
      </c>
      <c r="AE191" s="12" t="s">
        <v>277</v>
      </c>
      <c r="AF191" s="12" t="s">
        <v>277</v>
      </c>
      <c r="AG191" s="12" t="s">
        <v>277</v>
      </c>
      <c r="AH191" s="12" t="s">
        <v>277</v>
      </c>
      <c r="AI191" s="12" t="s">
        <v>277</v>
      </c>
      <c r="AJ191" s="12" t="s">
        <v>277</v>
      </c>
      <c r="AK191" s="12" t="s">
        <v>277</v>
      </c>
      <c r="AL191" s="12" t="s">
        <v>277</v>
      </c>
      <c r="AM191" s="12" t="s">
        <v>277</v>
      </c>
      <c r="AN191" s="12" t="s">
        <v>277</v>
      </c>
      <c r="AO191" s="12" t="s">
        <v>277</v>
      </c>
      <c r="AP191" s="12" t="s">
        <v>277</v>
      </c>
      <c r="AQ191" s="12" t="s">
        <v>277</v>
      </c>
      <c r="AR191" s="12" t="s">
        <v>277</v>
      </c>
      <c r="AS191" s="12" t="s">
        <v>277</v>
      </c>
      <c r="AT191" s="12" t="s">
        <v>277</v>
      </c>
      <c r="AU191" s="12" t="s">
        <v>277</v>
      </c>
      <c r="AV191" s="12" t="s">
        <v>277</v>
      </c>
      <c r="AW191" s="12" t="s">
        <v>277</v>
      </c>
      <c r="AX191" s="12" t="s">
        <v>277</v>
      </c>
      <c r="AY191" s="12" t="s">
        <v>277</v>
      </c>
      <c r="AZ191" s="12" t="s">
        <v>277</v>
      </c>
      <c r="BA191" s="12" t="s">
        <v>277</v>
      </c>
      <c r="BB191" s="12" t="s">
        <v>277</v>
      </c>
      <c r="BC191" s="12" t="s">
        <v>277</v>
      </c>
      <c r="BD191" s="12" t="s">
        <v>277</v>
      </c>
      <c r="BE191" s="12" t="s">
        <v>278</v>
      </c>
      <c r="BF191" s="12" t="s">
        <v>278</v>
      </c>
      <c r="BG191" s="12" t="s">
        <v>280</v>
      </c>
      <c r="BH191" s="12" t="s">
        <v>281</v>
      </c>
      <c r="BI191" s="12" t="s">
        <v>454</v>
      </c>
      <c r="BJ191" s="12" t="s">
        <v>454</v>
      </c>
      <c r="BK191" s="12" t="s">
        <v>372</v>
      </c>
      <c r="BL191" s="12" t="s">
        <v>372</v>
      </c>
      <c r="BM191" s="12" t="s">
        <v>373</v>
      </c>
      <c r="BN191" s="12" t="s">
        <v>670</v>
      </c>
      <c r="BO191" s="12" t="s">
        <v>287</v>
      </c>
      <c r="BP191" s="12" t="s">
        <v>745</v>
      </c>
      <c r="BQ191" s="12" t="s">
        <v>653</v>
      </c>
      <c r="BR191" s="12" t="s">
        <v>378</v>
      </c>
      <c r="BS191" s="12" t="s">
        <v>379</v>
      </c>
      <c r="BT191" s="12" t="s">
        <v>333</v>
      </c>
      <c r="BU191" s="12" t="s">
        <v>333</v>
      </c>
      <c r="BV191" s="12" t="s">
        <v>419</v>
      </c>
      <c r="BW191" s="12" t="s">
        <v>675</v>
      </c>
      <c r="BX191" s="12" t="s">
        <v>289</v>
      </c>
      <c r="BY191" s="12" t="s">
        <v>335</v>
      </c>
      <c r="BZ191" s="12" t="s">
        <v>562</v>
      </c>
      <c r="CA191" s="12" t="s">
        <v>336</v>
      </c>
      <c r="CB191" s="12" t="s">
        <v>563</v>
      </c>
      <c r="CC191" s="12" t="s">
        <v>563</v>
      </c>
      <c r="CD191" s="12" t="s">
        <v>291</v>
      </c>
      <c r="CE191" s="12" t="s">
        <v>291</v>
      </c>
      <c r="CF191" s="12" t="s">
        <v>1199</v>
      </c>
      <c r="CG191" s="12" t="s">
        <v>292</v>
      </c>
      <c r="CH191" s="12" t="s">
        <v>975</v>
      </c>
      <c r="CI191" s="12" t="s">
        <v>1053</v>
      </c>
      <c r="CJ191" s="12" t="s">
        <v>572</v>
      </c>
      <c r="CK191" s="12" t="s">
        <v>511</v>
      </c>
      <c r="CL191" s="12" t="s">
        <v>1057</v>
      </c>
      <c r="CM191" s="12" t="s">
        <v>1519</v>
      </c>
      <c r="CN191" s="12" t="s">
        <v>619</v>
      </c>
      <c r="CO191" s="12" t="s">
        <v>1213</v>
      </c>
      <c r="CP191" s="12" t="s">
        <v>1213</v>
      </c>
      <c r="CQ191" s="12" t="s">
        <v>1512</v>
      </c>
      <c r="CR191" s="12" t="s">
        <v>1798</v>
      </c>
      <c r="CS191" s="12" t="s">
        <v>1799</v>
      </c>
      <c r="CT191" s="12" t="s">
        <v>977</v>
      </c>
      <c r="CU191" s="12" t="s">
        <v>962</v>
      </c>
      <c r="CV191" s="12" t="s">
        <v>978</v>
      </c>
      <c r="CW191" s="12" t="s">
        <v>686</v>
      </c>
      <c r="CX191" s="12" t="s">
        <v>341</v>
      </c>
    </row>
    <row r="192" spans="1:102" hidden="1" x14ac:dyDescent="0.3">
      <c r="A192" s="12" t="s">
        <v>12</v>
      </c>
      <c r="B192" s="12" t="s">
        <v>3399</v>
      </c>
      <c r="C192" s="12" t="s">
        <v>3400</v>
      </c>
      <c r="D192" s="12" t="s">
        <v>3401</v>
      </c>
      <c r="E192" s="12" t="s">
        <v>277</v>
      </c>
      <c r="F192" s="12" t="s">
        <v>277</v>
      </c>
      <c r="G192" s="12" t="s">
        <v>277</v>
      </c>
      <c r="H192" s="12" t="s">
        <v>277</v>
      </c>
      <c r="I192" s="12" t="s">
        <v>277</v>
      </c>
      <c r="J192" s="12" t="s">
        <v>277</v>
      </c>
      <c r="K192" s="12" t="s">
        <v>277</v>
      </c>
      <c r="L192" s="12" t="s">
        <v>277</v>
      </c>
      <c r="M192" s="12" t="s">
        <v>277</v>
      </c>
      <c r="N192" s="12" t="s">
        <v>277</v>
      </c>
      <c r="O192" s="12" t="s">
        <v>277</v>
      </c>
      <c r="P192" s="12" t="s">
        <v>277</v>
      </c>
      <c r="Q192" s="12" t="s">
        <v>277</v>
      </c>
      <c r="R192" s="12" t="s">
        <v>277</v>
      </c>
      <c r="S192" s="12" t="s">
        <v>277</v>
      </c>
      <c r="T192" s="12" t="s">
        <v>277</v>
      </c>
      <c r="U192" s="12" t="s">
        <v>277</v>
      </c>
      <c r="V192" s="12" t="s">
        <v>277</v>
      </c>
      <c r="W192" s="12" t="s">
        <v>277</v>
      </c>
      <c r="X192" s="12" t="s">
        <v>277</v>
      </c>
      <c r="Y192" s="12" t="s">
        <v>277</v>
      </c>
      <c r="Z192" s="12" t="s">
        <v>277</v>
      </c>
      <c r="AA192" s="12" t="s">
        <v>277</v>
      </c>
      <c r="AB192" s="12" t="s">
        <v>277</v>
      </c>
      <c r="AC192" s="12" t="s">
        <v>277</v>
      </c>
      <c r="AD192" s="12" t="s">
        <v>277</v>
      </c>
      <c r="AE192" s="12" t="s">
        <v>277</v>
      </c>
      <c r="AF192" s="12" t="s">
        <v>277</v>
      </c>
      <c r="AG192" s="12" t="s">
        <v>277</v>
      </c>
      <c r="AH192" s="12" t="s">
        <v>277</v>
      </c>
      <c r="AI192" s="12" t="s">
        <v>277</v>
      </c>
      <c r="AJ192" s="12" t="s">
        <v>277</v>
      </c>
      <c r="AK192" s="12" t="s">
        <v>277</v>
      </c>
      <c r="AL192" s="12" t="s">
        <v>277</v>
      </c>
      <c r="AM192" s="12" t="s">
        <v>277</v>
      </c>
      <c r="AN192" s="12" t="s">
        <v>277</v>
      </c>
      <c r="AO192" s="12" t="s">
        <v>277</v>
      </c>
      <c r="AP192" s="12" t="s">
        <v>277</v>
      </c>
      <c r="AQ192" s="12" t="s">
        <v>277</v>
      </c>
      <c r="AR192" s="12" t="s">
        <v>277</v>
      </c>
      <c r="AS192" s="12" t="s">
        <v>277</v>
      </c>
      <c r="AT192" s="12" t="s">
        <v>277</v>
      </c>
      <c r="AU192" s="12" t="s">
        <v>277</v>
      </c>
      <c r="AV192" s="12" t="s">
        <v>277</v>
      </c>
      <c r="AW192" s="12" t="s">
        <v>277</v>
      </c>
      <c r="AX192" s="12" t="s">
        <v>277</v>
      </c>
      <c r="AY192" s="12" t="s">
        <v>277</v>
      </c>
      <c r="AZ192" s="12" t="s">
        <v>277</v>
      </c>
      <c r="BA192" s="12" t="s">
        <v>277</v>
      </c>
      <c r="BB192" s="12" t="s">
        <v>277</v>
      </c>
      <c r="BC192" s="12" t="s">
        <v>277</v>
      </c>
      <c r="BD192" s="12" t="s">
        <v>277</v>
      </c>
      <c r="BE192" s="12" t="s">
        <v>278</v>
      </c>
      <c r="BF192" s="12" t="s">
        <v>322</v>
      </c>
      <c r="BG192" s="12" t="s">
        <v>322</v>
      </c>
      <c r="BH192" s="12" t="s">
        <v>322</v>
      </c>
      <c r="BI192" s="12" t="s">
        <v>322</v>
      </c>
      <c r="BJ192" s="12" t="s">
        <v>322</v>
      </c>
      <c r="BK192" s="12" t="s">
        <v>322</v>
      </c>
      <c r="BL192" s="12" t="s">
        <v>322</v>
      </c>
      <c r="BM192" s="12" t="s">
        <v>322</v>
      </c>
      <c r="BN192" s="12" t="s">
        <v>371</v>
      </c>
      <c r="BO192" s="12" t="s">
        <v>371</v>
      </c>
      <c r="BP192" s="12" t="s">
        <v>371</v>
      </c>
      <c r="BQ192" s="12" t="s">
        <v>371</v>
      </c>
      <c r="BR192" s="12" t="s">
        <v>371</v>
      </c>
      <c r="BS192" s="12" t="s">
        <v>371</v>
      </c>
      <c r="BT192" s="12" t="s">
        <v>460</v>
      </c>
      <c r="BU192" s="12" t="s">
        <v>460</v>
      </c>
      <c r="BV192" s="12" t="s">
        <v>567</v>
      </c>
      <c r="BW192" s="12" t="s">
        <v>567</v>
      </c>
      <c r="BX192" s="12" t="s">
        <v>567</v>
      </c>
      <c r="BY192" s="12" t="s">
        <v>567</v>
      </c>
      <c r="BZ192" s="12" t="s">
        <v>455</v>
      </c>
      <c r="CA192" s="12" t="s">
        <v>455</v>
      </c>
      <c r="CB192" s="12" t="s">
        <v>455</v>
      </c>
      <c r="CC192" s="12" t="s">
        <v>455</v>
      </c>
      <c r="CD192" s="12" t="s">
        <v>455</v>
      </c>
      <c r="CE192" s="12" t="s">
        <v>455</v>
      </c>
      <c r="CF192" s="12" t="s">
        <v>461</v>
      </c>
      <c r="CG192" s="12" t="s">
        <v>461</v>
      </c>
      <c r="CH192" s="12" t="s">
        <v>461</v>
      </c>
      <c r="CI192" s="12" t="s">
        <v>461</v>
      </c>
      <c r="CJ192" s="12" t="s">
        <v>461</v>
      </c>
      <c r="CK192" s="12" t="s">
        <v>461</v>
      </c>
      <c r="CL192" s="12" t="s">
        <v>461</v>
      </c>
      <c r="CM192" s="12" t="s">
        <v>461</v>
      </c>
      <c r="CN192" s="12" t="s">
        <v>461</v>
      </c>
      <c r="CO192" s="12" t="s">
        <v>461</v>
      </c>
      <c r="CP192" s="12" t="s">
        <v>461</v>
      </c>
      <c r="CQ192" s="12" t="s">
        <v>461</v>
      </c>
      <c r="CR192" s="12" t="s">
        <v>461</v>
      </c>
      <c r="CS192" s="12" t="s">
        <v>461</v>
      </c>
      <c r="CT192" s="12" t="s">
        <v>461</v>
      </c>
      <c r="CU192" s="12" t="s">
        <v>461</v>
      </c>
      <c r="CV192" s="12" t="s">
        <v>461</v>
      </c>
      <c r="CW192" s="12" t="s">
        <v>461</v>
      </c>
      <c r="CX192" s="12" t="s">
        <v>461</v>
      </c>
    </row>
    <row r="193" spans="1:102" hidden="1" x14ac:dyDescent="0.3">
      <c r="A193" s="12" t="s">
        <v>12</v>
      </c>
      <c r="B193" s="12" t="s">
        <v>3402</v>
      </c>
      <c r="C193" s="12" t="s">
        <v>3403</v>
      </c>
      <c r="D193" s="12" t="s">
        <v>3404</v>
      </c>
      <c r="E193" s="12" t="s">
        <v>277</v>
      </c>
      <c r="F193" s="12" t="s">
        <v>277</v>
      </c>
      <c r="G193" s="12" t="s">
        <v>277</v>
      </c>
      <c r="H193" s="12" t="s">
        <v>277</v>
      </c>
      <c r="I193" s="12" t="s">
        <v>277</v>
      </c>
      <c r="J193" s="12" t="s">
        <v>277</v>
      </c>
      <c r="K193" s="12" t="s">
        <v>277</v>
      </c>
      <c r="L193" s="12" t="s">
        <v>277</v>
      </c>
      <c r="M193" s="12" t="s">
        <v>277</v>
      </c>
      <c r="N193" s="12" t="s">
        <v>277</v>
      </c>
      <c r="O193" s="12" t="s">
        <v>277</v>
      </c>
      <c r="P193" s="12" t="s">
        <v>277</v>
      </c>
      <c r="Q193" s="12" t="s">
        <v>277</v>
      </c>
      <c r="R193" s="12" t="s">
        <v>277</v>
      </c>
      <c r="S193" s="12" t="s">
        <v>277</v>
      </c>
      <c r="T193" s="12" t="s">
        <v>277</v>
      </c>
      <c r="U193" s="12" t="s">
        <v>277</v>
      </c>
      <c r="V193" s="12" t="s">
        <v>277</v>
      </c>
      <c r="W193" s="12" t="s">
        <v>277</v>
      </c>
      <c r="X193" s="12" t="s">
        <v>277</v>
      </c>
      <c r="Y193" s="12" t="s">
        <v>277</v>
      </c>
      <c r="Z193" s="12" t="s">
        <v>277</v>
      </c>
      <c r="AA193" s="12" t="s">
        <v>277</v>
      </c>
      <c r="AB193" s="12" t="s">
        <v>277</v>
      </c>
      <c r="AC193" s="12" t="s">
        <v>277</v>
      </c>
      <c r="AD193" s="12" t="s">
        <v>277</v>
      </c>
      <c r="AE193" s="12" t="s">
        <v>277</v>
      </c>
      <c r="AF193" s="12" t="s">
        <v>277</v>
      </c>
      <c r="AG193" s="12" t="s">
        <v>277</v>
      </c>
      <c r="AH193" s="12" t="s">
        <v>277</v>
      </c>
      <c r="AI193" s="12" t="s">
        <v>277</v>
      </c>
      <c r="AJ193" s="12" t="s">
        <v>277</v>
      </c>
      <c r="AK193" s="12" t="s">
        <v>277</v>
      </c>
      <c r="AL193" s="12" t="s">
        <v>277</v>
      </c>
      <c r="AM193" s="12" t="s">
        <v>277</v>
      </c>
      <c r="AN193" s="12" t="s">
        <v>277</v>
      </c>
      <c r="AO193" s="12" t="s">
        <v>277</v>
      </c>
      <c r="AP193" s="12" t="s">
        <v>277</v>
      </c>
      <c r="AQ193" s="12" t="s">
        <v>277</v>
      </c>
      <c r="AR193" s="12" t="s">
        <v>277</v>
      </c>
      <c r="AS193" s="12" t="s">
        <v>277</v>
      </c>
      <c r="AT193" s="12" t="s">
        <v>277</v>
      </c>
      <c r="AU193" s="12" t="s">
        <v>277</v>
      </c>
      <c r="AV193" s="12" t="s">
        <v>277</v>
      </c>
      <c r="AW193" s="12" t="s">
        <v>277</v>
      </c>
      <c r="AX193" s="12" t="s">
        <v>277</v>
      </c>
      <c r="AY193" s="12" t="s">
        <v>277</v>
      </c>
      <c r="AZ193" s="12" t="s">
        <v>277</v>
      </c>
      <c r="BA193" s="12" t="s">
        <v>277</v>
      </c>
      <c r="BB193" s="12" t="s">
        <v>277</v>
      </c>
      <c r="BC193" s="12" t="s">
        <v>277</v>
      </c>
      <c r="BD193" s="12" t="s">
        <v>277</v>
      </c>
      <c r="BE193" s="12" t="s">
        <v>278</v>
      </c>
      <c r="BF193" s="12" t="s">
        <v>278</v>
      </c>
      <c r="BG193" s="12" t="s">
        <v>278</v>
      </c>
      <c r="BH193" s="12" t="s">
        <v>278</v>
      </c>
      <c r="BI193" s="12" t="s">
        <v>278</v>
      </c>
      <c r="BJ193" s="12" t="s">
        <v>278</v>
      </c>
      <c r="BK193" s="12" t="s">
        <v>278</v>
      </c>
      <c r="BL193" s="12" t="s">
        <v>278</v>
      </c>
      <c r="BM193" s="12" t="s">
        <v>278</v>
      </c>
      <c r="BN193" s="12" t="s">
        <v>278</v>
      </c>
      <c r="BO193" s="12" t="s">
        <v>278</v>
      </c>
      <c r="BP193" s="12" t="s">
        <v>278</v>
      </c>
      <c r="BQ193" s="12" t="s">
        <v>278</v>
      </c>
      <c r="BR193" s="12" t="s">
        <v>278</v>
      </c>
      <c r="BS193" s="12" t="s">
        <v>278</v>
      </c>
      <c r="BT193" s="12" t="s">
        <v>278</v>
      </c>
      <c r="BU193" s="12" t="s">
        <v>278</v>
      </c>
      <c r="BV193" s="12" t="s">
        <v>278</v>
      </c>
      <c r="BW193" s="12" t="s">
        <v>278</v>
      </c>
      <c r="BX193" s="12" t="s">
        <v>322</v>
      </c>
      <c r="BY193" s="12" t="s">
        <v>371</v>
      </c>
      <c r="BZ193" s="12" t="s">
        <v>281</v>
      </c>
      <c r="CA193" s="12" t="s">
        <v>281</v>
      </c>
      <c r="CB193" s="12" t="s">
        <v>281</v>
      </c>
      <c r="CC193" s="12" t="s">
        <v>454</v>
      </c>
      <c r="CD193" s="12" t="s">
        <v>454</v>
      </c>
      <c r="CE193" s="12" t="s">
        <v>324</v>
      </c>
      <c r="CF193" s="12" t="s">
        <v>324</v>
      </c>
      <c r="CG193" s="12" t="s">
        <v>324</v>
      </c>
      <c r="CH193" s="12" t="s">
        <v>324</v>
      </c>
      <c r="CI193" s="12" t="s">
        <v>324</v>
      </c>
      <c r="CJ193" s="12" t="s">
        <v>324</v>
      </c>
      <c r="CK193" s="12" t="s">
        <v>324</v>
      </c>
      <c r="CL193" s="12" t="s">
        <v>324</v>
      </c>
      <c r="CM193" s="12" t="s">
        <v>324</v>
      </c>
      <c r="CN193" s="12" t="s">
        <v>324</v>
      </c>
      <c r="CO193" s="12" t="s">
        <v>324</v>
      </c>
      <c r="CP193" s="12" t="s">
        <v>324</v>
      </c>
      <c r="CQ193" s="12" t="s">
        <v>324</v>
      </c>
      <c r="CR193" s="12" t="s">
        <v>567</v>
      </c>
      <c r="CS193" s="12" t="s">
        <v>567</v>
      </c>
      <c r="CT193" s="12" t="s">
        <v>455</v>
      </c>
      <c r="CU193" s="12" t="s">
        <v>455</v>
      </c>
      <c r="CV193" s="12" t="s">
        <v>455</v>
      </c>
      <c r="CW193" s="12" t="s">
        <v>461</v>
      </c>
      <c r="CX193" s="12" t="s">
        <v>461</v>
      </c>
    </row>
    <row r="194" spans="1:102" hidden="1" x14ac:dyDescent="0.3">
      <c r="A194" s="12" t="s">
        <v>12</v>
      </c>
      <c r="B194" s="12" t="s">
        <v>3405</v>
      </c>
      <c r="C194" s="12" t="s">
        <v>3406</v>
      </c>
      <c r="D194" s="12" t="s">
        <v>3407</v>
      </c>
      <c r="E194" s="12" t="s">
        <v>277</v>
      </c>
      <c r="F194" s="12" t="s">
        <v>277</v>
      </c>
      <c r="G194" s="12" t="s">
        <v>277</v>
      </c>
      <c r="H194" s="12" t="s">
        <v>277</v>
      </c>
      <c r="I194" s="12" t="s">
        <v>277</v>
      </c>
      <c r="J194" s="12" t="s">
        <v>277</v>
      </c>
      <c r="K194" s="12" t="s">
        <v>277</v>
      </c>
      <c r="L194" s="12" t="s">
        <v>277</v>
      </c>
      <c r="M194" s="12" t="s">
        <v>277</v>
      </c>
      <c r="N194" s="12" t="s">
        <v>277</v>
      </c>
      <c r="O194" s="12" t="s">
        <v>277</v>
      </c>
      <c r="P194" s="12" t="s">
        <v>277</v>
      </c>
      <c r="Q194" s="12" t="s">
        <v>277</v>
      </c>
      <c r="R194" s="12" t="s">
        <v>277</v>
      </c>
      <c r="S194" s="12" t="s">
        <v>277</v>
      </c>
      <c r="T194" s="12" t="s">
        <v>277</v>
      </c>
      <c r="U194" s="12" t="s">
        <v>277</v>
      </c>
      <c r="V194" s="12" t="s">
        <v>277</v>
      </c>
      <c r="W194" s="12" t="s">
        <v>277</v>
      </c>
      <c r="X194" s="12" t="s">
        <v>277</v>
      </c>
      <c r="Y194" s="12" t="s">
        <v>277</v>
      </c>
      <c r="Z194" s="12" t="s">
        <v>277</v>
      </c>
      <c r="AA194" s="12" t="s">
        <v>277</v>
      </c>
      <c r="AB194" s="12" t="s">
        <v>277</v>
      </c>
      <c r="AC194" s="12" t="s">
        <v>277</v>
      </c>
      <c r="AD194" s="12" t="s">
        <v>277</v>
      </c>
      <c r="AE194" s="12" t="s">
        <v>277</v>
      </c>
      <c r="AF194" s="12" t="s">
        <v>277</v>
      </c>
      <c r="AG194" s="12" t="s">
        <v>277</v>
      </c>
      <c r="AH194" s="12" t="s">
        <v>277</v>
      </c>
      <c r="AI194" s="12" t="s">
        <v>277</v>
      </c>
      <c r="AJ194" s="12" t="s">
        <v>277</v>
      </c>
      <c r="AK194" s="12" t="s">
        <v>277</v>
      </c>
      <c r="AL194" s="12" t="s">
        <v>277</v>
      </c>
      <c r="AM194" s="12" t="s">
        <v>277</v>
      </c>
      <c r="AN194" s="12" t="s">
        <v>277</v>
      </c>
      <c r="AO194" s="12" t="s">
        <v>278</v>
      </c>
      <c r="AP194" s="12" t="s">
        <v>278</v>
      </c>
      <c r="AQ194" s="12" t="s">
        <v>278</v>
      </c>
      <c r="AR194" s="12" t="s">
        <v>278</v>
      </c>
      <c r="AS194" s="12" t="s">
        <v>454</v>
      </c>
      <c r="AT194" s="12" t="s">
        <v>323</v>
      </c>
      <c r="AU194" s="12" t="s">
        <v>283</v>
      </c>
      <c r="AV194" s="12" t="s">
        <v>284</v>
      </c>
      <c r="AW194" s="12" t="s">
        <v>284</v>
      </c>
      <c r="AX194" s="12" t="s">
        <v>325</v>
      </c>
      <c r="AY194" s="12" t="s">
        <v>670</v>
      </c>
      <c r="AZ194" s="12" t="s">
        <v>670</v>
      </c>
      <c r="BA194" s="12" t="s">
        <v>329</v>
      </c>
      <c r="BB194" s="12" t="s">
        <v>552</v>
      </c>
      <c r="BC194" s="12" t="s">
        <v>673</v>
      </c>
      <c r="BD194" s="12" t="s">
        <v>555</v>
      </c>
      <c r="BE194" s="12" t="s">
        <v>555</v>
      </c>
      <c r="BF194" s="12" t="s">
        <v>1430</v>
      </c>
      <c r="BG194" s="12" t="s">
        <v>907</v>
      </c>
      <c r="BH194" s="12" t="s">
        <v>907</v>
      </c>
      <c r="BI194" s="12" t="s">
        <v>1117</v>
      </c>
      <c r="BJ194" s="12" t="s">
        <v>1117</v>
      </c>
      <c r="BK194" s="12" t="s">
        <v>619</v>
      </c>
      <c r="BL194" s="12" t="s">
        <v>619</v>
      </c>
      <c r="BM194" s="12" t="s">
        <v>725</v>
      </c>
      <c r="BN194" s="12" t="s">
        <v>1061</v>
      </c>
      <c r="BO194" s="12" t="s">
        <v>1061</v>
      </c>
      <c r="BP194" s="12" t="s">
        <v>1585</v>
      </c>
      <c r="BQ194" s="12" t="s">
        <v>1585</v>
      </c>
      <c r="BR194" s="12" t="s">
        <v>342</v>
      </c>
      <c r="BS194" s="12" t="s">
        <v>425</v>
      </c>
      <c r="BT194" s="12" t="s">
        <v>425</v>
      </c>
      <c r="BU194" s="12" t="s">
        <v>384</v>
      </c>
      <c r="BV194" s="12" t="s">
        <v>1215</v>
      </c>
      <c r="BW194" s="12" t="s">
        <v>1215</v>
      </c>
      <c r="BX194" s="12" t="s">
        <v>1514</v>
      </c>
      <c r="BY194" s="12" t="s">
        <v>1514</v>
      </c>
      <c r="BZ194" s="12" t="s">
        <v>344</v>
      </c>
      <c r="CA194" s="12" t="s">
        <v>474</v>
      </c>
      <c r="CB194" s="12" t="s">
        <v>474</v>
      </c>
      <c r="CC194" s="12" t="s">
        <v>1435</v>
      </c>
      <c r="CD194" s="12" t="s">
        <v>1435</v>
      </c>
      <c r="CE194" s="12" t="s">
        <v>347</v>
      </c>
      <c r="CF194" s="12" t="s">
        <v>1757</v>
      </c>
      <c r="CG194" s="12" t="s">
        <v>1586</v>
      </c>
      <c r="CH194" s="12" t="s">
        <v>1586</v>
      </c>
      <c r="CI194" s="12" t="s">
        <v>1586</v>
      </c>
      <c r="CJ194" s="12" t="s">
        <v>1759</v>
      </c>
      <c r="CK194" s="12" t="s">
        <v>1011</v>
      </c>
      <c r="CL194" s="12" t="s">
        <v>1396</v>
      </c>
      <c r="CM194" s="12" t="s">
        <v>664</v>
      </c>
      <c r="CN194" s="12" t="s">
        <v>3408</v>
      </c>
      <c r="CO194" s="12" t="s">
        <v>2685</v>
      </c>
      <c r="CP194" s="12" t="s">
        <v>3225</v>
      </c>
      <c r="CQ194" s="12" t="s">
        <v>831</v>
      </c>
      <c r="CR194" s="12" t="s">
        <v>1545</v>
      </c>
      <c r="CS194" s="12" t="s">
        <v>435</v>
      </c>
      <c r="CT194" s="12" t="s">
        <v>3409</v>
      </c>
      <c r="CU194" s="12" t="s">
        <v>3409</v>
      </c>
      <c r="CV194" s="12" t="s">
        <v>1766</v>
      </c>
      <c r="CW194" s="12" t="s">
        <v>1766</v>
      </c>
      <c r="CX194" s="12" t="s">
        <v>1422</v>
      </c>
    </row>
    <row r="195" spans="1:102" hidden="1" x14ac:dyDescent="0.3">
      <c r="A195" s="12" t="s">
        <v>12</v>
      </c>
      <c r="B195" s="12" t="s">
        <v>3410</v>
      </c>
      <c r="C195" s="12" t="s">
        <v>3411</v>
      </c>
      <c r="D195" s="12" t="s">
        <v>3412</v>
      </c>
      <c r="E195" s="12" t="s">
        <v>277</v>
      </c>
      <c r="F195" s="12" t="s">
        <v>277</v>
      </c>
      <c r="G195" s="12" t="s">
        <v>277</v>
      </c>
      <c r="H195" s="12" t="s">
        <v>277</v>
      </c>
      <c r="I195" s="12" t="s">
        <v>277</v>
      </c>
      <c r="J195" s="12" t="s">
        <v>277</v>
      </c>
      <c r="K195" s="12" t="s">
        <v>277</v>
      </c>
      <c r="L195" s="12" t="s">
        <v>277</v>
      </c>
      <c r="M195" s="12" t="s">
        <v>277</v>
      </c>
      <c r="N195" s="12" t="s">
        <v>277</v>
      </c>
      <c r="O195" s="12" t="s">
        <v>277</v>
      </c>
      <c r="P195" s="12" t="s">
        <v>277</v>
      </c>
      <c r="Q195" s="12" t="s">
        <v>277</v>
      </c>
      <c r="R195" s="12" t="s">
        <v>277</v>
      </c>
      <c r="S195" s="12" t="s">
        <v>277</v>
      </c>
      <c r="T195" s="12" t="s">
        <v>277</v>
      </c>
      <c r="U195" s="12" t="s">
        <v>277</v>
      </c>
      <c r="V195" s="12" t="s">
        <v>277</v>
      </c>
      <c r="W195" s="12" t="s">
        <v>277</v>
      </c>
      <c r="X195" s="12" t="s">
        <v>277</v>
      </c>
      <c r="Y195" s="12" t="s">
        <v>277</v>
      </c>
      <c r="Z195" s="12" t="s">
        <v>277</v>
      </c>
      <c r="AA195" s="12" t="s">
        <v>277</v>
      </c>
      <c r="AB195" s="12" t="s">
        <v>277</v>
      </c>
      <c r="AC195" s="12" t="s">
        <v>277</v>
      </c>
      <c r="AD195" s="12" t="s">
        <v>277</v>
      </c>
      <c r="AE195" s="12" t="s">
        <v>277</v>
      </c>
      <c r="AF195" s="12" t="s">
        <v>277</v>
      </c>
      <c r="AG195" s="12" t="s">
        <v>277</v>
      </c>
      <c r="AH195" s="12" t="s">
        <v>277</v>
      </c>
      <c r="AI195" s="12" t="s">
        <v>277</v>
      </c>
      <c r="AJ195" s="12" t="s">
        <v>277</v>
      </c>
      <c r="AK195" s="12" t="s">
        <v>277</v>
      </c>
      <c r="AL195" s="12" t="s">
        <v>277</v>
      </c>
      <c r="AM195" s="12" t="s">
        <v>277</v>
      </c>
      <c r="AN195" s="12" t="s">
        <v>277</v>
      </c>
      <c r="AO195" s="12" t="s">
        <v>277</v>
      </c>
      <c r="AP195" s="12" t="s">
        <v>277</v>
      </c>
      <c r="AQ195" s="12" t="s">
        <v>277</v>
      </c>
      <c r="AR195" s="12" t="s">
        <v>277</v>
      </c>
      <c r="AS195" s="12" t="s">
        <v>278</v>
      </c>
      <c r="AT195" s="12" t="s">
        <v>278</v>
      </c>
      <c r="AU195" s="12" t="s">
        <v>278</v>
      </c>
      <c r="AV195" s="12" t="s">
        <v>280</v>
      </c>
      <c r="AW195" s="12" t="s">
        <v>280</v>
      </c>
      <c r="AX195" s="12" t="s">
        <v>280</v>
      </c>
      <c r="AY195" s="12" t="s">
        <v>282</v>
      </c>
      <c r="AZ195" s="12" t="s">
        <v>461</v>
      </c>
      <c r="BA195" s="12" t="s">
        <v>374</v>
      </c>
      <c r="BB195" s="12" t="s">
        <v>284</v>
      </c>
      <c r="BC195" s="12" t="s">
        <v>467</v>
      </c>
      <c r="BD195" s="12" t="s">
        <v>676</v>
      </c>
      <c r="BE195" s="12" t="s">
        <v>561</v>
      </c>
      <c r="BF195" s="12" t="s">
        <v>561</v>
      </c>
      <c r="BG195" s="12" t="s">
        <v>1199</v>
      </c>
      <c r="BH195" s="12" t="s">
        <v>573</v>
      </c>
      <c r="BI195" s="12" t="s">
        <v>573</v>
      </c>
      <c r="BJ195" s="12" t="s">
        <v>1385</v>
      </c>
      <c r="BK195" s="12" t="s">
        <v>1757</v>
      </c>
      <c r="BL195" s="12" t="s">
        <v>730</v>
      </c>
      <c r="BM195" s="12" t="s">
        <v>388</v>
      </c>
      <c r="BN195" s="12" t="s">
        <v>362</v>
      </c>
      <c r="BO195" s="12" t="s">
        <v>1742</v>
      </c>
      <c r="BP195" s="12" t="s">
        <v>633</v>
      </c>
      <c r="BQ195" s="12" t="s">
        <v>866</v>
      </c>
      <c r="BR195" s="12" t="s">
        <v>3413</v>
      </c>
      <c r="BS195" s="12" t="s">
        <v>1166</v>
      </c>
      <c r="BT195" s="12" t="s">
        <v>713</v>
      </c>
      <c r="BU195" s="12" t="s">
        <v>2854</v>
      </c>
      <c r="BV195" s="12" t="s">
        <v>3414</v>
      </c>
      <c r="BW195" s="12" t="s">
        <v>2412</v>
      </c>
      <c r="BX195" s="12" t="s">
        <v>3415</v>
      </c>
      <c r="BY195" s="12" t="s">
        <v>3416</v>
      </c>
      <c r="BZ195" s="12" t="s">
        <v>3417</v>
      </c>
      <c r="CA195" s="12" t="s">
        <v>3418</v>
      </c>
      <c r="CB195" s="12" t="s">
        <v>2164</v>
      </c>
      <c r="CC195" s="12" t="s">
        <v>3419</v>
      </c>
      <c r="CD195" s="12" t="s">
        <v>3420</v>
      </c>
      <c r="CE195" s="12" t="s">
        <v>3421</v>
      </c>
      <c r="CF195" s="12" t="s">
        <v>3422</v>
      </c>
      <c r="CG195" s="12" t="s">
        <v>3423</v>
      </c>
      <c r="CH195" s="12" t="s">
        <v>3424</v>
      </c>
      <c r="CI195" s="12" t="s">
        <v>3425</v>
      </c>
      <c r="CJ195" s="12" t="s">
        <v>3426</v>
      </c>
      <c r="CK195" s="12" t="s">
        <v>3427</v>
      </c>
      <c r="CL195" s="12" t="s">
        <v>3428</v>
      </c>
      <c r="CM195" s="12" t="s">
        <v>3429</v>
      </c>
      <c r="CN195" s="12" t="s">
        <v>3430</v>
      </c>
      <c r="CO195" s="12" t="s">
        <v>3431</v>
      </c>
      <c r="CP195" s="12" t="s">
        <v>3432</v>
      </c>
      <c r="CQ195" s="12" t="s">
        <v>3433</v>
      </c>
      <c r="CR195" s="12" t="s">
        <v>3434</v>
      </c>
      <c r="CS195" s="12" t="s">
        <v>3435</v>
      </c>
      <c r="CT195" s="12" t="s">
        <v>3436</v>
      </c>
      <c r="CU195" s="12" t="s">
        <v>4290</v>
      </c>
      <c r="CV195" s="12" t="s">
        <v>4291</v>
      </c>
      <c r="CW195" s="12" t="s">
        <v>4292</v>
      </c>
      <c r="CX195" s="12" t="s">
        <v>4293</v>
      </c>
    </row>
    <row r="196" spans="1:102" hidden="1" x14ac:dyDescent="0.3">
      <c r="A196" s="12" t="s">
        <v>12</v>
      </c>
      <c r="B196" s="12" t="s">
        <v>3437</v>
      </c>
      <c r="C196" s="12" t="s">
        <v>3438</v>
      </c>
      <c r="D196" s="12" t="s">
        <v>3439</v>
      </c>
      <c r="E196" s="12" t="s">
        <v>277</v>
      </c>
      <c r="F196" s="12" t="s">
        <v>277</v>
      </c>
      <c r="G196" s="12" t="s">
        <v>277</v>
      </c>
      <c r="H196" s="12" t="s">
        <v>277</v>
      </c>
      <c r="I196" s="12" t="s">
        <v>277</v>
      </c>
      <c r="J196" s="12" t="s">
        <v>277</v>
      </c>
      <c r="K196" s="12" t="s">
        <v>277</v>
      </c>
      <c r="L196" s="12" t="s">
        <v>277</v>
      </c>
      <c r="M196" s="12" t="s">
        <v>277</v>
      </c>
      <c r="N196" s="12" t="s">
        <v>277</v>
      </c>
      <c r="O196" s="12" t="s">
        <v>277</v>
      </c>
      <c r="P196" s="12" t="s">
        <v>277</v>
      </c>
      <c r="Q196" s="12" t="s">
        <v>277</v>
      </c>
      <c r="R196" s="12" t="s">
        <v>277</v>
      </c>
      <c r="S196" s="12" t="s">
        <v>277</v>
      </c>
      <c r="T196" s="12" t="s">
        <v>277</v>
      </c>
      <c r="U196" s="12" t="s">
        <v>277</v>
      </c>
      <c r="V196" s="12" t="s">
        <v>277</v>
      </c>
      <c r="W196" s="12" t="s">
        <v>277</v>
      </c>
      <c r="X196" s="12" t="s">
        <v>277</v>
      </c>
      <c r="Y196" s="12" t="s">
        <v>277</v>
      </c>
      <c r="Z196" s="12" t="s">
        <v>277</v>
      </c>
      <c r="AA196" s="12" t="s">
        <v>277</v>
      </c>
      <c r="AB196" s="12" t="s">
        <v>277</v>
      </c>
      <c r="AC196" s="12" t="s">
        <v>277</v>
      </c>
      <c r="AD196" s="12" t="s">
        <v>277</v>
      </c>
      <c r="AE196" s="12" t="s">
        <v>277</v>
      </c>
      <c r="AF196" s="12" t="s">
        <v>277</v>
      </c>
      <c r="AG196" s="12" t="s">
        <v>277</v>
      </c>
      <c r="AH196" s="12" t="s">
        <v>277</v>
      </c>
      <c r="AI196" s="12" t="s">
        <v>277</v>
      </c>
      <c r="AJ196" s="12" t="s">
        <v>277</v>
      </c>
      <c r="AK196" s="12" t="s">
        <v>277</v>
      </c>
      <c r="AL196" s="12" t="s">
        <v>277</v>
      </c>
      <c r="AM196" s="12" t="s">
        <v>277</v>
      </c>
      <c r="AN196" s="12" t="s">
        <v>277</v>
      </c>
      <c r="AO196" s="12" t="s">
        <v>277</v>
      </c>
      <c r="AP196" s="12" t="s">
        <v>277</v>
      </c>
      <c r="AQ196" s="12" t="s">
        <v>277</v>
      </c>
      <c r="AR196" s="12" t="s">
        <v>277</v>
      </c>
      <c r="AS196" s="12" t="s">
        <v>278</v>
      </c>
      <c r="AT196" s="12" t="s">
        <v>322</v>
      </c>
      <c r="AU196" s="12" t="s">
        <v>279</v>
      </c>
      <c r="AV196" s="12" t="s">
        <v>279</v>
      </c>
      <c r="AW196" s="12" t="s">
        <v>279</v>
      </c>
      <c r="AX196" s="12" t="s">
        <v>279</v>
      </c>
      <c r="AY196" s="12" t="s">
        <v>279</v>
      </c>
      <c r="AZ196" s="12" t="s">
        <v>279</v>
      </c>
      <c r="BA196" s="12" t="s">
        <v>279</v>
      </c>
      <c r="BB196" s="12" t="s">
        <v>279</v>
      </c>
      <c r="BC196" s="12" t="s">
        <v>279</v>
      </c>
      <c r="BD196" s="12" t="s">
        <v>323</v>
      </c>
      <c r="BE196" s="12" t="s">
        <v>323</v>
      </c>
      <c r="BF196" s="12" t="s">
        <v>286</v>
      </c>
      <c r="BG196" s="12" t="s">
        <v>286</v>
      </c>
      <c r="BH196" s="12" t="s">
        <v>375</v>
      </c>
      <c r="BI196" s="12" t="s">
        <v>465</v>
      </c>
      <c r="BJ196" s="12" t="s">
        <v>465</v>
      </c>
      <c r="BK196" s="12" t="s">
        <v>327</v>
      </c>
      <c r="BL196" s="12" t="s">
        <v>671</v>
      </c>
      <c r="BM196" s="12" t="s">
        <v>654</v>
      </c>
      <c r="BN196" s="12" t="s">
        <v>470</v>
      </c>
      <c r="BO196" s="12" t="s">
        <v>676</v>
      </c>
      <c r="BP196" s="12" t="s">
        <v>559</v>
      </c>
      <c r="BQ196" s="12" t="s">
        <v>563</v>
      </c>
      <c r="BR196" s="12" t="s">
        <v>1117</v>
      </c>
      <c r="BS196" s="12" t="s">
        <v>1732</v>
      </c>
      <c r="BT196" s="12" t="s">
        <v>1712</v>
      </c>
      <c r="BU196" s="12" t="s">
        <v>1009</v>
      </c>
      <c r="BV196" s="12" t="s">
        <v>725</v>
      </c>
      <c r="BW196" s="12" t="s">
        <v>1536</v>
      </c>
      <c r="BX196" s="12" t="s">
        <v>683</v>
      </c>
      <c r="BY196" s="12" t="s">
        <v>686</v>
      </c>
      <c r="BZ196" s="12" t="s">
        <v>1268</v>
      </c>
      <c r="CA196" s="12" t="s">
        <v>1091</v>
      </c>
      <c r="CB196" s="12" t="s">
        <v>1204</v>
      </c>
      <c r="CC196" s="12" t="s">
        <v>295</v>
      </c>
      <c r="CD196" s="12" t="s">
        <v>1207</v>
      </c>
      <c r="CE196" s="12" t="s">
        <v>1188</v>
      </c>
      <c r="CF196" s="12" t="s">
        <v>516</v>
      </c>
      <c r="CG196" s="12" t="s">
        <v>727</v>
      </c>
      <c r="CH196" s="12" t="s">
        <v>2819</v>
      </c>
      <c r="CI196" s="12" t="s">
        <v>1527</v>
      </c>
      <c r="CJ196" s="12" t="s">
        <v>298</v>
      </c>
      <c r="CK196" s="12" t="s">
        <v>909</v>
      </c>
      <c r="CL196" s="12" t="s">
        <v>1754</v>
      </c>
      <c r="CM196" s="12" t="s">
        <v>1217</v>
      </c>
      <c r="CN196" s="12" t="s">
        <v>1444</v>
      </c>
      <c r="CO196" s="12" t="s">
        <v>300</v>
      </c>
      <c r="CP196" s="12" t="s">
        <v>349</v>
      </c>
      <c r="CQ196" s="12" t="s">
        <v>2201</v>
      </c>
      <c r="CR196" s="12" t="s">
        <v>1397</v>
      </c>
      <c r="CS196" s="12" t="s">
        <v>1543</v>
      </c>
      <c r="CT196" s="12" t="s">
        <v>437</v>
      </c>
      <c r="CU196" s="12" t="s">
        <v>4294</v>
      </c>
      <c r="CV196" s="12" t="s">
        <v>3082</v>
      </c>
      <c r="CW196" s="12" t="s">
        <v>524</v>
      </c>
      <c r="CX196" s="12" t="s">
        <v>842</v>
      </c>
    </row>
    <row r="197" spans="1:102" hidden="1" x14ac:dyDescent="0.3">
      <c r="A197" s="12" t="s">
        <v>12</v>
      </c>
      <c r="B197" s="12" t="s">
        <v>3440</v>
      </c>
      <c r="C197" s="12" t="s">
        <v>3441</v>
      </c>
      <c r="D197" s="12" t="s">
        <v>3442</v>
      </c>
      <c r="E197" s="12" t="s">
        <v>277</v>
      </c>
      <c r="F197" s="12" t="s">
        <v>277</v>
      </c>
      <c r="G197" s="12" t="s">
        <v>277</v>
      </c>
      <c r="H197" s="12" t="s">
        <v>277</v>
      </c>
      <c r="I197" s="12" t="s">
        <v>277</v>
      </c>
      <c r="J197" s="12" t="s">
        <v>277</v>
      </c>
      <c r="K197" s="12" t="s">
        <v>277</v>
      </c>
      <c r="L197" s="12" t="s">
        <v>277</v>
      </c>
      <c r="M197" s="12" t="s">
        <v>277</v>
      </c>
      <c r="N197" s="12" t="s">
        <v>277</v>
      </c>
      <c r="O197" s="12" t="s">
        <v>277</v>
      </c>
      <c r="P197" s="12" t="s">
        <v>277</v>
      </c>
      <c r="Q197" s="12" t="s">
        <v>277</v>
      </c>
      <c r="R197" s="12" t="s">
        <v>277</v>
      </c>
      <c r="S197" s="12" t="s">
        <v>277</v>
      </c>
      <c r="T197" s="12" t="s">
        <v>277</v>
      </c>
      <c r="U197" s="12" t="s">
        <v>277</v>
      </c>
      <c r="V197" s="12" t="s">
        <v>277</v>
      </c>
      <c r="W197" s="12" t="s">
        <v>277</v>
      </c>
      <c r="X197" s="12" t="s">
        <v>277</v>
      </c>
      <c r="Y197" s="12" t="s">
        <v>277</v>
      </c>
      <c r="Z197" s="12" t="s">
        <v>277</v>
      </c>
      <c r="AA197" s="12" t="s">
        <v>277</v>
      </c>
      <c r="AB197" s="12" t="s">
        <v>277</v>
      </c>
      <c r="AC197" s="12" t="s">
        <v>277</v>
      </c>
      <c r="AD197" s="12" t="s">
        <v>277</v>
      </c>
      <c r="AE197" s="12" t="s">
        <v>277</v>
      </c>
      <c r="AF197" s="12" t="s">
        <v>277</v>
      </c>
      <c r="AG197" s="12" t="s">
        <v>277</v>
      </c>
      <c r="AH197" s="12" t="s">
        <v>277</v>
      </c>
      <c r="AI197" s="12" t="s">
        <v>277</v>
      </c>
      <c r="AJ197" s="12" t="s">
        <v>277</v>
      </c>
      <c r="AK197" s="12" t="s">
        <v>277</v>
      </c>
      <c r="AL197" s="12" t="s">
        <v>277</v>
      </c>
      <c r="AM197" s="12" t="s">
        <v>277</v>
      </c>
      <c r="AN197" s="12" t="s">
        <v>277</v>
      </c>
      <c r="AO197" s="12" t="s">
        <v>277</v>
      </c>
      <c r="AP197" s="12" t="s">
        <v>277</v>
      </c>
      <c r="AQ197" s="12" t="s">
        <v>277</v>
      </c>
      <c r="AR197" s="12" t="s">
        <v>277</v>
      </c>
      <c r="AS197" s="12" t="s">
        <v>277</v>
      </c>
      <c r="AT197" s="12" t="s">
        <v>277</v>
      </c>
      <c r="AU197" s="12" t="s">
        <v>277</v>
      </c>
      <c r="AV197" s="12" t="s">
        <v>277</v>
      </c>
      <c r="AW197" s="12" t="s">
        <v>278</v>
      </c>
      <c r="AX197" s="12" t="s">
        <v>278</v>
      </c>
      <c r="AY197" s="12" t="s">
        <v>278</v>
      </c>
      <c r="AZ197" s="12" t="s">
        <v>278</v>
      </c>
      <c r="BA197" s="12" t="s">
        <v>280</v>
      </c>
      <c r="BB197" s="12" t="s">
        <v>324</v>
      </c>
      <c r="BC197" s="12" t="s">
        <v>373</v>
      </c>
      <c r="BD197" s="12" t="s">
        <v>616</v>
      </c>
      <c r="BE197" s="12" t="s">
        <v>617</v>
      </c>
      <c r="BF197" s="12" t="s">
        <v>377</v>
      </c>
      <c r="BG197" s="12" t="s">
        <v>330</v>
      </c>
      <c r="BH197" s="12" t="s">
        <v>569</v>
      </c>
      <c r="BI197" s="12" t="s">
        <v>1051</v>
      </c>
      <c r="BJ197" s="12" t="s">
        <v>561</v>
      </c>
      <c r="BK197" s="12" t="s">
        <v>1055</v>
      </c>
      <c r="BL197" s="12" t="s">
        <v>573</v>
      </c>
      <c r="BM197" s="12" t="s">
        <v>1091</v>
      </c>
      <c r="BN197" s="12" t="s">
        <v>515</v>
      </c>
      <c r="BO197" s="12" t="s">
        <v>1439</v>
      </c>
      <c r="BP197" s="12" t="s">
        <v>1097</v>
      </c>
      <c r="BQ197" s="12" t="s">
        <v>1097</v>
      </c>
      <c r="BR197" s="12" t="s">
        <v>1068</v>
      </c>
      <c r="BS197" s="12" t="s">
        <v>443</v>
      </c>
      <c r="BT197" s="12" t="s">
        <v>3443</v>
      </c>
      <c r="BU197" s="12" t="s">
        <v>2554</v>
      </c>
      <c r="BV197" s="12" t="s">
        <v>633</v>
      </c>
      <c r="BW197" s="12" t="s">
        <v>3444</v>
      </c>
      <c r="BX197" s="12" t="s">
        <v>392</v>
      </c>
      <c r="BY197" s="12" t="s">
        <v>3445</v>
      </c>
      <c r="BZ197" s="12" t="s">
        <v>2886</v>
      </c>
      <c r="CA197" s="12" t="s">
        <v>1907</v>
      </c>
      <c r="CB197" s="12" t="s">
        <v>3446</v>
      </c>
      <c r="CC197" s="12" t="s">
        <v>3447</v>
      </c>
      <c r="CD197" s="12" t="s">
        <v>3448</v>
      </c>
      <c r="CE197" s="12" t="s">
        <v>3449</v>
      </c>
      <c r="CF197" s="12" t="s">
        <v>1851</v>
      </c>
      <c r="CG197" s="12" t="s">
        <v>3450</v>
      </c>
      <c r="CH197" s="12" t="s">
        <v>1241</v>
      </c>
      <c r="CI197" s="12" t="s">
        <v>3451</v>
      </c>
      <c r="CJ197" s="12" t="s">
        <v>3452</v>
      </c>
      <c r="CK197" s="12" t="s">
        <v>3453</v>
      </c>
      <c r="CL197" s="12" t="s">
        <v>3454</v>
      </c>
      <c r="CM197" s="12" t="s">
        <v>3455</v>
      </c>
      <c r="CN197" s="12" t="s">
        <v>3456</v>
      </c>
      <c r="CO197" s="12" t="s">
        <v>2009</v>
      </c>
      <c r="CP197" s="12" t="s">
        <v>3457</v>
      </c>
      <c r="CQ197" s="12" t="s">
        <v>3457</v>
      </c>
      <c r="CR197" s="12" t="s">
        <v>3457</v>
      </c>
      <c r="CS197" s="12" t="s">
        <v>3457</v>
      </c>
      <c r="CT197" s="12" t="s">
        <v>3457</v>
      </c>
      <c r="CU197" s="12" t="s">
        <v>3457</v>
      </c>
      <c r="CV197" s="12" t="s">
        <v>3457</v>
      </c>
      <c r="CW197" s="12" t="s">
        <v>3457</v>
      </c>
      <c r="CX197" s="12" t="s">
        <v>3457</v>
      </c>
    </row>
    <row r="198" spans="1:102" hidden="1" x14ac:dyDescent="0.3">
      <c r="A198" s="12" t="s">
        <v>12</v>
      </c>
      <c r="B198" s="12" t="s">
        <v>3458</v>
      </c>
      <c r="C198" s="12" t="s">
        <v>3459</v>
      </c>
      <c r="D198" s="12" t="s">
        <v>3460</v>
      </c>
      <c r="E198" s="12" t="s">
        <v>277</v>
      </c>
      <c r="F198" s="12" t="s">
        <v>277</v>
      </c>
      <c r="G198" s="12" t="s">
        <v>277</v>
      </c>
      <c r="H198" s="12" t="s">
        <v>277</v>
      </c>
      <c r="I198" s="12" t="s">
        <v>277</v>
      </c>
      <c r="J198" s="12" t="s">
        <v>277</v>
      </c>
      <c r="K198" s="12" t="s">
        <v>277</v>
      </c>
      <c r="L198" s="12" t="s">
        <v>277</v>
      </c>
      <c r="M198" s="12" t="s">
        <v>277</v>
      </c>
      <c r="N198" s="12" t="s">
        <v>277</v>
      </c>
      <c r="O198" s="12" t="s">
        <v>277</v>
      </c>
      <c r="P198" s="12" t="s">
        <v>277</v>
      </c>
      <c r="Q198" s="12" t="s">
        <v>277</v>
      </c>
      <c r="R198" s="12" t="s">
        <v>277</v>
      </c>
      <c r="S198" s="12" t="s">
        <v>277</v>
      </c>
      <c r="T198" s="12" t="s">
        <v>277</v>
      </c>
      <c r="U198" s="12" t="s">
        <v>277</v>
      </c>
      <c r="V198" s="12" t="s">
        <v>277</v>
      </c>
      <c r="W198" s="12" t="s">
        <v>277</v>
      </c>
      <c r="X198" s="12" t="s">
        <v>277</v>
      </c>
      <c r="Y198" s="12" t="s">
        <v>277</v>
      </c>
      <c r="Z198" s="12" t="s">
        <v>277</v>
      </c>
      <c r="AA198" s="12" t="s">
        <v>277</v>
      </c>
      <c r="AB198" s="12" t="s">
        <v>277</v>
      </c>
      <c r="AC198" s="12" t="s">
        <v>277</v>
      </c>
      <c r="AD198" s="12" t="s">
        <v>277</v>
      </c>
      <c r="AE198" s="12" t="s">
        <v>277</v>
      </c>
      <c r="AF198" s="12" t="s">
        <v>277</v>
      </c>
      <c r="AG198" s="12" t="s">
        <v>277</v>
      </c>
      <c r="AH198" s="12" t="s">
        <v>277</v>
      </c>
      <c r="AI198" s="12" t="s">
        <v>277</v>
      </c>
      <c r="AJ198" s="12" t="s">
        <v>277</v>
      </c>
      <c r="AK198" s="12" t="s">
        <v>277</v>
      </c>
      <c r="AL198" s="12" t="s">
        <v>277</v>
      </c>
      <c r="AM198" s="12" t="s">
        <v>277</v>
      </c>
      <c r="AN198" s="12" t="s">
        <v>277</v>
      </c>
      <c r="AO198" s="12" t="s">
        <v>277</v>
      </c>
      <c r="AP198" s="12" t="s">
        <v>277</v>
      </c>
      <c r="AQ198" s="12" t="s">
        <v>277</v>
      </c>
      <c r="AR198" s="12" t="s">
        <v>277</v>
      </c>
      <c r="AS198" s="12" t="s">
        <v>277</v>
      </c>
      <c r="AT198" s="12" t="s">
        <v>277</v>
      </c>
      <c r="AU198" s="12" t="s">
        <v>277</v>
      </c>
      <c r="AV198" s="12" t="s">
        <v>277</v>
      </c>
      <c r="AW198" s="12" t="s">
        <v>277</v>
      </c>
      <c r="AX198" s="12" t="s">
        <v>277</v>
      </c>
      <c r="AY198" s="12" t="s">
        <v>277</v>
      </c>
      <c r="AZ198" s="12" t="s">
        <v>277</v>
      </c>
      <c r="BA198" s="12" t="s">
        <v>277</v>
      </c>
      <c r="BB198" s="12" t="s">
        <v>277</v>
      </c>
      <c r="BC198" s="12" t="s">
        <v>277</v>
      </c>
      <c r="BD198" s="12" t="s">
        <v>277</v>
      </c>
      <c r="BE198" s="12" t="s">
        <v>322</v>
      </c>
      <c r="BF198" s="12" t="s">
        <v>322</v>
      </c>
      <c r="BG198" s="12" t="s">
        <v>371</v>
      </c>
      <c r="BH198" s="12" t="s">
        <v>279</v>
      </c>
      <c r="BI198" s="12" t="s">
        <v>279</v>
      </c>
      <c r="BJ198" s="12" t="s">
        <v>550</v>
      </c>
      <c r="BK198" s="12" t="s">
        <v>281</v>
      </c>
      <c r="BL198" s="12" t="s">
        <v>281</v>
      </c>
      <c r="BM198" s="12" t="s">
        <v>281</v>
      </c>
      <c r="BN198" s="12" t="s">
        <v>281</v>
      </c>
      <c r="BO198" s="12" t="s">
        <v>281</v>
      </c>
      <c r="BP198" s="12" t="s">
        <v>281</v>
      </c>
      <c r="BQ198" s="12" t="s">
        <v>281</v>
      </c>
      <c r="BR198" s="12" t="s">
        <v>281</v>
      </c>
      <c r="BS198" s="12" t="s">
        <v>454</v>
      </c>
      <c r="BT198" s="12" t="s">
        <v>454</v>
      </c>
      <c r="BU198" s="12" t="s">
        <v>454</v>
      </c>
      <c r="BV198" s="12" t="s">
        <v>323</v>
      </c>
      <c r="BW198" s="12" t="s">
        <v>323</v>
      </c>
      <c r="BX198" s="12" t="s">
        <v>323</v>
      </c>
      <c r="BY198" s="12" t="s">
        <v>323</v>
      </c>
      <c r="BZ198" s="12" t="s">
        <v>323</v>
      </c>
      <c r="CA198" s="12" t="s">
        <v>323</v>
      </c>
      <c r="CB198" s="12" t="s">
        <v>282</v>
      </c>
      <c r="CC198" s="12" t="s">
        <v>282</v>
      </c>
      <c r="CD198" s="12" t="s">
        <v>282</v>
      </c>
      <c r="CE198" s="12" t="s">
        <v>282</v>
      </c>
      <c r="CF198" s="12" t="s">
        <v>282</v>
      </c>
      <c r="CG198" s="12" t="s">
        <v>282</v>
      </c>
      <c r="CH198" s="12" t="s">
        <v>282</v>
      </c>
      <c r="CI198" s="12" t="s">
        <v>282</v>
      </c>
      <c r="CJ198" s="12" t="s">
        <v>282</v>
      </c>
      <c r="CK198" s="12" t="s">
        <v>282</v>
      </c>
      <c r="CL198" s="12" t="s">
        <v>282</v>
      </c>
      <c r="CM198" s="12" t="s">
        <v>282</v>
      </c>
      <c r="CN198" s="12" t="s">
        <v>282</v>
      </c>
      <c r="CO198" s="12" t="s">
        <v>282</v>
      </c>
      <c r="CP198" s="12" t="s">
        <v>282</v>
      </c>
      <c r="CQ198" s="12" t="s">
        <v>282</v>
      </c>
      <c r="CR198" s="12" t="s">
        <v>282</v>
      </c>
      <c r="CS198" s="12" t="s">
        <v>282</v>
      </c>
      <c r="CT198" s="12" t="s">
        <v>282</v>
      </c>
      <c r="CU198" s="12" t="s">
        <v>282</v>
      </c>
      <c r="CV198" s="12" t="s">
        <v>282</v>
      </c>
      <c r="CW198" s="12" t="s">
        <v>282</v>
      </c>
      <c r="CX198" s="12" t="s">
        <v>282</v>
      </c>
    </row>
    <row r="199" spans="1:102" hidden="1" x14ac:dyDescent="0.3">
      <c r="A199" s="12" t="s">
        <v>12</v>
      </c>
      <c r="B199" s="12" t="s">
        <v>3461</v>
      </c>
      <c r="C199" s="12" t="s">
        <v>3462</v>
      </c>
      <c r="D199" s="12" t="s">
        <v>3463</v>
      </c>
      <c r="E199" s="12" t="s">
        <v>277</v>
      </c>
      <c r="F199" s="12" t="s">
        <v>278</v>
      </c>
      <c r="G199" s="12" t="s">
        <v>371</v>
      </c>
      <c r="H199" s="12" t="s">
        <v>371</v>
      </c>
      <c r="I199" s="12" t="s">
        <v>279</v>
      </c>
      <c r="J199" s="12" t="s">
        <v>280</v>
      </c>
      <c r="K199" s="12" t="s">
        <v>281</v>
      </c>
      <c r="L199" s="12" t="s">
        <v>281</v>
      </c>
      <c r="M199" s="12" t="s">
        <v>323</v>
      </c>
      <c r="N199" s="12" t="s">
        <v>567</v>
      </c>
      <c r="O199" s="12" t="s">
        <v>283</v>
      </c>
      <c r="P199" s="12" t="s">
        <v>507</v>
      </c>
      <c r="Q199" s="12" t="s">
        <v>507</v>
      </c>
      <c r="R199" s="12" t="s">
        <v>286</v>
      </c>
      <c r="S199" s="12" t="s">
        <v>568</v>
      </c>
      <c r="T199" s="12" t="s">
        <v>568</v>
      </c>
      <c r="U199" s="12" t="s">
        <v>1716</v>
      </c>
      <c r="V199" s="12" t="s">
        <v>326</v>
      </c>
      <c r="W199" s="12" t="s">
        <v>287</v>
      </c>
      <c r="X199" s="12" t="s">
        <v>467</v>
      </c>
      <c r="Y199" s="12" t="s">
        <v>671</v>
      </c>
      <c r="Z199" s="12" t="s">
        <v>653</v>
      </c>
      <c r="AA199" s="12" t="s">
        <v>1112</v>
      </c>
      <c r="AB199" s="12" t="s">
        <v>654</v>
      </c>
      <c r="AC199" s="12" t="s">
        <v>674</v>
      </c>
      <c r="AD199" s="12" t="s">
        <v>419</v>
      </c>
      <c r="AE199" s="12" t="s">
        <v>554</v>
      </c>
      <c r="AF199" s="12" t="s">
        <v>883</v>
      </c>
      <c r="AG199" s="12" t="s">
        <v>289</v>
      </c>
      <c r="AH199" s="12" t="s">
        <v>289</v>
      </c>
      <c r="AI199" s="12" t="s">
        <v>823</v>
      </c>
      <c r="AJ199" s="12" t="s">
        <v>823</v>
      </c>
      <c r="AK199" s="12" t="s">
        <v>335</v>
      </c>
      <c r="AL199" s="12" t="s">
        <v>335</v>
      </c>
      <c r="AM199" s="12" t="s">
        <v>556</v>
      </c>
      <c r="AN199" s="12" t="s">
        <v>557</v>
      </c>
      <c r="AO199" s="12" t="s">
        <v>557</v>
      </c>
      <c r="AP199" s="12" t="s">
        <v>557</v>
      </c>
      <c r="AQ199" s="12" t="s">
        <v>562</v>
      </c>
      <c r="AR199" s="12" t="s">
        <v>1362</v>
      </c>
      <c r="AS199" s="12" t="s">
        <v>1197</v>
      </c>
      <c r="AT199" s="12" t="s">
        <v>291</v>
      </c>
      <c r="AU199" s="12" t="s">
        <v>291</v>
      </c>
      <c r="AV199" s="12" t="s">
        <v>1116</v>
      </c>
      <c r="AW199" s="12" t="s">
        <v>1732</v>
      </c>
      <c r="AX199" s="12" t="s">
        <v>1057</v>
      </c>
      <c r="AY199" s="12" t="s">
        <v>1512</v>
      </c>
      <c r="AZ199" s="12" t="s">
        <v>1512</v>
      </c>
      <c r="BA199" s="12" t="s">
        <v>512</v>
      </c>
      <c r="BB199" s="12" t="s">
        <v>1800</v>
      </c>
      <c r="BC199" s="12" t="s">
        <v>1800</v>
      </c>
      <c r="BD199" s="12" t="s">
        <v>684</v>
      </c>
      <c r="BE199" s="12" t="s">
        <v>341</v>
      </c>
      <c r="BF199" s="12" t="s">
        <v>1204</v>
      </c>
      <c r="BG199" s="12" t="s">
        <v>343</v>
      </c>
      <c r="BH199" s="12" t="s">
        <v>474</v>
      </c>
      <c r="BI199" s="12" t="s">
        <v>1306</v>
      </c>
      <c r="BJ199" s="12" t="s">
        <v>1096</v>
      </c>
      <c r="BK199" s="12" t="s">
        <v>3464</v>
      </c>
      <c r="BL199" s="12" t="s">
        <v>3465</v>
      </c>
      <c r="BM199" s="12" t="s">
        <v>3408</v>
      </c>
      <c r="BN199" s="12" t="s">
        <v>1124</v>
      </c>
      <c r="BO199" s="12" t="s">
        <v>1403</v>
      </c>
      <c r="BP199" s="12" t="s">
        <v>1685</v>
      </c>
      <c r="BQ199" s="12" t="s">
        <v>2553</v>
      </c>
      <c r="BR199" s="12" t="s">
        <v>2024</v>
      </c>
      <c r="BS199" s="12" t="s">
        <v>1591</v>
      </c>
      <c r="BT199" s="12" t="s">
        <v>1703</v>
      </c>
      <c r="BU199" s="12" t="s">
        <v>1664</v>
      </c>
      <c r="BV199" s="12" t="s">
        <v>800</v>
      </c>
      <c r="BW199" s="12" t="s">
        <v>1597</v>
      </c>
      <c r="BX199" s="12" t="s">
        <v>3466</v>
      </c>
      <c r="BY199" s="12" t="s">
        <v>3467</v>
      </c>
      <c r="BZ199" s="12" t="s">
        <v>1927</v>
      </c>
      <c r="CA199" s="12" t="s">
        <v>1000</v>
      </c>
      <c r="CB199" s="12" t="s">
        <v>3468</v>
      </c>
      <c r="CC199" s="12" t="s">
        <v>3469</v>
      </c>
      <c r="CD199" s="12" t="s">
        <v>3470</v>
      </c>
      <c r="CE199" s="12" t="s">
        <v>3471</v>
      </c>
      <c r="CF199" s="12" t="s">
        <v>3472</v>
      </c>
      <c r="CG199" s="12" t="s">
        <v>3473</v>
      </c>
      <c r="CH199" s="12" t="s">
        <v>3474</v>
      </c>
      <c r="CI199" s="12" t="s">
        <v>3475</v>
      </c>
      <c r="CJ199" s="12" t="s">
        <v>3476</v>
      </c>
      <c r="CK199" s="12" t="s">
        <v>3477</v>
      </c>
      <c r="CL199" s="12" t="s">
        <v>3478</v>
      </c>
      <c r="CM199" s="12" t="s">
        <v>3479</v>
      </c>
      <c r="CN199" s="12" t="s">
        <v>3480</v>
      </c>
      <c r="CO199" s="12" t="s">
        <v>3481</v>
      </c>
      <c r="CP199" s="12" t="s">
        <v>3482</v>
      </c>
      <c r="CQ199" s="12" t="s">
        <v>3483</v>
      </c>
      <c r="CR199" s="12" t="s">
        <v>3484</v>
      </c>
      <c r="CS199" s="12" t="s">
        <v>3485</v>
      </c>
      <c r="CT199" s="12" t="s">
        <v>3486</v>
      </c>
      <c r="CU199" s="12" t="s">
        <v>4295</v>
      </c>
      <c r="CV199" s="12" t="s">
        <v>4296</v>
      </c>
      <c r="CW199" s="12" t="s">
        <v>4297</v>
      </c>
      <c r="CX199" s="12" t="s">
        <v>4298</v>
      </c>
    </row>
    <row r="200" spans="1:102" hidden="1" x14ac:dyDescent="0.3">
      <c r="A200" s="12" t="s">
        <v>12</v>
      </c>
      <c r="B200" s="12" t="s">
        <v>3487</v>
      </c>
      <c r="C200" s="12" t="s">
        <v>3488</v>
      </c>
      <c r="D200" s="12" t="s">
        <v>3489</v>
      </c>
      <c r="E200" s="12" t="s">
        <v>277</v>
      </c>
      <c r="F200" s="12" t="s">
        <v>277</v>
      </c>
      <c r="G200" s="12" t="s">
        <v>277</v>
      </c>
      <c r="H200" s="12" t="s">
        <v>277</v>
      </c>
      <c r="I200" s="12" t="s">
        <v>277</v>
      </c>
      <c r="J200" s="12" t="s">
        <v>277</v>
      </c>
      <c r="K200" s="12" t="s">
        <v>277</v>
      </c>
      <c r="L200" s="12" t="s">
        <v>277</v>
      </c>
      <c r="M200" s="12" t="s">
        <v>277</v>
      </c>
      <c r="N200" s="12" t="s">
        <v>277</v>
      </c>
      <c r="O200" s="12" t="s">
        <v>277</v>
      </c>
      <c r="P200" s="12" t="s">
        <v>277</v>
      </c>
      <c r="Q200" s="12" t="s">
        <v>277</v>
      </c>
      <c r="R200" s="12" t="s">
        <v>277</v>
      </c>
      <c r="S200" s="12" t="s">
        <v>277</v>
      </c>
      <c r="T200" s="12" t="s">
        <v>277</v>
      </c>
      <c r="U200" s="12" t="s">
        <v>277</v>
      </c>
      <c r="V200" s="12" t="s">
        <v>277</v>
      </c>
      <c r="W200" s="12" t="s">
        <v>277</v>
      </c>
      <c r="X200" s="12" t="s">
        <v>277</v>
      </c>
      <c r="Y200" s="12" t="s">
        <v>277</v>
      </c>
      <c r="Z200" s="12" t="s">
        <v>277</v>
      </c>
      <c r="AA200" s="12" t="s">
        <v>277</v>
      </c>
      <c r="AB200" s="12" t="s">
        <v>277</v>
      </c>
      <c r="AC200" s="12" t="s">
        <v>277</v>
      </c>
      <c r="AD200" s="12" t="s">
        <v>277</v>
      </c>
      <c r="AE200" s="12" t="s">
        <v>277</v>
      </c>
      <c r="AF200" s="12" t="s">
        <v>277</v>
      </c>
      <c r="AG200" s="12" t="s">
        <v>277</v>
      </c>
      <c r="AH200" s="12" t="s">
        <v>277</v>
      </c>
      <c r="AI200" s="12" t="s">
        <v>277</v>
      </c>
      <c r="AJ200" s="12" t="s">
        <v>277</v>
      </c>
      <c r="AK200" s="12" t="s">
        <v>277</v>
      </c>
      <c r="AL200" s="12" t="s">
        <v>277</v>
      </c>
      <c r="AM200" s="12" t="s">
        <v>277</v>
      </c>
      <c r="AN200" s="12" t="s">
        <v>277</v>
      </c>
      <c r="AO200" s="12" t="s">
        <v>277</v>
      </c>
      <c r="AP200" s="12" t="s">
        <v>277</v>
      </c>
      <c r="AQ200" s="12" t="s">
        <v>277</v>
      </c>
      <c r="AR200" s="12" t="s">
        <v>277</v>
      </c>
      <c r="AS200" s="12" t="s">
        <v>277</v>
      </c>
      <c r="AT200" s="12" t="s">
        <v>277</v>
      </c>
      <c r="AU200" s="12" t="s">
        <v>277</v>
      </c>
      <c r="AV200" s="12" t="s">
        <v>277</v>
      </c>
      <c r="AW200" s="12" t="s">
        <v>278</v>
      </c>
      <c r="AX200" s="12" t="s">
        <v>278</v>
      </c>
      <c r="AY200" s="12" t="s">
        <v>371</v>
      </c>
      <c r="AZ200" s="12" t="s">
        <v>371</v>
      </c>
      <c r="BA200" s="12" t="s">
        <v>281</v>
      </c>
      <c r="BB200" s="12" t="s">
        <v>323</v>
      </c>
      <c r="BC200" s="12" t="s">
        <v>283</v>
      </c>
      <c r="BD200" s="12" t="s">
        <v>551</v>
      </c>
      <c r="BE200" s="12" t="s">
        <v>795</v>
      </c>
      <c r="BF200" s="12" t="s">
        <v>378</v>
      </c>
      <c r="BG200" s="12" t="s">
        <v>879</v>
      </c>
      <c r="BH200" s="12" t="s">
        <v>674</v>
      </c>
      <c r="BI200" s="12" t="s">
        <v>563</v>
      </c>
      <c r="BJ200" s="12" t="s">
        <v>337</v>
      </c>
      <c r="BK200" s="12" t="s">
        <v>1056</v>
      </c>
      <c r="BL200" s="12" t="s">
        <v>1800</v>
      </c>
      <c r="BM200" s="12" t="s">
        <v>1230</v>
      </c>
      <c r="BN200" s="12" t="s">
        <v>339</v>
      </c>
      <c r="BO200" s="12" t="s">
        <v>2213</v>
      </c>
      <c r="BP200" s="12" t="s">
        <v>2741</v>
      </c>
      <c r="BQ200" s="12" t="s">
        <v>1204</v>
      </c>
      <c r="BR200" s="12" t="s">
        <v>1919</v>
      </c>
      <c r="BS200" s="12" t="s">
        <v>1436</v>
      </c>
      <c r="BT200" s="12" t="s">
        <v>909</v>
      </c>
      <c r="BU200" s="12" t="s">
        <v>1755</v>
      </c>
      <c r="BV200" s="12" t="s">
        <v>1758</v>
      </c>
      <c r="BW200" s="12" t="s">
        <v>351</v>
      </c>
      <c r="BX200" s="12" t="s">
        <v>1396</v>
      </c>
      <c r="BY200" s="12" t="s">
        <v>2151</v>
      </c>
      <c r="BZ200" s="12" t="s">
        <v>3490</v>
      </c>
      <c r="CA200" s="12" t="s">
        <v>1069</v>
      </c>
      <c r="CB200" s="12" t="s">
        <v>1779</v>
      </c>
      <c r="CC200" s="12" t="s">
        <v>1105</v>
      </c>
      <c r="CD200" s="12" t="s">
        <v>1589</v>
      </c>
      <c r="CE200" s="12" t="s">
        <v>2686</v>
      </c>
      <c r="CF200" s="12" t="s">
        <v>1933</v>
      </c>
      <c r="CG200" s="12" t="s">
        <v>2539</v>
      </c>
      <c r="CH200" s="12" t="s">
        <v>3491</v>
      </c>
      <c r="CI200" s="12" t="s">
        <v>698</v>
      </c>
      <c r="CJ200" s="12" t="s">
        <v>631</v>
      </c>
      <c r="CK200" s="12" t="s">
        <v>3492</v>
      </c>
      <c r="CL200" s="12" t="s">
        <v>1985</v>
      </c>
      <c r="CM200" s="12" t="s">
        <v>3466</v>
      </c>
      <c r="CN200" s="12" t="s">
        <v>3493</v>
      </c>
      <c r="CO200" s="12" t="s">
        <v>1840</v>
      </c>
      <c r="CP200" s="12" t="s">
        <v>2061</v>
      </c>
      <c r="CQ200" s="12" t="s">
        <v>3494</v>
      </c>
      <c r="CR200" s="12" t="s">
        <v>3495</v>
      </c>
      <c r="CS200" s="12" t="s">
        <v>3325</v>
      </c>
      <c r="CT200" s="12" t="s">
        <v>1474</v>
      </c>
      <c r="CU200" s="12" t="s">
        <v>809</v>
      </c>
      <c r="CV200" s="12" t="s">
        <v>4299</v>
      </c>
      <c r="CW200" s="12" t="s">
        <v>4300</v>
      </c>
      <c r="CX200" s="12" t="s">
        <v>4301</v>
      </c>
    </row>
    <row r="201" spans="1:102" hidden="1" x14ac:dyDescent="0.3">
      <c r="A201" s="12" t="s">
        <v>12</v>
      </c>
      <c r="B201" s="12" t="s">
        <v>3496</v>
      </c>
      <c r="C201" s="12" t="s">
        <v>3497</v>
      </c>
      <c r="D201" s="12" t="s">
        <v>3498</v>
      </c>
      <c r="E201" s="12" t="s">
        <v>277</v>
      </c>
      <c r="F201" s="12" t="s">
        <v>277</v>
      </c>
      <c r="G201" s="12" t="s">
        <v>277</v>
      </c>
      <c r="H201" s="12" t="s">
        <v>277</v>
      </c>
      <c r="I201" s="12" t="s">
        <v>277</v>
      </c>
      <c r="J201" s="12" t="s">
        <v>277</v>
      </c>
      <c r="K201" s="12" t="s">
        <v>277</v>
      </c>
      <c r="L201" s="12" t="s">
        <v>277</v>
      </c>
      <c r="M201" s="12" t="s">
        <v>277</v>
      </c>
      <c r="N201" s="12" t="s">
        <v>277</v>
      </c>
      <c r="O201" s="12" t="s">
        <v>277</v>
      </c>
      <c r="P201" s="12" t="s">
        <v>277</v>
      </c>
      <c r="Q201" s="12" t="s">
        <v>277</v>
      </c>
      <c r="R201" s="12" t="s">
        <v>277</v>
      </c>
      <c r="S201" s="12" t="s">
        <v>277</v>
      </c>
      <c r="T201" s="12" t="s">
        <v>277</v>
      </c>
      <c r="U201" s="12" t="s">
        <v>277</v>
      </c>
      <c r="V201" s="12" t="s">
        <v>277</v>
      </c>
      <c r="W201" s="12" t="s">
        <v>277</v>
      </c>
      <c r="X201" s="12" t="s">
        <v>277</v>
      </c>
      <c r="Y201" s="12" t="s">
        <v>277</v>
      </c>
      <c r="Z201" s="12" t="s">
        <v>277</v>
      </c>
      <c r="AA201" s="12" t="s">
        <v>277</v>
      </c>
      <c r="AB201" s="12" t="s">
        <v>277</v>
      </c>
      <c r="AC201" s="12" t="s">
        <v>277</v>
      </c>
      <c r="AD201" s="12" t="s">
        <v>277</v>
      </c>
      <c r="AE201" s="12" t="s">
        <v>277</v>
      </c>
      <c r="AF201" s="12" t="s">
        <v>277</v>
      </c>
      <c r="AG201" s="12" t="s">
        <v>277</v>
      </c>
      <c r="AH201" s="12" t="s">
        <v>277</v>
      </c>
      <c r="AI201" s="12" t="s">
        <v>277</v>
      </c>
      <c r="AJ201" s="12" t="s">
        <v>277</v>
      </c>
      <c r="AK201" s="12" t="s">
        <v>277</v>
      </c>
      <c r="AL201" s="12" t="s">
        <v>277</v>
      </c>
      <c r="AM201" s="12" t="s">
        <v>277</v>
      </c>
      <c r="AN201" s="12" t="s">
        <v>277</v>
      </c>
      <c r="AO201" s="12" t="s">
        <v>277</v>
      </c>
      <c r="AP201" s="12" t="s">
        <v>277</v>
      </c>
      <c r="AQ201" s="12" t="s">
        <v>277</v>
      </c>
      <c r="AR201" s="12" t="s">
        <v>277</v>
      </c>
      <c r="AS201" s="12" t="s">
        <v>277</v>
      </c>
      <c r="AT201" s="12" t="s">
        <v>277</v>
      </c>
      <c r="AU201" s="12" t="s">
        <v>277</v>
      </c>
      <c r="AV201" s="12" t="s">
        <v>322</v>
      </c>
      <c r="AW201" s="12" t="s">
        <v>281</v>
      </c>
      <c r="AX201" s="12" t="s">
        <v>281</v>
      </c>
      <c r="AY201" s="12" t="s">
        <v>283</v>
      </c>
      <c r="AZ201" s="12" t="s">
        <v>283</v>
      </c>
      <c r="BA201" s="12" t="s">
        <v>465</v>
      </c>
      <c r="BB201" s="12" t="s">
        <v>691</v>
      </c>
      <c r="BC201" s="12" t="s">
        <v>335</v>
      </c>
      <c r="BD201" s="12" t="s">
        <v>1711</v>
      </c>
      <c r="BE201" s="12" t="s">
        <v>1267</v>
      </c>
      <c r="BF201" s="12" t="s">
        <v>1268</v>
      </c>
      <c r="BG201" s="12" t="s">
        <v>1189</v>
      </c>
      <c r="BH201" s="12" t="s">
        <v>964</v>
      </c>
      <c r="BI201" s="12" t="s">
        <v>964</v>
      </c>
      <c r="BJ201" s="12" t="s">
        <v>1699</v>
      </c>
      <c r="BK201" s="12" t="s">
        <v>1311</v>
      </c>
      <c r="BL201" s="12" t="s">
        <v>350</v>
      </c>
      <c r="BM201" s="12" t="s">
        <v>1098</v>
      </c>
      <c r="BN201" s="12" t="s">
        <v>1397</v>
      </c>
      <c r="BO201" s="12" t="s">
        <v>1366</v>
      </c>
      <c r="BP201" s="12" t="s">
        <v>1100</v>
      </c>
      <c r="BQ201" s="12" t="s">
        <v>362</v>
      </c>
      <c r="BR201" s="12" t="s">
        <v>1325</v>
      </c>
      <c r="BS201" s="12" t="s">
        <v>1548</v>
      </c>
      <c r="BT201" s="12" t="s">
        <v>1127</v>
      </c>
      <c r="BU201" s="12" t="s">
        <v>840</v>
      </c>
      <c r="BV201" s="12" t="s">
        <v>1591</v>
      </c>
      <c r="BW201" s="12" t="s">
        <v>1551</v>
      </c>
      <c r="BX201" s="12" t="s">
        <v>3499</v>
      </c>
      <c r="BY201" s="12" t="s">
        <v>635</v>
      </c>
      <c r="BZ201" s="12" t="s">
        <v>1985</v>
      </c>
      <c r="CA201" s="12" t="s">
        <v>3500</v>
      </c>
      <c r="CB201" s="12" t="s">
        <v>1013</v>
      </c>
      <c r="CC201" s="12" t="s">
        <v>3501</v>
      </c>
      <c r="CD201" s="12" t="s">
        <v>2729</v>
      </c>
      <c r="CE201" s="12" t="s">
        <v>3502</v>
      </c>
      <c r="CF201" s="12" t="s">
        <v>3064</v>
      </c>
      <c r="CG201" s="12" t="s">
        <v>3503</v>
      </c>
      <c r="CH201" s="12" t="s">
        <v>1815</v>
      </c>
      <c r="CI201" s="12" t="s">
        <v>708</v>
      </c>
      <c r="CJ201" s="12" t="s">
        <v>2402</v>
      </c>
      <c r="CK201" s="12" t="s">
        <v>539</v>
      </c>
      <c r="CL201" s="12" t="s">
        <v>711</v>
      </c>
      <c r="CM201" s="12" t="s">
        <v>2133</v>
      </c>
      <c r="CN201" s="12" t="s">
        <v>3175</v>
      </c>
      <c r="CO201" s="12" t="s">
        <v>3067</v>
      </c>
      <c r="CP201" s="12" t="s">
        <v>3504</v>
      </c>
      <c r="CQ201" s="12" t="s">
        <v>3505</v>
      </c>
      <c r="CR201" s="12" t="s">
        <v>1472</v>
      </c>
      <c r="CS201" s="12" t="s">
        <v>3068</v>
      </c>
      <c r="CT201" s="12" t="s">
        <v>809</v>
      </c>
      <c r="CU201" s="12" t="s">
        <v>3683</v>
      </c>
      <c r="CV201" s="12" t="s">
        <v>4302</v>
      </c>
      <c r="CW201" s="12" t="s">
        <v>2731</v>
      </c>
      <c r="CX201" s="12" t="s">
        <v>4303</v>
      </c>
    </row>
    <row r="202" spans="1:102" hidden="1" x14ac:dyDescent="0.3">
      <c r="A202" s="12" t="s">
        <v>12</v>
      </c>
      <c r="B202" s="12" t="s">
        <v>3506</v>
      </c>
      <c r="C202" s="12" t="s">
        <v>3507</v>
      </c>
      <c r="D202" s="12" t="s">
        <v>3508</v>
      </c>
      <c r="E202" s="12" t="s">
        <v>277</v>
      </c>
      <c r="F202" s="12" t="s">
        <v>277</v>
      </c>
      <c r="G202" s="12" t="s">
        <v>277</v>
      </c>
      <c r="H202" s="12" t="s">
        <v>277</v>
      </c>
      <c r="I202" s="12" t="s">
        <v>277</v>
      </c>
      <c r="J202" s="12" t="s">
        <v>277</v>
      </c>
      <c r="K202" s="12" t="s">
        <v>277</v>
      </c>
      <c r="L202" s="12" t="s">
        <v>277</v>
      </c>
      <c r="M202" s="12" t="s">
        <v>277</v>
      </c>
      <c r="N202" s="12" t="s">
        <v>277</v>
      </c>
      <c r="O202" s="12" t="s">
        <v>277</v>
      </c>
      <c r="P202" s="12" t="s">
        <v>277</v>
      </c>
      <c r="Q202" s="12" t="s">
        <v>277</v>
      </c>
      <c r="R202" s="12" t="s">
        <v>277</v>
      </c>
      <c r="S202" s="12" t="s">
        <v>277</v>
      </c>
      <c r="T202" s="12" t="s">
        <v>277</v>
      </c>
      <c r="U202" s="12" t="s">
        <v>277</v>
      </c>
      <c r="V202" s="12" t="s">
        <v>277</v>
      </c>
      <c r="W202" s="12" t="s">
        <v>277</v>
      </c>
      <c r="X202" s="12" t="s">
        <v>277</v>
      </c>
      <c r="Y202" s="12" t="s">
        <v>277</v>
      </c>
      <c r="Z202" s="12" t="s">
        <v>277</v>
      </c>
      <c r="AA202" s="12" t="s">
        <v>277</v>
      </c>
      <c r="AB202" s="12" t="s">
        <v>277</v>
      </c>
      <c r="AC202" s="12" t="s">
        <v>277</v>
      </c>
      <c r="AD202" s="12" t="s">
        <v>277</v>
      </c>
      <c r="AE202" s="12" t="s">
        <v>277</v>
      </c>
      <c r="AF202" s="12" t="s">
        <v>277</v>
      </c>
      <c r="AG202" s="12" t="s">
        <v>277</v>
      </c>
      <c r="AH202" s="12" t="s">
        <v>277</v>
      </c>
      <c r="AI202" s="12" t="s">
        <v>277</v>
      </c>
      <c r="AJ202" s="12" t="s">
        <v>277</v>
      </c>
      <c r="AK202" s="12" t="s">
        <v>277</v>
      </c>
      <c r="AL202" s="12" t="s">
        <v>277</v>
      </c>
      <c r="AM202" s="12" t="s">
        <v>277</v>
      </c>
      <c r="AN202" s="12" t="s">
        <v>277</v>
      </c>
      <c r="AO202" s="12" t="s">
        <v>277</v>
      </c>
      <c r="AP202" s="12" t="s">
        <v>277</v>
      </c>
      <c r="AQ202" s="12" t="s">
        <v>277</v>
      </c>
      <c r="AR202" s="12" t="s">
        <v>277</v>
      </c>
      <c r="AS202" s="12" t="s">
        <v>277</v>
      </c>
      <c r="AT202" s="12" t="s">
        <v>277</v>
      </c>
      <c r="AU202" s="12" t="s">
        <v>277</v>
      </c>
      <c r="AV202" s="12" t="s">
        <v>277</v>
      </c>
      <c r="AW202" s="12" t="s">
        <v>277</v>
      </c>
      <c r="AX202" s="12" t="s">
        <v>277</v>
      </c>
      <c r="AY202" s="12" t="s">
        <v>277</v>
      </c>
      <c r="AZ202" s="12" t="s">
        <v>277</v>
      </c>
      <c r="BA202" s="12" t="s">
        <v>277</v>
      </c>
      <c r="BB202" s="12" t="s">
        <v>277</v>
      </c>
      <c r="BC202" s="12" t="s">
        <v>277</v>
      </c>
      <c r="BD202" s="12" t="s">
        <v>277</v>
      </c>
      <c r="BE202" s="12" t="s">
        <v>277</v>
      </c>
      <c r="BF202" s="12" t="s">
        <v>277</v>
      </c>
      <c r="BG202" s="12" t="s">
        <v>278</v>
      </c>
      <c r="BH202" s="12" t="s">
        <v>278</v>
      </c>
      <c r="BI202" s="12" t="s">
        <v>278</v>
      </c>
      <c r="BJ202" s="12" t="s">
        <v>278</v>
      </c>
      <c r="BK202" s="12" t="s">
        <v>278</v>
      </c>
      <c r="BL202" s="12" t="s">
        <v>278</v>
      </c>
      <c r="BM202" s="12" t="s">
        <v>278</v>
      </c>
      <c r="BN202" s="12" t="s">
        <v>278</v>
      </c>
      <c r="BO202" s="12" t="s">
        <v>278</v>
      </c>
      <c r="BP202" s="12" t="s">
        <v>278</v>
      </c>
      <c r="BQ202" s="12" t="s">
        <v>322</v>
      </c>
      <c r="BR202" s="12" t="s">
        <v>371</v>
      </c>
      <c r="BS202" s="12" t="s">
        <v>371</v>
      </c>
      <c r="BT202" s="12" t="s">
        <v>371</v>
      </c>
      <c r="BU202" s="12" t="s">
        <v>371</v>
      </c>
      <c r="BV202" s="12" t="s">
        <v>280</v>
      </c>
      <c r="BW202" s="12" t="s">
        <v>280</v>
      </c>
      <c r="BX202" s="12" t="s">
        <v>280</v>
      </c>
      <c r="BY202" s="12" t="s">
        <v>281</v>
      </c>
      <c r="BZ202" s="12" t="s">
        <v>281</v>
      </c>
      <c r="CA202" s="12" t="s">
        <v>281</v>
      </c>
      <c r="CB202" s="12" t="s">
        <v>281</v>
      </c>
      <c r="CC202" s="12" t="s">
        <v>454</v>
      </c>
      <c r="CD202" s="12" t="s">
        <v>324</v>
      </c>
      <c r="CE202" s="12" t="s">
        <v>324</v>
      </c>
      <c r="CF202" s="12" t="s">
        <v>284</v>
      </c>
      <c r="CG202" s="12" t="s">
        <v>284</v>
      </c>
      <c r="CH202" s="12" t="s">
        <v>456</v>
      </c>
      <c r="CI202" s="12" t="s">
        <v>379</v>
      </c>
      <c r="CJ202" s="12" t="s">
        <v>379</v>
      </c>
      <c r="CK202" s="12" t="s">
        <v>555</v>
      </c>
      <c r="CL202" s="12" t="s">
        <v>555</v>
      </c>
      <c r="CM202" s="12" t="s">
        <v>1198</v>
      </c>
      <c r="CN202" s="12" t="s">
        <v>1055</v>
      </c>
      <c r="CO202" s="12" t="s">
        <v>423</v>
      </c>
      <c r="CP202" s="12" t="s">
        <v>295</v>
      </c>
      <c r="CQ202" s="12" t="s">
        <v>1699</v>
      </c>
      <c r="CR202" s="12" t="s">
        <v>1699</v>
      </c>
      <c r="CS202" s="12" t="s">
        <v>1441</v>
      </c>
      <c r="CT202" s="12" t="s">
        <v>1441</v>
      </c>
      <c r="CU202" s="12" t="s">
        <v>431</v>
      </c>
      <c r="CV202" s="12" t="s">
        <v>577</v>
      </c>
      <c r="CW202" s="12" t="s">
        <v>1366</v>
      </c>
      <c r="CX202" s="12" t="s">
        <v>1100</v>
      </c>
    </row>
    <row r="203" spans="1:102" hidden="1" x14ac:dyDescent="0.3">
      <c r="A203" s="12" t="s">
        <v>12</v>
      </c>
      <c r="B203" s="12" t="s">
        <v>3509</v>
      </c>
      <c r="C203" s="12" t="s">
        <v>3510</v>
      </c>
      <c r="D203" s="12" t="s">
        <v>3511</v>
      </c>
      <c r="E203" s="12" t="s">
        <v>277</v>
      </c>
      <c r="F203" s="12" t="s">
        <v>277</v>
      </c>
      <c r="G203" s="12" t="s">
        <v>277</v>
      </c>
      <c r="H203" s="12" t="s">
        <v>277</v>
      </c>
      <c r="I203" s="12" t="s">
        <v>277</v>
      </c>
      <c r="J203" s="12" t="s">
        <v>277</v>
      </c>
      <c r="K203" s="12" t="s">
        <v>277</v>
      </c>
      <c r="L203" s="12" t="s">
        <v>277</v>
      </c>
      <c r="M203" s="12" t="s">
        <v>277</v>
      </c>
      <c r="N203" s="12" t="s">
        <v>277</v>
      </c>
      <c r="O203" s="12" t="s">
        <v>277</v>
      </c>
      <c r="P203" s="12" t="s">
        <v>277</v>
      </c>
      <c r="Q203" s="12" t="s">
        <v>277</v>
      </c>
      <c r="R203" s="12" t="s">
        <v>277</v>
      </c>
      <c r="S203" s="12" t="s">
        <v>277</v>
      </c>
      <c r="T203" s="12" t="s">
        <v>277</v>
      </c>
      <c r="U203" s="12" t="s">
        <v>277</v>
      </c>
      <c r="V203" s="12" t="s">
        <v>277</v>
      </c>
      <c r="W203" s="12" t="s">
        <v>277</v>
      </c>
      <c r="X203" s="12" t="s">
        <v>277</v>
      </c>
      <c r="Y203" s="12" t="s">
        <v>277</v>
      </c>
      <c r="Z203" s="12" t="s">
        <v>277</v>
      </c>
      <c r="AA203" s="12" t="s">
        <v>277</v>
      </c>
      <c r="AB203" s="12" t="s">
        <v>277</v>
      </c>
      <c r="AC203" s="12" t="s">
        <v>277</v>
      </c>
      <c r="AD203" s="12" t="s">
        <v>277</v>
      </c>
      <c r="AE203" s="12" t="s">
        <v>277</v>
      </c>
      <c r="AF203" s="12" t="s">
        <v>277</v>
      </c>
      <c r="AG203" s="12" t="s">
        <v>277</v>
      </c>
      <c r="AH203" s="12" t="s">
        <v>277</v>
      </c>
      <c r="AI203" s="12" t="s">
        <v>277</v>
      </c>
      <c r="AJ203" s="12" t="s">
        <v>277</v>
      </c>
      <c r="AK203" s="12" t="s">
        <v>277</v>
      </c>
      <c r="AL203" s="12" t="s">
        <v>277</v>
      </c>
      <c r="AM203" s="12" t="s">
        <v>277</v>
      </c>
      <c r="AN203" s="12" t="s">
        <v>277</v>
      </c>
      <c r="AO203" s="12" t="s">
        <v>277</v>
      </c>
      <c r="AP203" s="12" t="s">
        <v>277</v>
      </c>
      <c r="AQ203" s="12" t="s">
        <v>277</v>
      </c>
      <c r="AR203" s="12" t="s">
        <v>277</v>
      </c>
      <c r="AS203" s="12" t="s">
        <v>277</v>
      </c>
      <c r="AT203" s="12" t="s">
        <v>277</v>
      </c>
      <c r="AU203" s="12" t="s">
        <v>277</v>
      </c>
      <c r="AV203" s="12" t="s">
        <v>278</v>
      </c>
      <c r="AW203" s="12" t="s">
        <v>278</v>
      </c>
      <c r="AX203" s="12" t="s">
        <v>278</v>
      </c>
      <c r="AY203" s="12" t="s">
        <v>371</v>
      </c>
      <c r="AZ203" s="12" t="s">
        <v>371</v>
      </c>
      <c r="BA203" s="12" t="s">
        <v>281</v>
      </c>
      <c r="BB203" s="12" t="s">
        <v>567</v>
      </c>
      <c r="BC203" s="12" t="s">
        <v>372</v>
      </c>
      <c r="BD203" s="12" t="s">
        <v>286</v>
      </c>
      <c r="BE203" s="12" t="s">
        <v>327</v>
      </c>
      <c r="BF203" s="12" t="s">
        <v>329</v>
      </c>
      <c r="BG203" s="12" t="s">
        <v>552</v>
      </c>
      <c r="BH203" s="12" t="s">
        <v>552</v>
      </c>
      <c r="BI203" s="12" t="s">
        <v>1198</v>
      </c>
      <c r="BJ203" s="12" t="s">
        <v>1512</v>
      </c>
      <c r="BK203" s="12" t="s">
        <v>1678</v>
      </c>
      <c r="BL203" s="12" t="s">
        <v>1698</v>
      </c>
      <c r="BM203" s="12" t="s">
        <v>1385</v>
      </c>
      <c r="BN203" s="12" t="s">
        <v>2093</v>
      </c>
      <c r="BO203" s="12" t="s">
        <v>1783</v>
      </c>
      <c r="BP203" s="12" t="s">
        <v>3512</v>
      </c>
      <c r="BQ203" s="12" t="s">
        <v>3513</v>
      </c>
      <c r="BR203" s="12" t="s">
        <v>3094</v>
      </c>
      <c r="BS203" s="12" t="s">
        <v>3514</v>
      </c>
      <c r="BT203" s="12" t="s">
        <v>3287</v>
      </c>
      <c r="BU203" s="12" t="s">
        <v>1988</v>
      </c>
      <c r="BV203" s="12" t="s">
        <v>1472</v>
      </c>
      <c r="BW203" s="12" t="s">
        <v>2033</v>
      </c>
      <c r="BX203" s="12" t="s">
        <v>3515</v>
      </c>
      <c r="BY203" s="12" t="s">
        <v>3516</v>
      </c>
      <c r="BZ203" s="12" t="s">
        <v>1508</v>
      </c>
      <c r="CA203" s="12" t="s">
        <v>3517</v>
      </c>
      <c r="CB203" s="12" t="s">
        <v>3518</v>
      </c>
      <c r="CC203" s="12" t="s">
        <v>3519</v>
      </c>
      <c r="CD203" s="12" t="s">
        <v>3520</v>
      </c>
      <c r="CE203" s="12" t="s">
        <v>2964</v>
      </c>
      <c r="CF203" s="12" t="s">
        <v>3521</v>
      </c>
      <c r="CG203" s="12" t="s">
        <v>3522</v>
      </c>
      <c r="CH203" s="12" t="s">
        <v>3523</v>
      </c>
      <c r="CI203" s="12" t="s">
        <v>3524</v>
      </c>
      <c r="CJ203" s="12" t="s">
        <v>2558</v>
      </c>
      <c r="CK203" s="12" t="s">
        <v>3525</v>
      </c>
      <c r="CL203" s="12" t="s">
        <v>2164</v>
      </c>
      <c r="CM203" s="12" t="s">
        <v>3526</v>
      </c>
      <c r="CN203" s="12" t="s">
        <v>2863</v>
      </c>
      <c r="CO203" s="12" t="s">
        <v>3527</v>
      </c>
      <c r="CP203" s="12" t="s">
        <v>3528</v>
      </c>
      <c r="CQ203" s="12" t="s">
        <v>2070</v>
      </c>
      <c r="CR203" s="12" t="s">
        <v>3529</v>
      </c>
      <c r="CS203" s="12" t="s">
        <v>3530</v>
      </c>
      <c r="CT203" s="12" t="s">
        <v>3531</v>
      </c>
      <c r="CU203" s="12" t="s">
        <v>4304</v>
      </c>
      <c r="CV203" s="12" t="s">
        <v>4305</v>
      </c>
      <c r="CW203" s="12" t="s">
        <v>4306</v>
      </c>
      <c r="CX203" s="12" t="s">
        <v>4307</v>
      </c>
    </row>
    <row r="204" spans="1:102" x14ac:dyDescent="0.3">
      <c r="A204" s="12" t="s">
        <v>12</v>
      </c>
      <c r="B204" s="12" t="s">
        <v>3532</v>
      </c>
      <c r="C204" s="12" t="s">
        <v>3533</v>
      </c>
      <c r="D204" s="12" t="s">
        <v>3534</v>
      </c>
      <c r="E204" s="12" t="s">
        <v>277</v>
      </c>
      <c r="F204" s="12" t="s">
        <v>277</v>
      </c>
      <c r="G204" s="12" t="s">
        <v>277</v>
      </c>
      <c r="H204" s="12" t="s">
        <v>277</v>
      </c>
      <c r="I204" s="12" t="s">
        <v>277</v>
      </c>
      <c r="J204" s="12" t="s">
        <v>277</v>
      </c>
      <c r="K204" s="12" t="s">
        <v>277</v>
      </c>
      <c r="L204" s="12" t="s">
        <v>277</v>
      </c>
      <c r="M204" s="12" t="s">
        <v>277</v>
      </c>
      <c r="N204" s="12" t="s">
        <v>277</v>
      </c>
      <c r="O204" s="12" t="s">
        <v>278</v>
      </c>
      <c r="P204" s="12" t="s">
        <v>278</v>
      </c>
      <c r="Q204" s="12" t="s">
        <v>278</v>
      </c>
      <c r="R204" s="12" t="s">
        <v>278</v>
      </c>
      <c r="S204" s="12" t="s">
        <v>278</v>
      </c>
      <c r="T204" s="12" t="s">
        <v>278</v>
      </c>
      <c r="U204" s="12" t="s">
        <v>278</v>
      </c>
      <c r="V204" s="12" t="s">
        <v>278</v>
      </c>
      <c r="W204" s="12" t="s">
        <v>322</v>
      </c>
      <c r="X204" s="12" t="s">
        <v>322</v>
      </c>
      <c r="Y204" s="12" t="s">
        <v>322</v>
      </c>
      <c r="Z204" s="12" t="s">
        <v>322</v>
      </c>
      <c r="AA204" s="12" t="s">
        <v>322</v>
      </c>
      <c r="AB204" s="12" t="s">
        <v>322</v>
      </c>
      <c r="AC204" s="12" t="s">
        <v>322</v>
      </c>
      <c r="AD204" s="12" t="s">
        <v>322</v>
      </c>
      <c r="AE204" s="12" t="s">
        <v>322</v>
      </c>
      <c r="AF204" s="12" t="s">
        <v>322</v>
      </c>
      <c r="AG204" s="12" t="s">
        <v>322</v>
      </c>
      <c r="AH204" s="12" t="s">
        <v>322</v>
      </c>
      <c r="AI204" s="12" t="s">
        <v>322</v>
      </c>
      <c r="AJ204" s="12" t="s">
        <v>322</v>
      </c>
      <c r="AK204" s="12" t="s">
        <v>322</v>
      </c>
      <c r="AL204" s="12" t="s">
        <v>322</v>
      </c>
      <c r="AM204" s="12" t="s">
        <v>550</v>
      </c>
      <c r="AN204" s="12" t="s">
        <v>567</v>
      </c>
      <c r="AO204" s="12" t="s">
        <v>461</v>
      </c>
      <c r="AP204" s="12" t="s">
        <v>551</v>
      </c>
      <c r="AQ204" s="12" t="s">
        <v>467</v>
      </c>
      <c r="AR204" s="12" t="s">
        <v>289</v>
      </c>
      <c r="AS204" s="12" t="s">
        <v>292</v>
      </c>
      <c r="AT204" s="12" t="s">
        <v>680</v>
      </c>
      <c r="AU204" s="12" t="s">
        <v>1091</v>
      </c>
      <c r="AV204" s="12" t="s">
        <v>344</v>
      </c>
      <c r="AW204" s="12" t="s">
        <v>351</v>
      </c>
      <c r="AX204" s="12" t="s">
        <v>3535</v>
      </c>
      <c r="AY204" s="12" t="s">
        <v>444</v>
      </c>
      <c r="AZ204" s="12" t="s">
        <v>1566</v>
      </c>
      <c r="BA204" s="12" t="s">
        <v>3536</v>
      </c>
      <c r="BB204" s="12" t="s">
        <v>493</v>
      </c>
      <c r="BC204" s="12" t="s">
        <v>493</v>
      </c>
      <c r="BD204" s="12" t="s">
        <v>3537</v>
      </c>
      <c r="BE204" s="12" t="s">
        <v>3538</v>
      </c>
      <c r="BF204" s="12" t="s">
        <v>3539</v>
      </c>
      <c r="BG204" s="12" t="s">
        <v>3540</v>
      </c>
      <c r="BH204" s="12" t="s">
        <v>3541</v>
      </c>
      <c r="BI204" s="12" t="s">
        <v>3542</v>
      </c>
      <c r="BJ204" s="12" t="s">
        <v>3543</v>
      </c>
      <c r="BK204" s="12" t="s">
        <v>3544</v>
      </c>
      <c r="BL204" s="12" t="s">
        <v>3545</v>
      </c>
      <c r="BM204" s="12" t="s">
        <v>3546</v>
      </c>
      <c r="BN204" s="12" t="s">
        <v>3547</v>
      </c>
      <c r="BO204" s="12" t="s">
        <v>3548</v>
      </c>
      <c r="BP204" s="12" t="s">
        <v>3549</v>
      </c>
      <c r="BQ204" s="12" t="s">
        <v>3550</v>
      </c>
      <c r="BR204" s="12" t="s">
        <v>3551</v>
      </c>
      <c r="BS204" s="12" t="s">
        <v>3552</v>
      </c>
      <c r="BT204" s="12" t="s">
        <v>3553</v>
      </c>
      <c r="BU204" s="12" t="s">
        <v>3554</v>
      </c>
      <c r="BV204" s="12" t="s">
        <v>3555</v>
      </c>
      <c r="BW204" s="12" t="s">
        <v>3556</v>
      </c>
      <c r="BX204" s="12" t="s">
        <v>3557</v>
      </c>
      <c r="BY204" s="12" t="s">
        <v>3558</v>
      </c>
      <c r="BZ204" s="12" t="s">
        <v>3559</v>
      </c>
      <c r="CA204" s="12" t="s">
        <v>3560</v>
      </c>
      <c r="CB204" s="12" t="s">
        <v>3561</v>
      </c>
      <c r="CC204" s="12" t="s">
        <v>3562</v>
      </c>
      <c r="CD204" s="12" t="s">
        <v>3563</v>
      </c>
      <c r="CE204" s="12" t="s">
        <v>3564</v>
      </c>
      <c r="CF204" s="12" t="s">
        <v>3565</v>
      </c>
      <c r="CG204" s="12" t="s">
        <v>3566</v>
      </c>
      <c r="CH204" s="12" t="s">
        <v>3567</v>
      </c>
      <c r="CI204" s="12" t="s">
        <v>3568</v>
      </c>
      <c r="CJ204" s="12" t="s">
        <v>3569</v>
      </c>
      <c r="CK204" s="12" t="s">
        <v>3570</v>
      </c>
      <c r="CL204" s="12" t="s">
        <v>3571</v>
      </c>
      <c r="CM204" s="12" t="s">
        <v>3572</v>
      </c>
      <c r="CN204" s="12" t="s">
        <v>3573</v>
      </c>
      <c r="CO204" s="12" t="s">
        <v>3574</v>
      </c>
      <c r="CP204" s="12" t="s">
        <v>3575</v>
      </c>
      <c r="CQ204" s="12" t="s">
        <v>3576</v>
      </c>
      <c r="CR204" s="12" t="s">
        <v>3577</v>
      </c>
      <c r="CS204" s="12" t="s">
        <v>3578</v>
      </c>
      <c r="CT204" s="12" t="s">
        <v>3579</v>
      </c>
      <c r="CU204" s="12" t="s">
        <v>4308</v>
      </c>
      <c r="CV204" s="12" t="s">
        <v>4309</v>
      </c>
      <c r="CW204" s="12" t="s">
        <v>4310</v>
      </c>
      <c r="CX204" s="12" t="s">
        <v>4311</v>
      </c>
    </row>
    <row r="205" spans="1:102" hidden="1" x14ac:dyDescent="0.3">
      <c r="A205" s="12" t="s">
        <v>12</v>
      </c>
      <c r="B205" s="12" t="s">
        <v>3580</v>
      </c>
      <c r="C205" s="12" t="s">
        <v>3581</v>
      </c>
      <c r="D205" s="12" t="s">
        <v>3582</v>
      </c>
      <c r="E205" s="12" t="s">
        <v>277</v>
      </c>
      <c r="F205" s="12" t="s">
        <v>277</v>
      </c>
      <c r="G205" s="12" t="s">
        <v>277</v>
      </c>
      <c r="H205" s="12" t="s">
        <v>277</v>
      </c>
      <c r="I205" s="12" t="s">
        <v>277</v>
      </c>
      <c r="J205" s="12" t="s">
        <v>278</v>
      </c>
      <c r="K205" s="12" t="s">
        <v>278</v>
      </c>
      <c r="L205" s="12" t="s">
        <v>278</v>
      </c>
      <c r="M205" s="12" t="s">
        <v>278</v>
      </c>
      <c r="N205" s="12" t="s">
        <v>278</v>
      </c>
      <c r="O205" s="12" t="s">
        <v>278</v>
      </c>
      <c r="P205" s="12" t="s">
        <v>278</v>
      </c>
      <c r="Q205" s="12" t="s">
        <v>278</v>
      </c>
      <c r="R205" s="12" t="s">
        <v>278</v>
      </c>
      <c r="S205" s="12" t="s">
        <v>278</v>
      </c>
      <c r="T205" s="12" t="s">
        <v>278</v>
      </c>
      <c r="U205" s="12" t="s">
        <v>278</v>
      </c>
      <c r="V205" s="12" t="s">
        <v>278</v>
      </c>
      <c r="W205" s="12" t="s">
        <v>278</v>
      </c>
      <c r="X205" s="12" t="s">
        <v>278</v>
      </c>
      <c r="Y205" s="12" t="s">
        <v>278</v>
      </c>
      <c r="Z205" s="12" t="s">
        <v>278</v>
      </c>
      <c r="AA205" s="12" t="s">
        <v>278</v>
      </c>
      <c r="AB205" s="12" t="s">
        <v>278</v>
      </c>
      <c r="AC205" s="12" t="s">
        <v>278</v>
      </c>
      <c r="AD205" s="12" t="s">
        <v>278</v>
      </c>
      <c r="AE205" s="12" t="s">
        <v>278</v>
      </c>
      <c r="AF205" s="12" t="s">
        <v>278</v>
      </c>
      <c r="AG205" s="12" t="s">
        <v>278</v>
      </c>
      <c r="AH205" s="12" t="s">
        <v>278</v>
      </c>
      <c r="AI205" s="12" t="s">
        <v>278</v>
      </c>
      <c r="AJ205" s="12" t="s">
        <v>278</v>
      </c>
      <c r="AK205" s="12" t="s">
        <v>278</v>
      </c>
      <c r="AL205" s="12" t="s">
        <v>278</v>
      </c>
      <c r="AM205" s="12" t="s">
        <v>278</v>
      </c>
      <c r="AN205" s="12" t="s">
        <v>278</v>
      </c>
      <c r="AO205" s="12" t="s">
        <v>278</v>
      </c>
      <c r="AP205" s="12" t="s">
        <v>278</v>
      </c>
      <c r="AQ205" s="12" t="s">
        <v>278</v>
      </c>
      <c r="AR205" s="12" t="s">
        <v>278</v>
      </c>
      <c r="AS205" s="12" t="s">
        <v>278</v>
      </c>
      <c r="AT205" s="12" t="s">
        <v>278</v>
      </c>
      <c r="AU205" s="12" t="s">
        <v>278</v>
      </c>
      <c r="AV205" s="12" t="s">
        <v>278</v>
      </c>
      <c r="AW205" s="12" t="s">
        <v>278</v>
      </c>
      <c r="AX205" s="12" t="s">
        <v>278</v>
      </c>
      <c r="AY205" s="12" t="s">
        <v>278</v>
      </c>
      <c r="AZ205" s="12" t="s">
        <v>278</v>
      </c>
      <c r="BA205" s="12" t="s">
        <v>278</v>
      </c>
      <c r="BB205" s="12" t="s">
        <v>322</v>
      </c>
      <c r="BC205" s="12" t="s">
        <v>322</v>
      </c>
      <c r="BD205" s="12" t="s">
        <v>550</v>
      </c>
      <c r="BE205" s="12" t="s">
        <v>323</v>
      </c>
      <c r="BF205" s="12" t="s">
        <v>507</v>
      </c>
      <c r="BG205" s="12" t="s">
        <v>568</v>
      </c>
      <c r="BH205" s="12" t="s">
        <v>795</v>
      </c>
      <c r="BI205" s="12" t="s">
        <v>329</v>
      </c>
      <c r="BJ205" s="12" t="s">
        <v>379</v>
      </c>
      <c r="BK205" s="12" t="s">
        <v>819</v>
      </c>
      <c r="BL205" s="12" t="s">
        <v>554</v>
      </c>
      <c r="BM205" s="12" t="s">
        <v>675</v>
      </c>
      <c r="BN205" s="12" t="s">
        <v>471</v>
      </c>
      <c r="BO205" s="12" t="s">
        <v>562</v>
      </c>
      <c r="BP205" s="12" t="s">
        <v>562</v>
      </c>
      <c r="BQ205" s="12" t="s">
        <v>1362</v>
      </c>
      <c r="BR205" s="12" t="s">
        <v>1362</v>
      </c>
      <c r="BS205" s="12" t="s">
        <v>421</v>
      </c>
      <c r="BT205" s="12" t="s">
        <v>1116</v>
      </c>
      <c r="BU205" s="12" t="s">
        <v>679</v>
      </c>
      <c r="BV205" s="12" t="s">
        <v>1519</v>
      </c>
      <c r="BW205" s="12" t="s">
        <v>338</v>
      </c>
      <c r="BX205" s="12" t="s">
        <v>1008</v>
      </c>
      <c r="BY205" s="12" t="s">
        <v>1431</v>
      </c>
      <c r="BZ205" s="12" t="s">
        <v>976</v>
      </c>
      <c r="CA205" s="12" t="s">
        <v>977</v>
      </c>
      <c r="CB205" s="12" t="s">
        <v>1800</v>
      </c>
      <c r="CC205" s="12" t="s">
        <v>1230</v>
      </c>
      <c r="CD205" s="12" t="s">
        <v>1674</v>
      </c>
      <c r="CE205" s="12" t="s">
        <v>1536</v>
      </c>
      <c r="CF205" s="12" t="s">
        <v>1536</v>
      </c>
      <c r="CG205" s="12" t="s">
        <v>3583</v>
      </c>
      <c r="CH205" s="12" t="s">
        <v>574</v>
      </c>
      <c r="CI205" s="12" t="s">
        <v>1187</v>
      </c>
      <c r="CJ205" s="12" t="s">
        <v>1122</v>
      </c>
      <c r="CK205" s="12" t="s">
        <v>1322</v>
      </c>
      <c r="CL205" s="12" t="s">
        <v>1322</v>
      </c>
      <c r="CM205" s="12" t="s">
        <v>1207</v>
      </c>
      <c r="CN205" s="12" t="s">
        <v>1190</v>
      </c>
      <c r="CO205" s="12" t="s">
        <v>1158</v>
      </c>
      <c r="CP205" s="12" t="s">
        <v>346</v>
      </c>
      <c r="CQ205" s="12" t="s">
        <v>1216</v>
      </c>
      <c r="CR205" s="12" t="s">
        <v>863</v>
      </c>
      <c r="CS205" s="12" t="s">
        <v>981</v>
      </c>
      <c r="CT205" s="12" t="s">
        <v>662</v>
      </c>
      <c r="CU205" s="12" t="s">
        <v>732</v>
      </c>
      <c r="CV205" s="12" t="s">
        <v>1735</v>
      </c>
      <c r="CW205" s="12" t="s">
        <v>1232</v>
      </c>
      <c r="CX205" s="12" t="s">
        <v>2831</v>
      </c>
    </row>
    <row r="206" spans="1:102" hidden="1" x14ac:dyDescent="0.3">
      <c r="A206" s="12" t="s">
        <v>12</v>
      </c>
      <c r="B206" s="12" t="s">
        <v>3584</v>
      </c>
      <c r="C206" s="12" t="s">
        <v>3585</v>
      </c>
      <c r="D206" s="12" t="s">
        <v>3586</v>
      </c>
      <c r="E206" s="12" t="s">
        <v>277</v>
      </c>
      <c r="F206" s="12" t="s">
        <v>277</v>
      </c>
      <c r="G206" s="12" t="s">
        <v>277</v>
      </c>
      <c r="H206" s="12" t="s">
        <v>277</v>
      </c>
      <c r="I206" s="12" t="s">
        <v>277</v>
      </c>
      <c r="J206" s="12" t="s">
        <v>277</v>
      </c>
      <c r="K206" s="12" t="s">
        <v>277</v>
      </c>
      <c r="L206" s="12" t="s">
        <v>277</v>
      </c>
      <c r="M206" s="12" t="s">
        <v>277</v>
      </c>
      <c r="N206" s="12" t="s">
        <v>277</v>
      </c>
      <c r="O206" s="12" t="s">
        <v>277</v>
      </c>
      <c r="P206" s="12" t="s">
        <v>277</v>
      </c>
      <c r="Q206" s="12" t="s">
        <v>277</v>
      </c>
      <c r="R206" s="12" t="s">
        <v>277</v>
      </c>
      <c r="S206" s="12" t="s">
        <v>277</v>
      </c>
      <c r="T206" s="12" t="s">
        <v>277</v>
      </c>
      <c r="U206" s="12" t="s">
        <v>277</v>
      </c>
      <c r="V206" s="12" t="s">
        <v>277</v>
      </c>
      <c r="W206" s="12" t="s">
        <v>277</v>
      </c>
      <c r="X206" s="12" t="s">
        <v>277</v>
      </c>
      <c r="Y206" s="12" t="s">
        <v>277</v>
      </c>
      <c r="Z206" s="12" t="s">
        <v>277</v>
      </c>
      <c r="AA206" s="12" t="s">
        <v>277</v>
      </c>
      <c r="AB206" s="12" t="s">
        <v>277</v>
      </c>
      <c r="AC206" s="12" t="s">
        <v>277</v>
      </c>
      <c r="AD206" s="12" t="s">
        <v>277</v>
      </c>
      <c r="AE206" s="12" t="s">
        <v>277</v>
      </c>
      <c r="AF206" s="12" t="s">
        <v>277</v>
      </c>
      <c r="AG206" s="12" t="s">
        <v>277</v>
      </c>
      <c r="AH206" s="12" t="s">
        <v>277</v>
      </c>
      <c r="AI206" s="12" t="s">
        <v>277</v>
      </c>
      <c r="AJ206" s="12" t="s">
        <v>277</v>
      </c>
      <c r="AK206" s="12" t="s">
        <v>277</v>
      </c>
      <c r="AL206" s="12" t="s">
        <v>277</v>
      </c>
      <c r="AM206" s="12" t="s">
        <v>277</v>
      </c>
      <c r="AN206" s="12" t="s">
        <v>277</v>
      </c>
      <c r="AO206" s="12" t="s">
        <v>277</v>
      </c>
      <c r="AP206" s="12" t="s">
        <v>277</v>
      </c>
      <c r="AQ206" s="12" t="s">
        <v>277</v>
      </c>
      <c r="AR206" s="12" t="s">
        <v>277</v>
      </c>
      <c r="AS206" s="12" t="s">
        <v>277</v>
      </c>
      <c r="AT206" s="12" t="s">
        <v>277</v>
      </c>
      <c r="AU206" s="12" t="s">
        <v>277</v>
      </c>
      <c r="AV206" s="12" t="s">
        <v>277</v>
      </c>
      <c r="AW206" s="12" t="s">
        <v>277</v>
      </c>
      <c r="AX206" s="12" t="s">
        <v>277</v>
      </c>
      <c r="AY206" s="12" t="s">
        <v>277</v>
      </c>
      <c r="AZ206" s="12" t="s">
        <v>277</v>
      </c>
      <c r="BA206" s="12" t="s">
        <v>277</v>
      </c>
      <c r="BB206" s="12" t="s">
        <v>277</v>
      </c>
      <c r="BC206" s="12" t="s">
        <v>277</v>
      </c>
      <c r="BD206" s="12" t="s">
        <v>278</v>
      </c>
      <c r="BE206" s="12" t="s">
        <v>278</v>
      </c>
      <c r="BF206" s="12" t="s">
        <v>278</v>
      </c>
      <c r="BG206" s="12" t="s">
        <v>278</v>
      </c>
      <c r="BH206" s="12" t="s">
        <v>278</v>
      </c>
      <c r="BI206" s="12" t="s">
        <v>322</v>
      </c>
      <c r="BJ206" s="12" t="s">
        <v>322</v>
      </c>
      <c r="BK206" s="12" t="s">
        <v>322</v>
      </c>
      <c r="BL206" s="12" t="s">
        <v>322</v>
      </c>
      <c r="BM206" s="12" t="s">
        <v>322</v>
      </c>
      <c r="BN206" s="12" t="s">
        <v>322</v>
      </c>
      <c r="BO206" s="12" t="s">
        <v>371</v>
      </c>
      <c r="BP206" s="12" t="s">
        <v>371</v>
      </c>
      <c r="BQ206" s="12" t="s">
        <v>371</v>
      </c>
      <c r="BR206" s="12" t="s">
        <v>371</v>
      </c>
      <c r="BS206" s="12" t="s">
        <v>280</v>
      </c>
      <c r="BT206" s="12" t="s">
        <v>550</v>
      </c>
      <c r="BU206" s="12" t="s">
        <v>550</v>
      </c>
      <c r="BV206" s="12" t="s">
        <v>281</v>
      </c>
      <c r="BW206" s="12" t="s">
        <v>281</v>
      </c>
      <c r="BX206" s="12" t="s">
        <v>454</v>
      </c>
      <c r="BY206" s="12" t="s">
        <v>323</v>
      </c>
      <c r="BZ206" s="12" t="s">
        <v>323</v>
      </c>
      <c r="CA206" s="12" t="s">
        <v>324</v>
      </c>
      <c r="CB206" s="12" t="s">
        <v>324</v>
      </c>
      <c r="CC206" s="12" t="s">
        <v>455</v>
      </c>
      <c r="CD206" s="12" t="s">
        <v>455</v>
      </c>
      <c r="CE206" s="12" t="s">
        <v>461</v>
      </c>
      <c r="CF206" s="12" t="s">
        <v>372</v>
      </c>
      <c r="CG206" s="12" t="s">
        <v>373</v>
      </c>
      <c r="CH206" s="12" t="s">
        <v>373</v>
      </c>
      <c r="CI206" s="12" t="s">
        <v>652</v>
      </c>
      <c r="CJ206" s="12" t="s">
        <v>551</v>
      </c>
      <c r="CK206" s="12" t="s">
        <v>551</v>
      </c>
      <c r="CL206" s="12" t="s">
        <v>551</v>
      </c>
      <c r="CM206" s="12" t="s">
        <v>326</v>
      </c>
      <c r="CN206" s="12" t="s">
        <v>672</v>
      </c>
      <c r="CO206" s="12" t="s">
        <v>672</v>
      </c>
      <c r="CP206" s="12" t="s">
        <v>959</v>
      </c>
      <c r="CQ206" s="12" t="s">
        <v>959</v>
      </c>
      <c r="CR206" s="12" t="s">
        <v>724</v>
      </c>
      <c r="CS206" s="12" t="s">
        <v>294</v>
      </c>
      <c r="CT206" s="12" t="s">
        <v>294</v>
      </c>
      <c r="CU206" s="12" t="s">
        <v>1726</v>
      </c>
      <c r="CV206" s="12" t="s">
        <v>295</v>
      </c>
      <c r="CW206" s="12" t="s">
        <v>964</v>
      </c>
      <c r="CX206" s="12" t="s">
        <v>1095</v>
      </c>
    </row>
    <row r="207" spans="1:102" hidden="1" x14ac:dyDescent="0.3">
      <c r="A207" s="12" t="s">
        <v>12</v>
      </c>
      <c r="B207" s="12" t="s">
        <v>3587</v>
      </c>
      <c r="C207" s="12" t="s">
        <v>3588</v>
      </c>
      <c r="D207" s="12" t="s">
        <v>3589</v>
      </c>
      <c r="E207" s="12" t="s">
        <v>277</v>
      </c>
      <c r="F207" s="12" t="s">
        <v>277</v>
      </c>
      <c r="G207" s="12" t="s">
        <v>277</v>
      </c>
      <c r="H207" s="12" t="s">
        <v>277</v>
      </c>
      <c r="I207" s="12" t="s">
        <v>277</v>
      </c>
      <c r="J207" s="12" t="s">
        <v>277</v>
      </c>
      <c r="K207" s="12" t="s">
        <v>277</v>
      </c>
      <c r="L207" s="12" t="s">
        <v>277</v>
      </c>
      <c r="M207" s="12" t="s">
        <v>277</v>
      </c>
      <c r="N207" s="12" t="s">
        <v>277</v>
      </c>
      <c r="O207" s="12" t="s">
        <v>277</v>
      </c>
      <c r="P207" s="12" t="s">
        <v>277</v>
      </c>
      <c r="Q207" s="12" t="s">
        <v>277</v>
      </c>
      <c r="R207" s="12" t="s">
        <v>277</v>
      </c>
      <c r="S207" s="12" t="s">
        <v>277</v>
      </c>
      <c r="T207" s="12" t="s">
        <v>277</v>
      </c>
      <c r="U207" s="12" t="s">
        <v>277</v>
      </c>
      <c r="V207" s="12" t="s">
        <v>277</v>
      </c>
      <c r="W207" s="12" t="s">
        <v>277</v>
      </c>
      <c r="X207" s="12" t="s">
        <v>277</v>
      </c>
      <c r="Y207" s="12" t="s">
        <v>277</v>
      </c>
      <c r="Z207" s="12" t="s">
        <v>277</v>
      </c>
      <c r="AA207" s="12" t="s">
        <v>277</v>
      </c>
      <c r="AB207" s="12" t="s">
        <v>277</v>
      </c>
      <c r="AC207" s="12" t="s">
        <v>277</v>
      </c>
      <c r="AD207" s="12" t="s">
        <v>277</v>
      </c>
      <c r="AE207" s="12" t="s">
        <v>277</v>
      </c>
      <c r="AF207" s="12" t="s">
        <v>277</v>
      </c>
      <c r="AG207" s="12" t="s">
        <v>277</v>
      </c>
      <c r="AH207" s="12" t="s">
        <v>277</v>
      </c>
      <c r="AI207" s="12" t="s">
        <v>277</v>
      </c>
      <c r="AJ207" s="12" t="s">
        <v>277</v>
      </c>
      <c r="AK207" s="12" t="s">
        <v>277</v>
      </c>
      <c r="AL207" s="12" t="s">
        <v>277</v>
      </c>
      <c r="AM207" s="12" t="s">
        <v>277</v>
      </c>
      <c r="AN207" s="12" t="s">
        <v>277</v>
      </c>
      <c r="AO207" s="12" t="s">
        <v>277</v>
      </c>
      <c r="AP207" s="12" t="s">
        <v>277</v>
      </c>
      <c r="AQ207" s="12" t="s">
        <v>277</v>
      </c>
      <c r="AR207" s="12" t="s">
        <v>277</v>
      </c>
      <c r="AS207" s="12" t="s">
        <v>277</v>
      </c>
      <c r="AT207" s="12" t="s">
        <v>277</v>
      </c>
      <c r="AU207" s="12" t="s">
        <v>277</v>
      </c>
      <c r="AV207" s="12" t="s">
        <v>277</v>
      </c>
      <c r="AW207" s="12" t="s">
        <v>277</v>
      </c>
      <c r="AX207" s="12" t="s">
        <v>277</v>
      </c>
      <c r="AY207" s="12" t="s">
        <v>277</v>
      </c>
      <c r="AZ207" s="12" t="s">
        <v>277</v>
      </c>
      <c r="BA207" s="12" t="s">
        <v>277</v>
      </c>
      <c r="BB207" s="12" t="s">
        <v>277</v>
      </c>
      <c r="BC207" s="12" t="s">
        <v>277</v>
      </c>
      <c r="BD207" s="12" t="s">
        <v>277</v>
      </c>
      <c r="BE207" s="12" t="s">
        <v>278</v>
      </c>
      <c r="BF207" s="12" t="s">
        <v>278</v>
      </c>
      <c r="BG207" s="12" t="s">
        <v>278</v>
      </c>
      <c r="BH207" s="12" t="s">
        <v>278</v>
      </c>
      <c r="BI207" s="12" t="s">
        <v>278</v>
      </c>
      <c r="BJ207" s="12" t="s">
        <v>278</v>
      </c>
      <c r="BK207" s="12" t="s">
        <v>279</v>
      </c>
      <c r="BL207" s="12" t="s">
        <v>279</v>
      </c>
      <c r="BM207" s="12" t="s">
        <v>280</v>
      </c>
      <c r="BN207" s="12" t="s">
        <v>280</v>
      </c>
      <c r="BO207" s="12" t="s">
        <v>281</v>
      </c>
      <c r="BP207" s="12" t="s">
        <v>454</v>
      </c>
      <c r="BQ207" s="12" t="s">
        <v>454</v>
      </c>
      <c r="BR207" s="12" t="s">
        <v>454</v>
      </c>
      <c r="BS207" s="12" t="s">
        <v>454</v>
      </c>
      <c r="BT207" s="12" t="s">
        <v>454</v>
      </c>
      <c r="BU207" s="12" t="s">
        <v>454</v>
      </c>
      <c r="BV207" s="12" t="s">
        <v>460</v>
      </c>
      <c r="BW207" s="12" t="s">
        <v>323</v>
      </c>
      <c r="BX207" s="12" t="s">
        <v>323</v>
      </c>
      <c r="BY207" s="12" t="s">
        <v>323</v>
      </c>
      <c r="BZ207" s="12" t="s">
        <v>323</v>
      </c>
      <c r="CA207" s="12" t="s">
        <v>323</v>
      </c>
      <c r="CB207" s="12" t="s">
        <v>323</v>
      </c>
      <c r="CC207" s="12" t="s">
        <v>323</v>
      </c>
      <c r="CD207" s="12" t="s">
        <v>323</v>
      </c>
      <c r="CE207" s="12" t="s">
        <v>323</v>
      </c>
      <c r="CF207" s="12" t="s">
        <v>323</v>
      </c>
      <c r="CG207" s="12" t="s">
        <v>323</v>
      </c>
      <c r="CH207" s="12" t="s">
        <v>323</v>
      </c>
      <c r="CI207" s="12" t="s">
        <v>323</v>
      </c>
      <c r="CJ207" s="12" t="s">
        <v>323</v>
      </c>
      <c r="CK207" s="12" t="s">
        <v>323</v>
      </c>
      <c r="CL207" s="12" t="s">
        <v>323</v>
      </c>
      <c r="CM207" s="12" t="s">
        <v>323</v>
      </c>
      <c r="CN207" s="12" t="s">
        <v>323</v>
      </c>
      <c r="CO207" s="12" t="s">
        <v>323</v>
      </c>
      <c r="CP207" s="12" t="s">
        <v>323</v>
      </c>
      <c r="CQ207" s="12" t="s">
        <v>323</v>
      </c>
      <c r="CR207" s="12" t="s">
        <v>323</v>
      </c>
      <c r="CS207" s="12" t="s">
        <v>323</v>
      </c>
      <c r="CT207" s="12" t="s">
        <v>323</v>
      </c>
      <c r="CU207" s="12" t="s">
        <v>323</v>
      </c>
      <c r="CV207" s="12" t="s">
        <v>323</v>
      </c>
      <c r="CW207" s="12" t="s">
        <v>323</v>
      </c>
      <c r="CX207" s="12" t="s">
        <v>323</v>
      </c>
    </row>
    <row r="208" spans="1:102" hidden="1" x14ac:dyDescent="0.3">
      <c r="A208" s="12" t="s">
        <v>12</v>
      </c>
      <c r="B208" s="12" t="s">
        <v>3590</v>
      </c>
      <c r="C208" s="12" t="s">
        <v>3591</v>
      </c>
      <c r="D208" s="12" t="s">
        <v>3592</v>
      </c>
      <c r="E208" s="12" t="s">
        <v>277</v>
      </c>
      <c r="F208" s="12" t="s">
        <v>277</v>
      </c>
      <c r="G208" s="12" t="s">
        <v>277</v>
      </c>
      <c r="H208" s="12" t="s">
        <v>277</v>
      </c>
      <c r="I208" s="12" t="s">
        <v>277</v>
      </c>
      <c r="J208" s="12" t="s">
        <v>277</v>
      </c>
      <c r="K208" s="12" t="s">
        <v>277</v>
      </c>
      <c r="L208" s="12" t="s">
        <v>277</v>
      </c>
      <c r="M208" s="12" t="s">
        <v>277</v>
      </c>
      <c r="N208" s="12" t="s">
        <v>278</v>
      </c>
      <c r="O208" s="12" t="s">
        <v>278</v>
      </c>
      <c r="P208" s="12" t="s">
        <v>278</v>
      </c>
      <c r="Q208" s="12" t="s">
        <v>278</v>
      </c>
      <c r="R208" s="12" t="s">
        <v>278</v>
      </c>
      <c r="S208" s="12" t="s">
        <v>278</v>
      </c>
      <c r="T208" s="12" t="s">
        <v>278</v>
      </c>
      <c r="U208" s="12" t="s">
        <v>278</v>
      </c>
      <c r="V208" s="12" t="s">
        <v>278</v>
      </c>
      <c r="W208" s="12" t="s">
        <v>278</v>
      </c>
      <c r="X208" s="12" t="s">
        <v>278</v>
      </c>
      <c r="Y208" s="12" t="s">
        <v>278</v>
      </c>
      <c r="Z208" s="12" t="s">
        <v>278</v>
      </c>
      <c r="AA208" s="12" t="s">
        <v>278</v>
      </c>
      <c r="AB208" s="12" t="s">
        <v>278</v>
      </c>
      <c r="AC208" s="12" t="s">
        <v>278</v>
      </c>
      <c r="AD208" s="12" t="s">
        <v>278</v>
      </c>
      <c r="AE208" s="12" t="s">
        <v>278</v>
      </c>
      <c r="AF208" s="12" t="s">
        <v>278</v>
      </c>
      <c r="AG208" s="12" t="s">
        <v>278</v>
      </c>
      <c r="AH208" s="12" t="s">
        <v>278</v>
      </c>
      <c r="AI208" s="12" t="s">
        <v>278</v>
      </c>
      <c r="AJ208" s="12" t="s">
        <v>278</v>
      </c>
      <c r="AK208" s="12" t="s">
        <v>278</v>
      </c>
      <c r="AL208" s="12" t="s">
        <v>278</v>
      </c>
      <c r="AM208" s="12" t="s">
        <v>278</v>
      </c>
      <c r="AN208" s="12" t="s">
        <v>322</v>
      </c>
      <c r="AO208" s="12" t="s">
        <v>281</v>
      </c>
      <c r="AP208" s="12" t="s">
        <v>281</v>
      </c>
      <c r="AQ208" s="12" t="s">
        <v>324</v>
      </c>
      <c r="AR208" s="12" t="s">
        <v>455</v>
      </c>
      <c r="AS208" s="12" t="s">
        <v>461</v>
      </c>
      <c r="AT208" s="12" t="s">
        <v>284</v>
      </c>
      <c r="AU208" s="12" t="s">
        <v>616</v>
      </c>
      <c r="AV208" s="12" t="s">
        <v>290</v>
      </c>
      <c r="AW208" s="12" t="s">
        <v>1430</v>
      </c>
      <c r="AX208" s="12" t="s">
        <v>1787</v>
      </c>
      <c r="AY208" s="12" t="s">
        <v>1186</v>
      </c>
      <c r="AZ208" s="12" t="s">
        <v>1728</v>
      </c>
      <c r="BA208" s="12" t="s">
        <v>694</v>
      </c>
      <c r="BB208" s="12" t="s">
        <v>3535</v>
      </c>
      <c r="BC208" s="12" t="s">
        <v>1804</v>
      </c>
      <c r="BD208" s="12" t="s">
        <v>1923</v>
      </c>
      <c r="BE208" s="12" t="s">
        <v>2128</v>
      </c>
      <c r="BF208" s="12" t="s">
        <v>3593</v>
      </c>
      <c r="BG208" s="12" t="s">
        <v>3594</v>
      </c>
      <c r="BH208" s="12" t="s">
        <v>2382</v>
      </c>
      <c r="BI208" s="12" t="s">
        <v>317</v>
      </c>
      <c r="BJ208" s="12" t="s">
        <v>3595</v>
      </c>
      <c r="BK208" s="12" t="s">
        <v>3596</v>
      </c>
      <c r="BL208" s="12" t="s">
        <v>2387</v>
      </c>
      <c r="BM208" s="12" t="s">
        <v>2964</v>
      </c>
      <c r="BN208" s="12" t="s">
        <v>1992</v>
      </c>
      <c r="BO208" s="12" t="s">
        <v>3597</v>
      </c>
      <c r="BP208" s="12" t="s">
        <v>3598</v>
      </c>
      <c r="BQ208" s="12" t="s">
        <v>1273</v>
      </c>
      <c r="BR208" s="12" t="s">
        <v>3599</v>
      </c>
      <c r="BS208" s="12" t="s">
        <v>2561</v>
      </c>
      <c r="BT208" s="12" t="s">
        <v>3600</v>
      </c>
      <c r="BU208" s="12" t="s">
        <v>3601</v>
      </c>
      <c r="BV208" s="12" t="s">
        <v>3602</v>
      </c>
      <c r="BW208" s="12" t="s">
        <v>3603</v>
      </c>
      <c r="BX208" s="12" t="s">
        <v>3604</v>
      </c>
      <c r="BY208" s="12" t="s">
        <v>3605</v>
      </c>
      <c r="BZ208" s="12" t="s">
        <v>3606</v>
      </c>
      <c r="CA208" s="12" t="s">
        <v>3607</v>
      </c>
      <c r="CB208" s="12" t="s">
        <v>3608</v>
      </c>
      <c r="CC208" s="12" t="s">
        <v>3609</v>
      </c>
      <c r="CD208" s="12" t="s">
        <v>3610</v>
      </c>
      <c r="CE208" s="12" t="s">
        <v>3611</v>
      </c>
      <c r="CF208" s="12" t="s">
        <v>3612</v>
      </c>
      <c r="CG208" s="12" t="s">
        <v>3613</v>
      </c>
      <c r="CH208" s="12" t="s">
        <v>3614</v>
      </c>
      <c r="CI208" s="12" t="s">
        <v>3615</v>
      </c>
      <c r="CJ208" s="12" t="s">
        <v>3616</v>
      </c>
      <c r="CK208" s="12" t="s">
        <v>3617</v>
      </c>
      <c r="CL208" s="12" t="s">
        <v>3618</v>
      </c>
      <c r="CM208" s="12" t="s">
        <v>3619</v>
      </c>
      <c r="CN208" s="12" t="s">
        <v>3620</v>
      </c>
      <c r="CO208" s="12" t="s">
        <v>3621</v>
      </c>
      <c r="CP208" s="12" t="s">
        <v>3622</v>
      </c>
      <c r="CQ208" s="12" t="s">
        <v>3623</v>
      </c>
      <c r="CR208" s="12" t="s">
        <v>3624</v>
      </c>
      <c r="CS208" s="12" t="s">
        <v>3625</v>
      </c>
      <c r="CT208" s="12" t="s">
        <v>3626</v>
      </c>
      <c r="CU208" s="12" t="s">
        <v>4312</v>
      </c>
      <c r="CV208" s="12" t="s">
        <v>4313</v>
      </c>
      <c r="CW208" s="12" t="s">
        <v>4314</v>
      </c>
      <c r="CX208" s="12" t="s">
        <v>4315</v>
      </c>
    </row>
    <row r="209" spans="1:102" hidden="1" x14ac:dyDescent="0.3">
      <c r="A209" s="12" t="s">
        <v>12</v>
      </c>
      <c r="B209" s="12" t="s">
        <v>3627</v>
      </c>
      <c r="C209" s="12" t="s">
        <v>3628</v>
      </c>
      <c r="D209" s="12" t="s">
        <v>3629</v>
      </c>
      <c r="E209" s="12" t="s">
        <v>277</v>
      </c>
      <c r="F209" s="12" t="s">
        <v>277</v>
      </c>
      <c r="G209" s="12" t="s">
        <v>277</v>
      </c>
      <c r="H209" s="12" t="s">
        <v>277</v>
      </c>
      <c r="I209" s="12" t="s">
        <v>277</v>
      </c>
      <c r="J209" s="12" t="s">
        <v>277</v>
      </c>
      <c r="K209" s="12" t="s">
        <v>277</v>
      </c>
      <c r="L209" s="12" t="s">
        <v>277</v>
      </c>
      <c r="M209" s="12" t="s">
        <v>277</v>
      </c>
      <c r="N209" s="12" t="s">
        <v>277</v>
      </c>
      <c r="O209" s="12" t="s">
        <v>277</v>
      </c>
      <c r="P209" s="12" t="s">
        <v>277</v>
      </c>
      <c r="Q209" s="12" t="s">
        <v>277</v>
      </c>
      <c r="R209" s="12" t="s">
        <v>277</v>
      </c>
      <c r="S209" s="12" t="s">
        <v>277</v>
      </c>
      <c r="T209" s="12" t="s">
        <v>277</v>
      </c>
      <c r="U209" s="12" t="s">
        <v>277</v>
      </c>
      <c r="V209" s="12" t="s">
        <v>277</v>
      </c>
      <c r="W209" s="12" t="s">
        <v>277</v>
      </c>
      <c r="X209" s="12" t="s">
        <v>277</v>
      </c>
      <c r="Y209" s="12" t="s">
        <v>277</v>
      </c>
      <c r="Z209" s="12" t="s">
        <v>277</v>
      </c>
      <c r="AA209" s="12" t="s">
        <v>277</v>
      </c>
      <c r="AB209" s="12" t="s">
        <v>277</v>
      </c>
      <c r="AC209" s="12" t="s">
        <v>277</v>
      </c>
      <c r="AD209" s="12" t="s">
        <v>277</v>
      </c>
      <c r="AE209" s="12" t="s">
        <v>277</v>
      </c>
      <c r="AF209" s="12" t="s">
        <v>277</v>
      </c>
      <c r="AG209" s="12" t="s">
        <v>277</v>
      </c>
      <c r="AH209" s="12" t="s">
        <v>277</v>
      </c>
      <c r="AI209" s="12" t="s">
        <v>277</v>
      </c>
      <c r="AJ209" s="12" t="s">
        <v>277</v>
      </c>
      <c r="AK209" s="12" t="s">
        <v>277</v>
      </c>
      <c r="AL209" s="12" t="s">
        <v>277</v>
      </c>
      <c r="AM209" s="12" t="s">
        <v>278</v>
      </c>
      <c r="AN209" s="12" t="s">
        <v>278</v>
      </c>
      <c r="AO209" s="12" t="s">
        <v>454</v>
      </c>
      <c r="AP209" s="12" t="s">
        <v>454</v>
      </c>
      <c r="AQ209" s="12" t="s">
        <v>507</v>
      </c>
      <c r="AR209" s="12" t="s">
        <v>612</v>
      </c>
      <c r="AS209" s="12" t="s">
        <v>328</v>
      </c>
      <c r="AT209" s="12" t="s">
        <v>468</v>
      </c>
      <c r="AU209" s="12" t="s">
        <v>381</v>
      </c>
      <c r="AV209" s="12" t="s">
        <v>1052</v>
      </c>
      <c r="AW209" s="12" t="s">
        <v>825</v>
      </c>
      <c r="AX209" s="12" t="s">
        <v>963</v>
      </c>
      <c r="AY209" s="12" t="s">
        <v>658</v>
      </c>
      <c r="AZ209" s="12" t="s">
        <v>3630</v>
      </c>
      <c r="BA209" s="12" t="s">
        <v>1401</v>
      </c>
      <c r="BB209" s="12" t="s">
        <v>1693</v>
      </c>
      <c r="BC209" s="12" t="s">
        <v>1693</v>
      </c>
      <c r="BD209" s="12" t="s">
        <v>3631</v>
      </c>
      <c r="BE209" s="12" t="s">
        <v>3632</v>
      </c>
      <c r="BF209" s="12" t="s">
        <v>3446</v>
      </c>
      <c r="BG209" s="12" t="s">
        <v>3446</v>
      </c>
      <c r="BH209" s="12" t="s">
        <v>3633</v>
      </c>
      <c r="BI209" s="12" t="s">
        <v>3634</v>
      </c>
      <c r="BJ209" s="12" t="s">
        <v>3635</v>
      </c>
      <c r="BK209" s="12" t="s">
        <v>3636</v>
      </c>
      <c r="BL209" s="12" t="s">
        <v>2473</v>
      </c>
      <c r="BM209" s="12" t="s">
        <v>3637</v>
      </c>
      <c r="BN209" s="12" t="s">
        <v>3638</v>
      </c>
      <c r="BO209" s="12" t="s">
        <v>3639</v>
      </c>
      <c r="BP209" s="12" t="s">
        <v>3640</v>
      </c>
      <c r="BQ209" s="12" t="s">
        <v>3641</v>
      </c>
      <c r="BR209" s="12" t="s">
        <v>3642</v>
      </c>
      <c r="BS209" s="12" t="s">
        <v>3643</v>
      </c>
      <c r="BT209" s="12" t="s">
        <v>3644</v>
      </c>
      <c r="BU209" s="12" t="s">
        <v>3645</v>
      </c>
      <c r="BV209" s="12" t="s">
        <v>3646</v>
      </c>
      <c r="BW209" s="12" t="s">
        <v>3647</v>
      </c>
      <c r="BX209" s="12" t="s">
        <v>3648</v>
      </c>
      <c r="BY209" s="12" t="s">
        <v>3649</v>
      </c>
      <c r="BZ209" s="12" t="s">
        <v>3650</v>
      </c>
      <c r="CA209" s="12" t="s">
        <v>3651</v>
      </c>
      <c r="CB209" s="12" t="s">
        <v>3652</v>
      </c>
      <c r="CC209" s="12" t="s">
        <v>3653</v>
      </c>
      <c r="CD209" s="12" t="s">
        <v>3654</v>
      </c>
      <c r="CE209" s="12" t="s">
        <v>3655</v>
      </c>
      <c r="CF209" s="12" t="s">
        <v>3656</v>
      </c>
      <c r="CG209" s="12" t="s">
        <v>3657</v>
      </c>
      <c r="CH209" s="12" t="s">
        <v>3658</v>
      </c>
      <c r="CI209" s="12" t="s">
        <v>3659</v>
      </c>
      <c r="CJ209" s="12" t="s">
        <v>3660</v>
      </c>
      <c r="CK209" s="12" t="s">
        <v>3661</v>
      </c>
      <c r="CL209" s="12" t="s">
        <v>3662</v>
      </c>
      <c r="CM209" s="12" t="s">
        <v>3663</v>
      </c>
      <c r="CN209" s="12" t="s">
        <v>3664</v>
      </c>
      <c r="CO209" s="12" t="s">
        <v>3665</v>
      </c>
      <c r="CP209" s="12" t="s">
        <v>3666</v>
      </c>
      <c r="CQ209" s="12" t="s">
        <v>3667</v>
      </c>
      <c r="CR209" s="12" t="s">
        <v>3668</v>
      </c>
      <c r="CS209" s="12" t="s">
        <v>3669</v>
      </c>
      <c r="CT209" s="12" t="s">
        <v>3670</v>
      </c>
      <c r="CU209" s="12" t="s">
        <v>4316</v>
      </c>
      <c r="CV209" s="12" t="s">
        <v>4317</v>
      </c>
      <c r="CW209" s="12" t="s">
        <v>4318</v>
      </c>
      <c r="CX209" s="12" t="s">
        <v>4319</v>
      </c>
    </row>
    <row r="210" spans="1:102" hidden="1" x14ac:dyDescent="0.3">
      <c r="A210" s="12" t="s">
        <v>12</v>
      </c>
      <c r="B210" s="12" t="s">
        <v>3671</v>
      </c>
      <c r="C210" s="12" t="s">
        <v>3672</v>
      </c>
      <c r="D210" s="12" t="s">
        <v>3673</v>
      </c>
      <c r="E210" s="12" t="s">
        <v>278</v>
      </c>
      <c r="F210" s="12" t="s">
        <v>278</v>
      </c>
      <c r="G210" s="12" t="s">
        <v>371</v>
      </c>
      <c r="H210" s="12" t="s">
        <v>371</v>
      </c>
      <c r="I210" s="12" t="s">
        <v>279</v>
      </c>
      <c r="J210" s="12" t="s">
        <v>280</v>
      </c>
      <c r="K210" s="12" t="s">
        <v>454</v>
      </c>
      <c r="L210" s="12" t="s">
        <v>454</v>
      </c>
      <c r="M210" s="12" t="s">
        <v>460</v>
      </c>
      <c r="N210" s="12" t="s">
        <v>323</v>
      </c>
      <c r="O210" s="12" t="s">
        <v>323</v>
      </c>
      <c r="P210" s="12" t="s">
        <v>323</v>
      </c>
      <c r="Q210" s="12" t="s">
        <v>323</v>
      </c>
      <c r="R210" s="12" t="s">
        <v>282</v>
      </c>
      <c r="S210" s="12" t="s">
        <v>282</v>
      </c>
      <c r="T210" s="12" t="s">
        <v>283</v>
      </c>
      <c r="U210" s="12" t="s">
        <v>283</v>
      </c>
      <c r="V210" s="12" t="s">
        <v>372</v>
      </c>
      <c r="W210" s="12" t="s">
        <v>507</v>
      </c>
      <c r="X210" s="12" t="s">
        <v>507</v>
      </c>
      <c r="Y210" s="12" t="s">
        <v>507</v>
      </c>
      <c r="Z210" s="12" t="s">
        <v>507</v>
      </c>
      <c r="AA210" s="12" t="s">
        <v>507</v>
      </c>
      <c r="AB210" s="12" t="s">
        <v>507</v>
      </c>
      <c r="AC210" s="12" t="s">
        <v>507</v>
      </c>
      <c r="AD210" s="12" t="s">
        <v>374</v>
      </c>
      <c r="AE210" s="12" t="s">
        <v>285</v>
      </c>
      <c r="AF210" s="12" t="s">
        <v>285</v>
      </c>
      <c r="AG210" s="12" t="s">
        <v>325</v>
      </c>
      <c r="AH210" s="12" t="s">
        <v>286</v>
      </c>
      <c r="AI210" s="12" t="s">
        <v>375</v>
      </c>
      <c r="AJ210" s="12" t="s">
        <v>375</v>
      </c>
      <c r="AK210" s="12" t="s">
        <v>568</v>
      </c>
      <c r="AL210" s="12" t="s">
        <v>1716</v>
      </c>
      <c r="AM210" s="12" t="s">
        <v>465</v>
      </c>
      <c r="AN210" s="12" t="s">
        <v>551</v>
      </c>
      <c r="AO210" s="12" t="s">
        <v>551</v>
      </c>
      <c r="AP210" s="12" t="s">
        <v>466</v>
      </c>
      <c r="AQ210" s="12" t="s">
        <v>417</v>
      </c>
      <c r="AR210" s="12" t="s">
        <v>287</v>
      </c>
      <c r="AS210" s="12" t="s">
        <v>745</v>
      </c>
      <c r="AT210" s="12" t="s">
        <v>328</v>
      </c>
      <c r="AU210" s="12" t="s">
        <v>328</v>
      </c>
      <c r="AV210" s="12" t="s">
        <v>795</v>
      </c>
      <c r="AW210" s="12" t="s">
        <v>467</v>
      </c>
      <c r="AX210" s="12" t="s">
        <v>467</v>
      </c>
      <c r="AY210" s="12" t="s">
        <v>467</v>
      </c>
      <c r="AZ210" s="12" t="s">
        <v>467</v>
      </c>
      <c r="BA210" s="12" t="s">
        <v>671</v>
      </c>
      <c r="BB210" s="12" t="s">
        <v>377</v>
      </c>
      <c r="BC210" s="12" t="s">
        <v>690</v>
      </c>
      <c r="BD210" s="12" t="s">
        <v>653</v>
      </c>
      <c r="BE210" s="12" t="s">
        <v>418</v>
      </c>
      <c r="BF210" s="12" t="s">
        <v>331</v>
      </c>
      <c r="BG210" s="12" t="s">
        <v>654</v>
      </c>
      <c r="BH210" s="12" t="s">
        <v>554</v>
      </c>
      <c r="BI210" s="12" t="s">
        <v>560</v>
      </c>
      <c r="BJ210" s="12" t="s">
        <v>1197</v>
      </c>
      <c r="BK210" s="12" t="s">
        <v>1055</v>
      </c>
      <c r="BL210" s="12" t="s">
        <v>1798</v>
      </c>
      <c r="BM210" s="12" t="s">
        <v>681</v>
      </c>
      <c r="BN210" s="12" t="s">
        <v>683</v>
      </c>
      <c r="BO210" s="12" t="s">
        <v>1433</v>
      </c>
      <c r="BP210" s="12" t="s">
        <v>514</v>
      </c>
      <c r="BQ210" s="12" t="s">
        <v>1209</v>
      </c>
      <c r="BR210" s="12" t="s">
        <v>426</v>
      </c>
      <c r="BS210" s="12" t="s">
        <v>1526</v>
      </c>
      <c r="BT210" s="12" t="s">
        <v>797</v>
      </c>
      <c r="BU210" s="12" t="s">
        <v>1123</v>
      </c>
      <c r="BV210" s="12" t="s">
        <v>1440</v>
      </c>
      <c r="BW210" s="12" t="s">
        <v>518</v>
      </c>
      <c r="BX210" s="12" t="s">
        <v>1756</v>
      </c>
      <c r="BY210" s="12" t="s">
        <v>2270</v>
      </c>
      <c r="BZ210" s="12" t="s">
        <v>694</v>
      </c>
      <c r="CA210" s="12" t="s">
        <v>1758</v>
      </c>
      <c r="CB210" s="12" t="s">
        <v>1679</v>
      </c>
      <c r="CC210" s="12" t="s">
        <v>430</v>
      </c>
      <c r="CD210" s="12" t="s">
        <v>3674</v>
      </c>
      <c r="CE210" s="12" t="s">
        <v>1389</v>
      </c>
      <c r="CF210" s="12" t="s">
        <v>1887</v>
      </c>
      <c r="CG210" s="12" t="s">
        <v>3464</v>
      </c>
      <c r="CH210" s="12" t="s">
        <v>2200</v>
      </c>
      <c r="CI210" s="12" t="s">
        <v>1391</v>
      </c>
      <c r="CJ210" s="12" t="s">
        <v>1391</v>
      </c>
      <c r="CK210" s="12" t="s">
        <v>1392</v>
      </c>
      <c r="CL210" s="12" t="s">
        <v>1392</v>
      </c>
      <c r="CM210" s="12" t="s">
        <v>1392</v>
      </c>
      <c r="CN210" s="12" t="s">
        <v>2824</v>
      </c>
      <c r="CO210" s="12" t="s">
        <v>662</v>
      </c>
      <c r="CP210" s="12" t="s">
        <v>1067</v>
      </c>
      <c r="CQ210" s="12" t="s">
        <v>1231</v>
      </c>
      <c r="CR210" s="12" t="s">
        <v>1396</v>
      </c>
      <c r="CS210" s="12" t="s">
        <v>2588</v>
      </c>
      <c r="CT210" s="12" t="s">
        <v>432</v>
      </c>
      <c r="CU210" s="12" t="s">
        <v>663</v>
      </c>
      <c r="CV210" s="12" t="s">
        <v>663</v>
      </c>
      <c r="CW210" s="12" t="s">
        <v>663</v>
      </c>
      <c r="CX210" s="12" t="s">
        <v>663</v>
      </c>
    </row>
    <row r="211" spans="1:102" hidden="1" x14ac:dyDescent="0.3">
      <c r="A211" s="12" t="s">
        <v>12</v>
      </c>
      <c r="B211" s="12" t="s">
        <v>3675</v>
      </c>
      <c r="C211" s="12" t="s">
        <v>3676</v>
      </c>
      <c r="D211" s="12" t="s">
        <v>3677</v>
      </c>
      <c r="E211" s="12" t="s">
        <v>277</v>
      </c>
      <c r="F211" s="12" t="s">
        <v>277</v>
      </c>
      <c r="G211" s="12" t="s">
        <v>277</v>
      </c>
      <c r="H211" s="12" t="s">
        <v>277</v>
      </c>
      <c r="I211" s="12" t="s">
        <v>277</v>
      </c>
      <c r="J211" s="12" t="s">
        <v>277</v>
      </c>
      <c r="K211" s="12" t="s">
        <v>277</v>
      </c>
      <c r="L211" s="12" t="s">
        <v>277</v>
      </c>
      <c r="M211" s="12" t="s">
        <v>277</v>
      </c>
      <c r="N211" s="12" t="s">
        <v>277</v>
      </c>
      <c r="O211" s="12" t="s">
        <v>277</v>
      </c>
      <c r="P211" s="12" t="s">
        <v>277</v>
      </c>
      <c r="Q211" s="12" t="s">
        <v>277</v>
      </c>
      <c r="R211" s="12" t="s">
        <v>277</v>
      </c>
      <c r="S211" s="12" t="s">
        <v>277</v>
      </c>
      <c r="T211" s="12" t="s">
        <v>277</v>
      </c>
      <c r="U211" s="12" t="s">
        <v>277</v>
      </c>
      <c r="V211" s="12" t="s">
        <v>277</v>
      </c>
      <c r="W211" s="12" t="s">
        <v>277</v>
      </c>
      <c r="X211" s="12" t="s">
        <v>277</v>
      </c>
      <c r="Y211" s="12" t="s">
        <v>277</v>
      </c>
      <c r="Z211" s="12" t="s">
        <v>277</v>
      </c>
      <c r="AA211" s="12" t="s">
        <v>277</v>
      </c>
      <c r="AB211" s="12" t="s">
        <v>277</v>
      </c>
      <c r="AC211" s="12" t="s">
        <v>277</v>
      </c>
      <c r="AD211" s="12" t="s">
        <v>277</v>
      </c>
      <c r="AE211" s="12" t="s">
        <v>277</v>
      </c>
      <c r="AF211" s="12" t="s">
        <v>277</v>
      </c>
      <c r="AG211" s="12" t="s">
        <v>277</v>
      </c>
      <c r="AH211" s="12" t="s">
        <v>277</v>
      </c>
      <c r="AI211" s="12" t="s">
        <v>277</v>
      </c>
      <c r="AJ211" s="12" t="s">
        <v>277</v>
      </c>
      <c r="AK211" s="12" t="s">
        <v>277</v>
      </c>
      <c r="AL211" s="12" t="s">
        <v>277</v>
      </c>
      <c r="AM211" s="12" t="s">
        <v>277</v>
      </c>
      <c r="AN211" s="12" t="s">
        <v>277</v>
      </c>
      <c r="AO211" s="12" t="s">
        <v>277</v>
      </c>
      <c r="AP211" s="12" t="s">
        <v>277</v>
      </c>
      <c r="AQ211" s="12" t="s">
        <v>277</v>
      </c>
      <c r="AR211" s="12" t="s">
        <v>277</v>
      </c>
      <c r="AS211" s="12" t="s">
        <v>277</v>
      </c>
      <c r="AT211" s="12" t="s">
        <v>277</v>
      </c>
      <c r="AU211" s="12" t="s">
        <v>277</v>
      </c>
      <c r="AV211" s="12" t="s">
        <v>277</v>
      </c>
      <c r="AW211" s="12" t="s">
        <v>277</v>
      </c>
      <c r="AX211" s="12" t="s">
        <v>277</v>
      </c>
      <c r="AY211" s="12" t="s">
        <v>277</v>
      </c>
      <c r="AZ211" s="12" t="s">
        <v>277</v>
      </c>
      <c r="BA211" s="12" t="s">
        <v>277</v>
      </c>
      <c r="BB211" s="12" t="s">
        <v>277</v>
      </c>
      <c r="BC211" s="12" t="s">
        <v>277</v>
      </c>
      <c r="BD211" s="12" t="s">
        <v>277</v>
      </c>
      <c r="BE211" s="12" t="s">
        <v>277</v>
      </c>
      <c r="BF211" s="12" t="s">
        <v>277</v>
      </c>
      <c r="BG211" s="12" t="s">
        <v>278</v>
      </c>
      <c r="BH211" s="12" t="s">
        <v>278</v>
      </c>
      <c r="BI211" s="12" t="s">
        <v>371</v>
      </c>
      <c r="BJ211" s="12" t="s">
        <v>550</v>
      </c>
      <c r="BK211" s="12" t="s">
        <v>550</v>
      </c>
      <c r="BL211" s="12" t="s">
        <v>550</v>
      </c>
      <c r="BM211" s="12" t="s">
        <v>324</v>
      </c>
      <c r="BN211" s="12" t="s">
        <v>324</v>
      </c>
      <c r="BO211" s="12" t="s">
        <v>324</v>
      </c>
      <c r="BP211" s="12" t="s">
        <v>324</v>
      </c>
      <c r="BQ211" s="12" t="s">
        <v>567</v>
      </c>
      <c r="BR211" s="12" t="s">
        <v>567</v>
      </c>
      <c r="BS211" s="12" t="s">
        <v>455</v>
      </c>
      <c r="BT211" s="12" t="s">
        <v>455</v>
      </c>
      <c r="BU211" s="12" t="s">
        <v>373</v>
      </c>
      <c r="BV211" s="12" t="s">
        <v>373</v>
      </c>
      <c r="BW211" s="12" t="s">
        <v>374</v>
      </c>
      <c r="BX211" s="12" t="s">
        <v>374</v>
      </c>
      <c r="BY211" s="12" t="s">
        <v>374</v>
      </c>
      <c r="BZ211" s="12" t="s">
        <v>374</v>
      </c>
      <c r="CA211" s="12" t="s">
        <v>285</v>
      </c>
      <c r="CB211" s="12" t="s">
        <v>286</v>
      </c>
      <c r="CC211" s="12" t="s">
        <v>286</v>
      </c>
      <c r="CD211" s="12" t="s">
        <v>456</v>
      </c>
      <c r="CE211" s="12" t="s">
        <v>456</v>
      </c>
      <c r="CF211" s="12" t="s">
        <v>551</v>
      </c>
      <c r="CG211" s="12" t="s">
        <v>551</v>
      </c>
      <c r="CH211" s="12" t="s">
        <v>551</v>
      </c>
      <c r="CI211" s="12" t="s">
        <v>690</v>
      </c>
      <c r="CJ211" s="12" t="s">
        <v>418</v>
      </c>
      <c r="CK211" s="12" t="s">
        <v>420</v>
      </c>
      <c r="CL211" s="12" t="s">
        <v>290</v>
      </c>
      <c r="CM211" s="12" t="s">
        <v>1213</v>
      </c>
      <c r="CN211" s="12" t="s">
        <v>1213</v>
      </c>
      <c r="CO211" s="12" t="s">
        <v>293</v>
      </c>
      <c r="CP211" s="12" t="s">
        <v>1190</v>
      </c>
      <c r="CQ211" s="12" t="s">
        <v>1190</v>
      </c>
      <c r="CR211" s="12" t="s">
        <v>2725</v>
      </c>
      <c r="CS211" s="12" t="s">
        <v>2725</v>
      </c>
      <c r="CT211" s="12" t="s">
        <v>298</v>
      </c>
      <c r="CU211" s="12" t="s">
        <v>298</v>
      </c>
      <c r="CV211" s="12" t="s">
        <v>298</v>
      </c>
      <c r="CW211" s="12" t="s">
        <v>298</v>
      </c>
      <c r="CX211" s="12" t="s">
        <v>298</v>
      </c>
    </row>
    <row r="212" spans="1:102" hidden="1" x14ac:dyDescent="0.3">
      <c r="A212" s="12" t="s">
        <v>12</v>
      </c>
      <c r="B212" s="12" t="s">
        <v>3678</v>
      </c>
      <c r="C212" s="12" t="s">
        <v>3679</v>
      </c>
      <c r="D212" s="12" t="s">
        <v>3680</v>
      </c>
      <c r="E212" s="12" t="s">
        <v>322</v>
      </c>
      <c r="F212" s="12" t="s">
        <v>371</v>
      </c>
      <c r="G212" s="12" t="s">
        <v>280</v>
      </c>
      <c r="H212" s="12" t="s">
        <v>281</v>
      </c>
      <c r="I212" s="12" t="s">
        <v>454</v>
      </c>
      <c r="J212" s="12" t="s">
        <v>454</v>
      </c>
      <c r="K212" s="12" t="s">
        <v>455</v>
      </c>
      <c r="L212" s="12" t="s">
        <v>455</v>
      </c>
      <c r="M212" s="12" t="s">
        <v>455</v>
      </c>
      <c r="N212" s="12" t="s">
        <v>373</v>
      </c>
      <c r="O212" s="12" t="s">
        <v>373</v>
      </c>
      <c r="P212" s="12" t="s">
        <v>373</v>
      </c>
      <c r="Q212" s="12" t="s">
        <v>373</v>
      </c>
      <c r="R212" s="12" t="s">
        <v>456</v>
      </c>
      <c r="S212" s="12" t="s">
        <v>456</v>
      </c>
      <c r="T212" s="12" t="s">
        <v>456</v>
      </c>
      <c r="U212" s="12" t="s">
        <v>456</v>
      </c>
      <c r="V212" s="12" t="s">
        <v>551</v>
      </c>
      <c r="W212" s="12" t="s">
        <v>551</v>
      </c>
      <c r="X212" s="12" t="s">
        <v>551</v>
      </c>
      <c r="Y212" s="12" t="s">
        <v>326</v>
      </c>
      <c r="Z212" s="12" t="s">
        <v>326</v>
      </c>
      <c r="AA212" s="12" t="s">
        <v>326</v>
      </c>
      <c r="AB212" s="12" t="s">
        <v>326</v>
      </c>
      <c r="AC212" s="12" t="s">
        <v>326</v>
      </c>
      <c r="AD212" s="12" t="s">
        <v>466</v>
      </c>
      <c r="AE212" s="12" t="s">
        <v>616</v>
      </c>
      <c r="AF212" s="12" t="s">
        <v>616</v>
      </c>
      <c r="AG212" s="12" t="s">
        <v>616</v>
      </c>
      <c r="AH212" s="12" t="s">
        <v>616</v>
      </c>
      <c r="AI212" s="12" t="s">
        <v>616</v>
      </c>
      <c r="AJ212" s="12" t="s">
        <v>616</v>
      </c>
      <c r="AK212" s="12" t="s">
        <v>616</v>
      </c>
      <c r="AL212" s="12" t="s">
        <v>616</v>
      </c>
      <c r="AM212" s="12" t="s">
        <v>376</v>
      </c>
      <c r="AN212" s="12" t="s">
        <v>287</v>
      </c>
      <c r="AO212" s="12" t="s">
        <v>287</v>
      </c>
      <c r="AP212" s="12" t="s">
        <v>745</v>
      </c>
      <c r="AQ212" s="12" t="s">
        <v>328</v>
      </c>
      <c r="AR212" s="12" t="s">
        <v>328</v>
      </c>
      <c r="AS212" s="12" t="s">
        <v>958</v>
      </c>
      <c r="AT212" s="12" t="s">
        <v>958</v>
      </c>
      <c r="AU212" s="12" t="s">
        <v>958</v>
      </c>
      <c r="AV212" s="12" t="s">
        <v>671</v>
      </c>
      <c r="AW212" s="12" t="s">
        <v>377</v>
      </c>
      <c r="AX212" s="12" t="s">
        <v>653</v>
      </c>
      <c r="AY212" s="12" t="s">
        <v>653</v>
      </c>
      <c r="AZ212" s="12" t="s">
        <v>653</v>
      </c>
      <c r="BA212" s="12" t="s">
        <v>418</v>
      </c>
      <c r="BB212" s="12" t="s">
        <v>331</v>
      </c>
      <c r="BC212" s="12" t="s">
        <v>333</v>
      </c>
      <c r="BD212" s="12" t="s">
        <v>419</v>
      </c>
      <c r="BE212" s="12" t="s">
        <v>675</v>
      </c>
      <c r="BF212" s="12" t="s">
        <v>1052</v>
      </c>
      <c r="BG212" s="12" t="s">
        <v>1213</v>
      </c>
      <c r="BH212" s="12" t="s">
        <v>1229</v>
      </c>
      <c r="BI212" s="12" t="s">
        <v>341</v>
      </c>
      <c r="BJ212" s="12" t="s">
        <v>1434</v>
      </c>
      <c r="BK212" s="12" t="s">
        <v>1440</v>
      </c>
      <c r="BL212" s="12" t="s">
        <v>660</v>
      </c>
      <c r="BM212" s="12" t="s">
        <v>1804</v>
      </c>
      <c r="BN212" s="12" t="s">
        <v>1222</v>
      </c>
      <c r="BO212" s="12" t="s">
        <v>1225</v>
      </c>
      <c r="BP212" s="12" t="s">
        <v>635</v>
      </c>
      <c r="BQ212" s="12" t="s">
        <v>3681</v>
      </c>
      <c r="BR212" s="12" t="s">
        <v>846</v>
      </c>
      <c r="BS212" s="12" t="s">
        <v>3682</v>
      </c>
      <c r="BT212" s="12" t="s">
        <v>3683</v>
      </c>
      <c r="BU212" s="12" t="s">
        <v>1492</v>
      </c>
      <c r="BV212" s="12" t="s">
        <v>3684</v>
      </c>
      <c r="BW212" s="12" t="s">
        <v>2417</v>
      </c>
      <c r="BX212" s="12" t="s">
        <v>3685</v>
      </c>
      <c r="BY212" s="12" t="s">
        <v>3686</v>
      </c>
      <c r="BZ212" s="12" t="s">
        <v>3687</v>
      </c>
      <c r="CA212" s="12" t="s">
        <v>3688</v>
      </c>
      <c r="CB212" s="12" t="s">
        <v>3689</v>
      </c>
      <c r="CC212" s="12" t="s">
        <v>3690</v>
      </c>
      <c r="CD212" s="12" t="s">
        <v>2591</v>
      </c>
      <c r="CE212" s="12" t="s">
        <v>3691</v>
      </c>
      <c r="CF212" s="12" t="s">
        <v>1846</v>
      </c>
      <c r="CG212" s="12" t="s">
        <v>858</v>
      </c>
      <c r="CH212" s="12" t="s">
        <v>3692</v>
      </c>
      <c r="CI212" s="12" t="s">
        <v>3693</v>
      </c>
      <c r="CJ212" s="12" t="s">
        <v>3694</v>
      </c>
      <c r="CK212" s="12" t="s">
        <v>3695</v>
      </c>
      <c r="CL212" s="12" t="s">
        <v>3696</v>
      </c>
      <c r="CM212" s="12" t="s">
        <v>3633</v>
      </c>
      <c r="CN212" s="12" t="s">
        <v>3697</v>
      </c>
      <c r="CO212" s="12" t="s">
        <v>3698</v>
      </c>
      <c r="CP212" s="12" t="s">
        <v>3699</v>
      </c>
      <c r="CQ212" s="12" t="s">
        <v>410</v>
      </c>
      <c r="CR212" s="12" t="s">
        <v>3700</v>
      </c>
      <c r="CS212" s="12" t="s">
        <v>498</v>
      </c>
      <c r="CT212" s="12" t="s">
        <v>3701</v>
      </c>
      <c r="CU212" s="12" t="s">
        <v>3701</v>
      </c>
      <c r="CV212" s="12" t="s">
        <v>2484</v>
      </c>
      <c r="CW212" s="12" t="s">
        <v>4320</v>
      </c>
      <c r="CX212" s="12" t="s">
        <v>4321</v>
      </c>
    </row>
    <row r="213" spans="1:102" hidden="1" x14ac:dyDescent="0.3">
      <c r="A213" s="12" t="s">
        <v>12</v>
      </c>
      <c r="B213" s="12" t="s">
        <v>3702</v>
      </c>
      <c r="C213" s="12" t="s">
        <v>3703</v>
      </c>
      <c r="D213" s="12" t="s">
        <v>3704</v>
      </c>
      <c r="E213" s="12" t="s">
        <v>277</v>
      </c>
      <c r="F213" s="12" t="s">
        <v>277</v>
      </c>
      <c r="G213" s="12" t="s">
        <v>277</v>
      </c>
      <c r="H213" s="12" t="s">
        <v>277</v>
      </c>
      <c r="I213" s="12" t="s">
        <v>277</v>
      </c>
      <c r="J213" s="12" t="s">
        <v>277</v>
      </c>
      <c r="K213" s="12" t="s">
        <v>277</v>
      </c>
      <c r="L213" s="12" t="s">
        <v>277</v>
      </c>
      <c r="M213" s="12" t="s">
        <v>277</v>
      </c>
      <c r="N213" s="12" t="s">
        <v>277</v>
      </c>
      <c r="O213" s="12" t="s">
        <v>277</v>
      </c>
      <c r="P213" s="12" t="s">
        <v>277</v>
      </c>
      <c r="Q213" s="12" t="s">
        <v>277</v>
      </c>
      <c r="R213" s="12" t="s">
        <v>277</v>
      </c>
      <c r="S213" s="12" t="s">
        <v>277</v>
      </c>
      <c r="T213" s="12" t="s">
        <v>277</v>
      </c>
      <c r="U213" s="12" t="s">
        <v>277</v>
      </c>
      <c r="V213" s="12" t="s">
        <v>277</v>
      </c>
      <c r="W213" s="12" t="s">
        <v>277</v>
      </c>
      <c r="X213" s="12" t="s">
        <v>277</v>
      </c>
      <c r="Y213" s="12" t="s">
        <v>277</v>
      </c>
      <c r="Z213" s="12" t="s">
        <v>277</v>
      </c>
      <c r="AA213" s="12" t="s">
        <v>277</v>
      </c>
      <c r="AB213" s="12" t="s">
        <v>277</v>
      </c>
      <c r="AC213" s="12" t="s">
        <v>277</v>
      </c>
      <c r="AD213" s="12" t="s">
        <v>277</v>
      </c>
      <c r="AE213" s="12" t="s">
        <v>277</v>
      </c>
      <c r="AF213" s="12" t="s">
        <v>277</v>
      </c>
      <c r="AG213" s="12" t="s">
        <v>277</v>
      </c>
      <c r="AH213" s="12" t="s">
        <v>277</v>
      </c>
      <c r="AI213" s="12" t="s">
        <v>277</v>
      </c>
      <c r="AJ213" s="12" t="s">
        <v>277</v>
      </c>
      <c r="AK213" s="12" t="s">
        <v>277</v>
      </c>
      <c r="AL213" s="12" t="s">
        <v>277</v>
      </c>
      <c r="AM213" s="12" t="s">
        <v>277</v>
      </c>
      <c r="AN213" s="12" t="s">
        <v>277</v>
      </c>
      <c r="AO213" s="12" t="s">
        <v>277</v>
      </c>
      <c r="AP213" s="12" t="s">
        <v>277</v>
      </c>
      <c r="AQ213" s="12" t="s">
        <v>277</v>
      </c>
      <c r="AR213" s="12" t="s">
        <v>277</v>
      </c>
      <c r="AS213" s="12" t="s">
        <v>277</v>
      </c>
      <c r="AT213" s="12" t="s">
        <v>277</v>
      </c>
      <c r="AU213" s="12" t="s">
        <v>277</v>
      </c>
      <c r="AV213" s="12" t="s">
        <v>277</v>
      </c>
      <c r="AW213" s="12" t="s">
        <v>278</v>
      </c>
      <c r="AX213" s="12" t="s">
        <v>278</v>
      </c>
      <c r="AY213" s="12" t="s">
        <v>278</v>
      </c>
      <c r="AZ213" s="12" t="s">
        <v>278</v>
      </c>
      <c r="BA213" s="12" t="s">
        <v>278</v>
      </c>
      <c r="BB213" s="12" t="s">
        <v>278</v>
      </c>
      <c r="BC213" s="12" t="s">
        <v>278</v>
      </c>
      <c r="BD213" s="12" t="s">
        <v>278</v>
      </c>
      <c r="BE213" s="12" t="s">
        <v>278</v>
      </c>
      <c r="BF213" s="12" t="s">
        <v>278</v>
      </c>
      <c r="BG213" s="12" t="s">
        <v>278</v>
      </c>
      <c r="BH213" s="12" t="s">
        <v>278</v>
      </c>
      <c r="BI213" s="12" t="s">
        <v>278</v>
      </c>
      <c r="BJ213" s="12" t="s">
        <v>278</v>
      </c>
      <c r="BK213" s="12" t="s">
        <v>460</v>
      </c>
      <c r="BL213" s="12" t="s">
        <v>283</v>
      </c>
      <c r="BM213" s="12" t="s">
        <v>283</v>
      </c>
      <c r="BN213" s="12" t="s">
        <v>507</v>
      </c>
      <c r="BO213" s="12" t="s">
        <v>374</v>
      </c>
      <c r="BP213" s="12" t="s">
        <v>325</v>
      </c>
      <c r="BQ213" s="12" t="s">
        <v>325</v>
      </c>
      <c r="BR213" s="12" t="s">
        <v>456</v>
      </c>
      <c r="BS213" s="12" t="s">
        <v>456</v>
      </c>
      <c r="BT213" s="12" t="s">
        <v>456</v>
      </c>
      <c r="BU213" s="12" t="s">
        <v>1716</v>
      </c>
      <c r="BV213" s="12" t="s">
        <v>466</v>
      </c>
      <c r="BW213" s="12" t="s">
        <v>670</v>
      </c>
      <c r="BX213" s="12" t="s">
        <v>417</v>
      </c>
      <c r="BY213" s="12" t="s">
        <v>287</v>
      </c>
      <c r="BZ213" s="12" t="s">
        <v>745</v>
      </c>
      <c r="CA213" s="12" t="s">
        <v>795</v>
      </c>
      <c r="CB213" s="12" t="s">
        <v>1112</v>
      </c>
      <c r="CC213" s="12" t="s">
        <v>569</v>
      </c>
      <c r="CD213" s="12" t="s">
        <v>333</v>
      </c>
      <c r="CE213" s="12" t="s">
        <v>819</v>
      </c>
      <c r="CF213" s="12" t="s">
        <v>334</v>
      </c>
      <c r="CG213" s="12" t="s">
        <v>334</v>
      </c>
      <c r="CH213" s="12" t="s">
        <v>334</v>
      </c>
      <c r="CI213" s="12" t="s">
        <v>554</v>
      </c>
      <c r="CJ213" s="12" t="s">
        <v>554</v>
      </c>
      <c r="CK213" s="12" t="s">
        <v>883</v>
      </c>
      <c r="CL213" s="12" t="s">
        <v>883</v>
      </c>
      <c r="CM213" s="12" t="s">
        <v>1051</v>
      </c>
      <c r="CN213" s="12" t="s">
        <v>289</v>
      </c>
      <c r="CO213" s="12" t="s">
        <v>289</v>
      </c>
      <c r="CP213" s="12" t="s">
        <v>289</v>
      </c>
      <c r="CQ213" s="12" t="s">
        <v>676</v>
      </c>
      <c r="CR213" s="12" t="s">
        <v>420</v>
      </c>
      <c r="CS213" s="12" t="s">
        <v>420</v>
      </c>
      <c r="CT213" s="12" t="s">
        <v>381</v>
      </c>
      <c r="CU213" s="12" t="s">
        <v>558</v>
      </c>
      <c r="CV213" s="12" t="s">
        <v>677</v>
      </c>
      <c r="CW213" s="12" t="s">
        <v>677</v>
      </c>
      <c r="CX213" s="12" t="s">
        <v>559</v>
      </c>
    </row>
    <row r="214" spans="1:102" hidden="1" x14ac:dyDescent="0.3">
      <c r="A214" s="12" t="s">
        <v>12</v>
      </c>
      <c r="B214" s="12" t="s">
        <v>3705</v>
      </c>
      <c r="C214" s="12" t="s">
        <v>3706</v>
      </c>
      <c r="D214" s="12" t="s">
        <v>3707</v>
      </c>
      <c r="E214" s="12" t="s">
        <v>277</v>
      </c>
      <c r="F214" s="12" t="s">
        <v>277</v>
      </c>
      <c r="G214" s="12" t="s">
        <v>277</v>
      </c>
      <c r="H214" s="12" t="s">
        <v>277</v>
      </c>
      <c r="I214" s="12" t="s">
        <v>277</v>
      </c>
      <c r="J214" s="12" t="s">
        <v>277</v>
      </c>
      <c r="K214" s="12" t="s">
        <v>277</v>
      </c>
      <c r="L214" s="12" t="s">
        <v>277</v>
      </c>
      <c r="M214" s="12" t="s">
        <v>277</v>
      </c>
      <c r="N214" s="12" t="s">
        <v>277</v>
      </c>
      <c r="O214" s="12" t="s">
        <v>277</v>
      </c>
      <c r="P214" s="12" t="s">
        <v>277</v>
      </c>
      <c r="Q214" s="12" t="s">
        <v>277</v>
      </c>
      <c r="R214" s="12" t="s">
        <v>277</v>
      </c>
      <c r="S214" s="12" t="s">
        <v>277</v>
      </c>
      <c r="T214" s="12" t="s">
        <v>277</v>
      </c>
      <c r="U214" s="12" t="s">
        <v>277</v>
      </c>
      <c r="V214" s="12" t="s">
        <v>277</v>
      </c>
      <c r="W214" s="12" t="s">
        <v>277</v>
      </c>
      <c r="X214" s="12" t="s">
        <v>277</v>
      </c>
      <c r="Y214" s="12" t="s">
        <v>277</v>
      </c>
      <c r="Z214" s="12" t="s">
        <v>277</v>
      </c>
      <c r="AA214" s="12" t="s">
        <v>277</v>
      </c>
      <c r="AB214" s="12" t="s">
        <v>277</v>
      </c>
      <c r="AC214" s="12" t="s">
        <v>277</v>
      </c>
      <c r="AD214" s="12" t="s">
        <v>277</v>
      </c>
      <c r="AE214" s="12" t="s">
        <v>277</v>
      </c>
      <c r="AF214" s="12" t="s">
        <v>277</v>
      </c>
      <c r="AG214" s="12" t="s">
        <v>277</v>
      </c>
      <c r="AH214" s="12" t="s">
        <v>277</v>
      </c>
      <c r="AI214" s="12" t="s">
        <v>277</v>
      </c>
      <c r="AJ214" s="12" t="s">
        <v>277</v>
      </c>
      <c r="AK214" s="12" t="s">
        <v>277</v>
      </c>
      <c r="AL214" s="12" t="s">
        <v>277</v>
      </c>
      <c r="AM214" s="12" t="s">
        <v>277</v>
      </c>
      <c r="AN214" s="12" t="s">
        <v>277</v>
      </c>
      <c r="AO214" s="12" t="s">
        <v>277</v>
      </c>
      <c r="AP214" s="12" t="s">
        <v>277</v>
      </c>
      <c r="AQ214" s="12" t="s">
        <v>277</v>
      </c>
      <c r="AR214" s="12" t="s">
        <v>277</v>
      </c>
      <c r="AS214" s="12" t="s">
        <v>277</v>
      </c>
      <c r="AT214" s="12" t="s">
        <v>277</v>
      </c>
      <c r="AU214" s="12" t="s">
        <v>277</v>
      </c>
      <c r="AV214" s="12" t="s">
        <v>277</v>
      </c>
      <c r="AW214" s="12" t="s">
        <v>277</v>
      </c>
      <c r="AX214" s="12" t="s">
        <v>277</v>
      </c>
      <c r="AY214" s="12" t="s">
        <v>277</v>
      </c>
      <c r="AZ214" s="12" t="s">
        <v>277</v>
      </c>
      <c r="BA214" s="12" t="s">
        <v>277</v>
      </c>
      <c r="BB214" s="12" t="s">
        <v>277</v>
      </c>
      <c r="BC214" s="12" t="s">
        <v>277</v>
      </c>
      <c r="BD214" s="12" t="s">
        <v>277</v>
      </c>
      <c r="BE214" s="12" t="s">
        <v>322</v>
      </c>
      <c r="BF214" s="12" t="s">
        <v>322</v>
      </c>
      <c r="BG214" s="12" t="s">
        <v>279</v>
      </c>
      <c r="BH214" s="12" t="s">
        <v>280</v>
      </c>
      <c r="BI214" s="12" t="s">
        <v>281</v>
      </c>
      <c r="BJ214" s="12" t="s">
        <v>460</v>
      </c>
      <c r="BK214" s="12" t="s">
        <v>460</v>
      </c>
      <c r="BL214" s="12" t="s">
        <v>690</v>
      </c>
      <c r="BM214" s="12" t="s">
        <v>653</v>
      </c>
      <c r="BN214" s="12" t="s">
        <v>329</v>
      </c>
      <c r="BO214" s="12" t="s">
        <v>691</v>
      </c>
      <c r="BP214" s="12" t="s">
        <v>379</v>
      </c>
      <c r="BQ214" s="12" t="s">
        <v>569</v>
      </c>
      <c r="BR214" s="12" t="s">
        <v>672</v>
      </c>
      <c r="BS214" s="12" t="s">
        <v>288</v>
      </c>
      <c r="BT214" s="12" t="s">
        <v>509</v>
      </c>
      <c r="BU214" s="12" t="s">
        <v>675</v>
      </c>
      <c r="BV214" s="12" t="s">
        <v>380</v>
      </c>
      <c r="BW214" s="12" t="s">
        <v>381</v>
      </c>
      <c r="BX214" s="12" t="s">
        <v>290</v>
      </c>
      <c r="BY214" s="12" t="s">
        <v>677</v>
      </c>
      <c r="BZ214" s="12" t="s">
        <v>561</v>
      </c>
      <c r="CA214" s="12" t="s">
        <v>336</v>
      </c>
      <c r="CB214" s="12" t="s">
        <v>563</v>
      </c>
      <c r="CC214" s="12" t="s">
        <v>959</v>
      </c>
      <c r="CD214" s="12" t="s">
        <v>959</v>
      </c>
      <c r="CE214" s="12" t="s">
        <v>907</v>
      </c>
      <c r="CF214" s="12" t="s">
        <v>907</v>
      </c>
      <c r="CG214" s="12" t="s">
        <v>571</v>
      </c>
      <c r="CH214" s="12" t="s">
        <v>421</v>
      </c>
      <c r="CI214" s="12" t="s">
        <v>421</v>
      </c>
      <c r="CJ214" s="12" t="s">
        <v>421</v>
      </c>
      <c r="CK214" s="12" t="s">
        <v>1052</v>
      </c>
      <c r="CL214" s="12" t="s">
        <v>1052</v>
      </c>
      <c r="CM214" s="12" t="s">
        <v>1052</v>
      </c>
      <c r="CN214" s="12" t="s">
        <v>1052</v>
      </c>
      <c r="CO214" s="12" t="s">
        <v>1052</v>
      </c>
      <c r="CP214" s="12" t="s">
        <v>1052</v>
      </c>
      <c r="CQ214" s="12" t="s">
        <v>510</v>
      </c>
      <c r="CR214" s="12" t="s">
        <v>510</v>
      </c>
      <c r="CS214" s="12" t="s">
        <v>510</v>
      </c>
      <c r="CT214" s="12" t="s">
        <v>510</v>
      </c>
      <c r="CU214" s="12" t="s">
        <v>510</v>
      </c>
      <c r="CV214" s="12" t="s">
        <v>510</v>
      </c>
      <c r="CW214" s="12" t="s">
        <v>1198</v>
      </c>
      <c r="CX214" s="12" t="s">
        <v>1198</v>
      </c>
    </row>
    <row r="215" spans="1:102" hidden="1" x14ac:dyDescent="0.3">
      <c r="A215" s="12" t="s">
        <v>12</v>
      </c>
      <c r="B215" s="12" t="s">
        <v>3708</v>
      </c>
      <c r="C215" s="12" t="s">
        <v>3709</v>
      </c>
      <c r="D215" s="12" t="s">
        <v>2273</v>
      </c>
      <c r="E215" s="12" t="s">
        <v>277</v>
      </c>
      <c r="F215" s="12" t="s">
        <v>277</v>
      </c>
      <c r="G215" s="12" t="s">
        <v>277</v>
      </c>
      <c r="H215" s="12" t="s">
        <v>277</v>
      </c>
      <c r="I215" s="12" t="s">
        <v>277</v>
      </c>
      <c r="J215" s="12" t="s">
        <v>277</v>
      </c>
      <c r="K215" s="12" t="s">
        <v>277</v>
      </c>
      <c r="L215" s="12" t="s">
        <v>277</v>
      </c>
      <c r="M215" s="12" t="s">
        <v>277</v>
      </c>
      <c r="N215" s="12" t="s">
        <v>277</v>
      </c>
      <c r="O215" s="12" t="s">
        <v>277</v>
      </c>
      <c r="P215" s="12" t="s">
        <v>277</v>
      </c>
      <c r="Q215" s="12" t="s">
        <v>277</v>
      </c>
      <c r="R215" s="12" t="s">
        <v>277</v>
      </c>
      <c r="S215" s="12" t="s">
        <v>277</v>
      </c>
      <c r="T215" s="12" t="s">
        <v>277</v>
      </c>
      <c r="U215" s="12" t="s">
        <v>277</v>
      </c>
      <c r="V215" s="12" t="s">
        <v>277</v>
      </c>
      <c r="W215" s="12" t="s">
        <v>277</v>
      </c>
      <c r="X215" s="12" t="s">
        <v>277</v>
      </c>
      <c r="Y215" s="12" t="s">
        <v>277</v>
      </c>
      <c r="Z215" s="12" t="s">
        <v>277</v>
      </c>
      <c r="AA215" s="12" t="s">
        <v>277</v>
      </c>
      <c r="AB215" s="12" t="s">
        <v>277</v>
      </c>
      <c r="AC215" s="12" t="s">
        <v>277</v>
      </c>
      <c r="AD215" s="12" t="s">
        <v>277</v>
      </c>
      <c r="AE215" s="12" t="s">
        <v>277</v>
      </c>
      <c r="AF215" s="12" t="s">
        <v>277</v>
      </c>
      <c r="AG215" s="12" t="s">
        <v>277</v>
      </c>
      <c r="AH215" s="12" t="s">
        <v>277</v>
      </c>
      <c r="AI215" s="12" t="s">
        <v>277</v>
      </c>
      <c r="AJ215" s="12" t="s">
        <v>277</v>
      </c>
      <c r="AK215" s="12" t="s">
        <v>277</v>
      </c>
      <c r="AL215" s="12" t="s">
        <v>277</v>
      </c>
      <c r="AM215" s="12" t="s">
        <v>277</v>
      </c>
      <c r="AN215" s="12" t="s">
        <v>277</v>
      </c>
      <c r="AO215" s="12" t="s">
        <v>277</v>
      </c>
      <c r="AP215" s="12" t="s">
        <v>277</v>
      </c>
      <c r="AQ215" s="12" t="s">
        <v>277</v>
      </c>
      <c r="AR215" s="12" t="s">
        <v>277</v>
      </c>
      <c r="AS215" s="12" t="s">
        <v>277</v>
      </c>
      <c r="AT215" s="12" t="s">
        <v>277</v>
      </c>
      <c r="AU215" s="12" t="s">
        <v>278</v>
      </c>
      <c r="AV215" s="12" t="s">
        <v>278</v>
      </c>
      <c r="AW215" s="12" t="s">
        <v>278</v>
      </c>
      <c r="AX215" s="12" t="s">
        <v>278</v>
      </c>
      <c r="AY215" s="12" t="s">
        <v>322</v>
      </c>
      <c r="AZ215" s="12" t="s">
        <v>322</v>
      </c>
      <c r="BA215" s="12" t="s">
        <v>280</v>
      </c>
      <c r="BB215" s="12" t="s">
        <v>281</v>
      </c>
      <c r="BC215" s="12" t="s">
        <v>281</v>
      </c>
      <c r="BD215" s="12" t="s">
        <v>283</v>
      </c>
      <c r="BE215" s="12" t="s">
        <v>507</v>
      </c>
      <c r="BF215" s="12" t="s">
        <v>507</v>
      </c>
      <c r="BG215" s="12" t="s">
        <v>374</v>
      </c>
      <c r="BH215" s="12" t="s">
        <v>286</v>
      </c>
      <c r="BI215" s="12" t="s">
        <v>652</v>
      </c>
      <c r="BJ215" s="12" t="s">
        <v>417</v>
      </c>
      <c r="BK215" s="12" t="s">
        <v>378</v>
      </c>
      <c r="BL215" s="12" t="s">
        <v>379</v>
      </c>
      <c r="BM215" s="12" t="s">
        <v>419</v>
      </c>
      <c r="BN215" s="12" t="s">
        <v>335</v>
      </c>
      <c r="BO215" s="12" t="s">
        <v>1052</v>
      </c>
      <c r="BP215" s="12" t="s">
        <v>1214</v>
      </c>
      <c r="BQ215" s="12" t="s">
        <v>340</v>
      </c>
      <c r="BR215" s="12" t="s">
        <v>1537</v>
      </c>
      <c r="BS215" s="12" t="s">
        <v>727</v>
      </c>
      <c r="BT215" s="12" t="s">
        <v>1529</v>
      </c>
      <c r="BU215" s="12" t="s">
        <v>1529</v>
      </c>
      <c r="BV215" s="12" t="s">
        <v>1865</v>
      </c>
      <c r="BW215" s="12" t="s">
        <v>301</v>
      </c>
      <c r="BX215" s="12" t="s">
        <v>3408</v>
      </c>
      <c r="BY215" s="12" t="s">
        <v>734</v>
      </c>
      <c r="BZ215" s="12" t="s">
        <v>1422</v>
      </c>
      <c r="CA215" s="12" t="s">
        <v>696</v>
      </c>
      <c r="CB215" s="12" t="s">
        <v>3710</v>
      </c>
      <c r="CC215" s="12" t="s">
        <v>2378</v>
      </c>
      <c r="CD215" s="12" t="s">
        <v>1269</v>
      </c>
      <c r="CE215" s="12" t="s">
        <v>836</v>
      </c>
      <c r="CF215" s="12" t="s">
        <v>3082</v>
      </c>
      <c r="CG215" s="12" t="s">
        <v>697</v>
      </c>
      <c r="CH215" s="12" t="s">
        <v>3226</v>
      </c>
      <c r="CI215" s="12" t="s">
        <v>1921</v>
      </c>
      <c r="CJ215" s="12" t="s">
        <v>1079</v>
      </c>
      <c r="CK215" s="12" t="s">
        <v>1748</v>
      </c>
      <c r="CL215" s="12" t="s">
        <v>526</v>
      </c>
      <c r="CM215" s="12" t="s">
        <v>1984</v>
      </c>
      <c r="CN215" s="12" t="s">
        <v>1984</v>
      </c>
      <c r="CO215" s="12" t="s">
        <v>1664</v>
      </c>
      <c r="CP215" s="12" t="s">
        <v>1162</v>
      </c>
      <c r="CQ215" s="12" t="s">
        <v>1162</v>
      </c>
      <c r="CR215" s="12" t="s">
        <v>3711</v>
      </c>
      <c r="CS215" s="12" t="s">
        <v>3712</v>
      </c>
      <c r="CT215" s="12" t="s">
        <v>1327</v>
      </c>
      <c r="CU215" s="12" t="s">
        <v>4123</v>
      </c>
      <c r="CV215" s="12" t="s">
        <v>2214</v>
      </c>
      <c r="CW215" s="12" t="s">
        <v>532</v>
      </c>
      <c r="CX215" s="12" t="s">
        <v>1085</v>
      </c>
    </row>
    <row r="216" spans="1:102" hidden="1" x14ac:dyDescent="0.3">
      <c r="A216" s="12" t="s">
        <v>12</v>
      </c>
      <c r="B216" s="12" t="s">
        <v>3713</v>
      </c>
      <c r="C216" s="12" t="s">
        <v>3714</v>
      </c>
      <c r="D216" s="12" t="s">
        <v>3715</v>
      </c>
      <c r="E216" s="12" t="s">
        <v>277</v>
      </c>
      <c r="F216" s="12" t="s">
        <v>277</v>
      </c>
      <c r="G216" s="12" t="s">
        <v>277</v>
      </c>
      <c r="H216" s="12" t="s">
        <v>277</v>
      </c>
      <c r="I216" s="12" t="s">
        <v>277</v>
      </c>
      <c r="J216" s="12" t="s">
        <v>277</v>
      </c>
      <c r="K216" s="12" t="s">
        <v>277</v>
      </c>
      <c r="L216" s="12" t="s">
        <v>277</v>
      </c>
      <c r="M216" s="12" t="s">
        <v>277</v>
      </c>
      <c r="N216" s="12" t="s">
        <v>277</v>
      </c>
      <c r="O216" s="12" t="s">
        <v>277</v>
      </c>
      <c r="P216" s="12" t="s">
        <v>277</v>
      </c>
      <c r="Q216" s="12" t="s">
        <v>277</v>
      </c>
      <c r="R216" s="12" t="s">
        <v>277</v>
      </c>
      <c r="S216" s="12" t="s">
        <v>277</v>
      </c>
      <c r="T216" s="12" t="s">
        <v>277</v>
      </c>
      <c r="U216" s="12" t="s">
        <v>277</v>
      </c>
      <c r="V216" s="12" t="s">
        <v>277</v>
      </c>
      <c r="W216" s="12" t="s">
        <v>277</v>
      </c>
      <c r="X216" s="12" t="s">
        <v>277</v>
      </c>
      <c r="Y216" s="12" t="s">
        <v>277</v>
      </c>
      <c r="Z216" s="12" t="s">
        <v>277</v>
      </c>
      <c r="AA216" s="12" t="s">
        <v>277</v>
      </c>
      <c r="AB216" s="12" t="s">
        <v>277</v>
      </c>
      <c r="AC216" s="12" t="s">
        <v>277</v>
      </c>
      <c r="AD216" s="12" t="s">
        <v>277</v>
      </c>
      <c r="AE216" s="12" t="s">
        <v>277</v>
      </c>
      <c r="AF216" s="12" t="s">
        <v>277</v>
      </c>
      <c r="AG216" s="12" t="s">
        <v>277</v>
      </c>
      <c r="AH216" s="12" t="s">
        <v>277</v>
      </c>
      <c r="AI216" s="12" t="s">
        <v>277</v>
      </c>
      <c r="AJ216" s="12" t="s">
        <v>277</v>
      </c>
      <c r="AK216" s="12" t="s">
        <v>277</v>
      </c>
      <c r="AL216" s="12" t="s">
        <v>277</v>
      </c>
      <c r="AM216" s="12" t="s">
        <v>277</v>
      </c>
      <c r="AN216" s="12" t="s">
        <v>277</v>
      </c>
      <c r="AO216" s="12" t="s">
        <v>277</v>
      </c>
      <c r="AP216" s="12" t="s">
        <v>277</v>
      </c>
      <c r="AQ216" s="12" t="s">
        <v>277</v>
      </c>
      <c r="AR216" s="12" t="s">
        <v>277</v>
      </c>
      <c r="AS216" s="12" t="s">
        <v>277</v>
      </c>
      <c r="AT216" s="12" t="s">
        <v>277</v>
      </c>
      <c r="AU216" s="12" t="s">
        <v>277</v>
      </c>
      <c r="AV216" s="12" t="s">
        <v>277</v>
      </c>
      <c r="AW216" s="12" t="s">
        <v>277</v>
      </c>
      <c r="AX216" s="12" t="s">
        <v>277</v>
      </c>
      <c r="AY216" s="12" t="s">
        <v>277</v>
      </c>
      <c r="AZ216" s="12" t="s">
        <v>277</v>
      </c>
      <c r="BA216" s="12" t="s">
        <v>277</v>
      </c>
      <c r="BB216" s="12" t="s">
        <v>278</v>
      </c>
      <c r="BC216" s="12" t="s">
        <v>278</v>
      </c>
      <c r="BD216" s="12" t="s">
        <v>280</v>
      </c>
      <c r="BE216" s="12" t="s">
        <v>280</v>
      </c>
      <c r="BF216" s="12" t="s">
        <v>550</v>
      </c>
      <c r="BG216" s="12" t="s">
        <v>507</v>
      </c>
      <c r="BH216" s="12" t="s">
        <v>671</v>
      </c>
      <c r="BI216" s="12" t="s">
        <v>677</v>
      </c>
      <c r="BJ216" s="12" t="s">
        <v>2537</v>
      </c>
      <c r="BK216" s="12" t="s">
        <v>798</v>
      </c>
      <c r="BL216" s="12" t="s">
        <v>2274</v>
      </c>
      <c r="BM216" s="12" t="s">
        <v>1822</v>
      </c>
      <c r="BN216" s="12" t="s">
        <v>3716</v>
      </c>
      <c r="BO216" s="12" t="s">
        <v>3717</v>
      </c>
      <c r="BP216" s="12" t="s">
        <v>3718</v>
      </c>
      <c r="BQ216" s="12" t="s">
        <v>3719</v>
      </c>
      <c r="BR216" s="12" t="s">
        <v>3720</v>
      </c>
      <c r="BS216" s="12" t="s">
        <v>3721</v>
      </c>
      <c r="BT216" s="12" t="s">
        <v>3722</v>
      </c>
      <c r="BU216" s="12" t="s">
        <v>3723</v>
      </c>
      <c r="BV216" s="12" t="s">
        <v>3724</v>
      </c>
      <c r="BW216" s="12" t="s">
        <v>3725</v>
      </c>
      <c r="BX216" s="12" t="s">
        <v>3726</v>
      </c>
      <c r="BY216" s="12" t="s">
        <v>3727</v>
      </c>
      <c r="BZ216" s="12" t="s">
        <v>3728</v>
      </c>
      <c r="CA216" s="12" t="s">
        <v>3729</v>
      </c>
      <c r="CB216" s="12" t="s">
        <v>3730</v>
      </c>
      <c r="CC216" s="12" t="s">
        <v>3731</v>
      </c>
      <c r="CD216" s="12" t="s">
        <v>3732</v>
      </c>
      <c r="CE216" s="12" t="s">
        <v>3733</v>
      </c>
      <c r="CF216" s="12" t="s">
        <v>3734</v>
      </c>
      <c r="CG216" s="12" t="s">
        <v>3735</v>
      </c>
      <c r="CH216" s="12" t="s">
        <v>3736</v>
      </c>
      <c r="CI216" s="12" t="s">
        <v>3737</v>
      </c>
      <c r="CJ216" s="12" t="s">
        <v>3738</v>
      </c>
      <c r="CK216" s="12" t="s">
        <v>3739</v>
      </c>
      <c r="CL216" s="12" t="s">
        <v>3740</v>
      </c>
      <c r="CM216" s="12" t="s">
        <v>3741</v>
      </c>
      <c r="CN216" s="12" t="s">
        <v>3742</v>
      </c>
      <c r="CO216" s="12" t="s">
        <v>3743</v>
      </c>
      <c r="CP216" s="12" t="s">
        <v>3744</v>
      </c>
      <c r="CQ216" s="12" t="s">
        <v>3745</v>
      </c>
      <c r="CR216" s="12" t="s">
        <v>3746</v>
      </c>
      <c r="CS216" s="12" t="s">
        <v>3747</v>
      </c>
      <c r="CT216" s="12" t="s">
        <v>3748</v>
      </c>
      <c r="CU216" s="12" t="s">
        <v>4322</v>
      </c>
      <c r="CV216" s="12" t="s">
        <v>4323</v>
      </c>
      <c r="CW216" s="12" t="s">
        <v>4324</v>
      </c>
      <c r="CX216" s="12" t="s">
        <v>4325</v>
      </c>
    </row>
    <row r="217" spans="1:102" hidden="1" x14ac:dyDescent="0.3">
      <c r="A217" s="12" t="s">
        <v>12</v>
      </c>
      <c r="B217" s="12" t="s">
        <v>3749</v>
      </c>
      <c r="C217" s="12" t="s">
        <v>3750</v>
      </c>
      <c r="D217" s="12" t="s">
        <v>2480</v>
      </c>
      <c r="E217" s="12" t="s">
        <v>277</v>
      </c>
      <c r="F217" s="12" t="s">
        <v>277</v>
      </c>
      <c r="G217" s="12" t="s">
        <v>277</v>
      </c>
      <c r="H217" s="12" t="s">
        <v>277</v>
      </c>
      <c r="I217" s="12" t="s">
        <v>277</v>
      </c>
      <c r="J217" s="12" t="s">
        <v>277</v>
      </c>
      <c r="K217" s="12" t="s">
        <v>277</v>
      </c>
      <c r="L217" s="12" t="s">
        <v>277</v>
      </c>
      <c r="M217" s="12" t="s">
        <v>277</v>
      </c>
      <c r="N217" s="12" t="s">
        <v>277</v>
      </c>
      <c r="O217" s="12" t="s">
        <v>277</v>
      </c>
      <c r="P217" s="12" t="s">
        <v>277</v>
      </c>
      <c r="Q217" s="12" t="s">
        <v>277</v>
      </c>
      <c r="R217" s="12" t="s">
        <v>277</v>
      </c>
      <c r="S217" s="12" t="s">
        <v>277</v>
      </c>
      <c r="T217" s="12" t="s">
        <v>277</v>
      </c>
      <c r="U217" s="12" t="s">
        <v>277</v>
      </c>
      <c r="V217" s="12" t="s">
        <v>277</v>
      </c>
      <c r="W217" s="12" t="s">
        <v>277</v>
      </c>
      <c r="X217" s="12" t="s">
        <v>277</v>
      </c>
      <c r="Y217" s="12" t="s">
        <v>277</v>
      </c>
      <c r="Z217" s="12" t="s">
        <v>277</v>
      </c>
      <c r="AA217" s="12" t="s">
        <v>277</v>
      </c>
      <c r="AB217" s="12" t="s">
        <v>277</v>
      </c>
      <c r="AC217" s="12" t="s">
        <v>277</v>
      </c>
      <c r="AD217" s="12" t="s">
        <v>277</v>
      </c>
      <c r="AE217" s="12" t="s">
        <v>277</v>
      </c>
      <c r="AF217" s="12" t="s">
        <v>277</v>
      </c>
      <c r="AG217" s="12" t="s">
        <v>277</v>
      </c>
      <c r="AH217" s="12" t="s">
        <v>277</v>
      </c>
      <c r="AI217" s="12" t="s">
        <v>277</v>
      </c>
      <c r="AJ217" s="12" t="s">
        <v>277</v>
      </c>
      <c r="AK217" s="12" t="s">
        <v>277</v>
      </c>
      <c r="AL217" s="12" t="s">
        <v>277</v>
      </c>
      <c r="AM217" s="12" t="s">
        <v>277</v>
      </c>
      <c r="AN217" s="12" t="s">
        <v>277</v>
      </c>
      <c r="AO217" s="12" t="s">
        <v>277</v>
      </c>
      <c r="AP217" s="12" t="s">
        <v>277</v>
      </c>
      <c r="AQ217" s="12" t="s">
        <v>277</v>
      </c>
      <c r="AR217" s="12" t="s">
        <v>277</v>
      </c>
      <c r="AS217" s="12" t="s">
        <v>277</v>
      </c>
      <c r="AT217" s="12" t="s">
        <v>277</v>
      </c>
      <c r="AU217" s="12" t="s">
        <v>277</v>
      </c>
      <c r="AV217" s="12" t="s">
        <v>277</v>
      </c>
      <c r="AW217" s="12" t="s">
        <v>277</v>
      </c>
      <c r="AX217" s="12" t="s">
        <v>277</v>
      </c>
      <c r="AY217" s="12" t="s">
        <v>277</v>
      </c>
      <c r="AZ217" s="12" t="s">
        <v>277</v>
      </c>
      <c r="BA217" s="12" t="s">
        <v>277</v>
      </c>
      <c r="BB217" s="12" t="s">
        <v>277</v>
      </c>
      <c r="BC217" s="12" t="s">
        <v>277</v>
      </c>
      <c r="BD217" s="12" t="s">
        <v>277</v>
      </c>
      <c r="BE217" s="12" t="s">
        <v>277</v>
      </c>
      <c r="BF217" s="12" t="s">
        <v>277</v>
      </c>
      <c r="BG217" s="12" t="s">
        <v>277</v>
      </c>
      <c r="BH217" s="12" t="s">
        <v>277</v>
      </c>
      <c r="BI217" s="12" t="s">
        <v>277</v>
      </c>
      <c r="BJ217" s="12" t="s">
        <v>277</v>
      </c>
      <c r="BK217" s="12" t="s">
        <v>277</v>
      </c>
      <c r="BL217" s="12" t="s">
        <v>278</v>
      </c>
      <c r="BM217" s="12" t="s">
        <v>278</v>
      </c>
      <c r="BN217" s="12" t="s">
        <v>460</v>
      </c>
      <c r="BO217" s="12" t="s">
        <v>460</v>
      </c>
      <c r="BP217" s="12" t="s">
        <v>455</v>
      </c>
      <c r="BQ217" s="12" t="s">
        <v>455</v>
      </c>
      <c r="BR217" s="12" t="s">
        <v>325</v>
      </c>
      <c r="BS217" s="12" t="s">
        <v>1716</v>
      </c>
      <c r="BT217" s="12" t="s">
        <v>326</v>
      </c>
      <c r="BU217" s="12" t="s">
        <v>326</v>
      </c>
      <c r="BV217" s="12" t="s">
        <v>795</v>
      </c>
      <c r="BW217" s="12" t="s">
        <v>795</v>
      </c>
      <c r="BX217" s="12" t="s">
        <v>467</v>
      </c>
      <c r="BY217" s="12" t="s">
        <v>377</v>
      </c>
      <c r="BZ217" s="12" t="s">
        <v>377</v>
      </c>
      <c r="CA217" s="12" t="s">
        <v>508</v>
      </c>
      <c r="CB217" s="12" t="s">
        <v>508</v>
      </c>
      <c r="CC217" s="12" t="s">
        <v>508</v>
      </c>
      <c r="CD217" s="12" t="s">
        <v>418</v>
      </c>
      <c r="CE217" s="12" t="s">
        <v>418</v>
      </c>
      <c r="CF217" s="12" t="s">
        <v>418</v>
      </c>
      <c r="CG217" s="12" t="s">
        <v>418</v>
      </c>
      <c r="CH217" s="12" t="s">
        <v>378</v>
      </c>
      <c r="CI217" s="12" t="s">
        <v>378</v>
      </c>
      <c r="CJ217" s="12" t="s">
        <v>330</v>
      </c>
      <c r="CK217" s="12" t="s">
        <v>330</v>
      </c>
      <c r="CL217" s="12" t="s">
        <v>330</v>
      </c>
      <c r="CM217" s="12" t="s">
        <v>468</v>
      </c>
      <c r="CN217" s="12" t="s">
        <v>330</v>
      </c>
      <c r="CO217" s="12" t="s">
        <v>330</v>
      </c>
      <c r="CP217" s="12" t="s">
        <v>468</v>
      </c>
      <c r="CQ217" s="12" t="s">
        <v>618</v>
      </c>
      <c r="CR217" s="12" t="s">
        <v>879</v>
      </c>
      <c r="CS217" s="12" t="s">
        <v>288</v>
      </c>
      <c r="CT217" s="12" t="s">
        <v>419</v>
      </c>
      <c r="CU217" s="12" t="s">
        <v>419</v>
      </c>
      <c r="CV217" s="12" t="s">
        <v>470</v>
      </c>
      <c r="CW217" s="12" t="s">
        <v>470</v>
      </c>
      <c r="CX217" s="12" t="s">
        <v>470</v>
      </c>
    </row>
    <row r="218" spans="1:102" hidden="1" x14ac:dyDescent="0.3">
      <c r="A218" s="12" t="s">
        <v>12</v>
      </c>
      <c r="B218" s="12" t="s">
        <v>3751</v>
      </c>
      <c r="C218" s="12" t="s">
        <v>3752</v>
      </c>
      <c r="D218" s="12" t="s">
        <v>3753</v>
      </c>
      <c r="E218" s="12" t="s">
        <v>277</v>
      </c>
      <c r="F218" s="12" t="s">
        <v>277</v>
      </c>
      <c r="G218" s="12" t="s">
        <v>277</v>
      </c>
      <c r="H218" s="12" t="s">
        <v>277</v>
      </c>
      <c r="I218" s="12" t="s">
        <v>277</v>
      </c>
      <c r="J218" s="12" t="s">
        <v>277</v>
      </c>
      <c r="K218" s="12" t="s">
        <v>277</v>
      </c>
      <c r="L218" s="12" t="s">
        <v>277</v>
      </c>
      <c r="M218" s="12" t="s">
        <v>277</v>
      </c>
      <c r="N218" s="12" t="s">
        <v>277</v>
      </c>
      <c r="O218" s="12" t="s">
        <v>277</v>
      </c>
      <c r="P218" s="12" t="s">
        <v>277</v>
      </c>
      <c r="Q218" s="12" t="s">
        <v>277</v>
      </c>
      <c r="R218" s="12" t="s">
        <v>277</v>
      </c>
      <c r="S218" s="12" t="s">
        <v>277</v>
      </c>
      <c r="T218" s="12" t="s">
        <v>277</v>
      </c>
      <c r="U218" s="12" t="s">
        <v>277</v>
      </c>
      <c r="V218" s="12" t="s">
        <v>277</v>
      </c>
      <c r="W218" s="12" t="s">
        <v>277</v>
      </c>
      <c r="X218" s="12" t="s">
        <v>277</v>
      </c>
      <c r="Y218" s="12" t="s">
        <v>277</v>
      </c>
      <c r="Z218" s="12" t="s">
        <v>277</v>
      </c>
      <c r="AA218" s="12" t="s">
        <v>277</v>
      </c>
      <c r="AB218" s="12" t="s">
        <v>277</v>
      </c>
      <c r="AC218" s="12" t="s">
        <v>277</v>
      </c>
      <c r="AD218" s="12" t="s">
        <v>277</v>
      </c>
      <c r="AE218" s="12" t="s">
        <v>277</v>
      </c>
      <c r="AF218" s="12" t="s">
        <v>277</v>
      </c>
      <c r="AG218" s="12" t="s">
        <v>277</v>
      </c>
      <c r="AH218" s="12" t="s">
        <v>277</v>
      </c>
      <c r="AI218" s="12" t="s">
        <v>277</v>
      </c>
      <c r="AJ218" s="12" t="s">
        <v>277</v>
      </c>
      <c r="AK218" s="12" t="s">
        <v>277</v>
      </c>
      <c r="AL218" s="12" t="s">
        <v>277</v>
      </c>
      <c r="AM218" s="12" t="s">
        <v>277</v>
      </c>
      <c r="AN218" s="12" t="s">
        <v>277</v>
      </c>
      <c r="AO218" s="12" t="s">
        <v>277</v>
      </c>
      <c r="AP218" s="12" t="s">
        <v>277</v>
      </c>
      <c r="AQ218" s="12" t="s">
        <v>277</v>
      </c>
      <c r="AR218" s="12" t="s">
        <v>277</v>
      </c>
      <c r="AS218" s="12" t="s">
        <v>277</v>
      </c>
      <c r="AT218" s="12" t="s">
        <v>278</v>
      </c>
      <c r="AU218" s="12" t="s">
        <v>278</v>
      </c>
      <c r="AV218" s="12" t="s">
        <v>278</v>
      </c>
      <c r="AW218" s="12" t="s">
        <v>278</v>
      </c>
      <c r="AX218" s="12" t="s">
        <v>278</v>
      </c>
      <c r="AY218" s="12" t="s">
        <v>278</v>
      </c>
      <c r="AZ218" s="12" t="s">
        <v>278</v>
      </c>
      <c r="BA218" s="12" t="s">
        <v>278</v>
      </c>
      <c r="BB218" s="12" t="s">
        <v>278</v>
      </c>
      <c r="BC218" s="12" t="s">
        <v>278</v>
      </c>
      <c r="BD218" s="12" t="s">
        <v>371</v>
      </c>
      <c r="BE218" s="12" t="s">
        <v>371</v>
      </c>
      <c r="BF218" s="12" t="s">
        <v>371</v>
      </c>
      <c r="BG218" s="12" t="s">
        <v>281</v>
      </c>
      <c r="BH218" s="12" t="s">
        <v>455</v>
      </c>
      <c r="BI218" s="12" t="s">
        <v>455</v>
      </c>
      <c r="BJ218" s="12" t="s">
        <v>283</v>
      </c>
      <c r="BK218" s="12" t="s">
        <v>652</v>
      </c>
      <c r="BL218" s="12" t="s">
        <v>671</v>
      </c>
      <c r="BM218" s="12" t="s">
        <v>819</v>
      </c>
      <c r="BN218" s="12" t="s">
        <v>819</v>
      </c>
      <c r="BO218" s="12" t="s">
        <v>471</v>
      </c>
      <c r="BP218" s="12" t="s">
        <v>1584</v>
      </c>
      <c r="BQ218" s="12" t="s">
        <v>1835</v>
      </c>
      <c r="BR218" s="12" t="s">
        <v>1216</v>
      </c>
      <c r="BS218" s="12" t="s">
        <v>1586</v>
      </c>
      <c r="BT218" s="12" t="s">
        <v>357</v>
      </c>
      <c r="BU218" s="12" t="s">
        <v>361</v>
      </c>
      <c r="BV218" s="12" t="s">
        <v>1690</v>
      </c>
      <c r="BW218" s="12" t="s">
        <v>3347</v>
      </c>
      <c r="BX218" s="12" t="s">
        <v>3499</v>
      </c>
      <c r="BY218" s="12" t="s">
        <v>3754</v>
      </c>
      <c r="BZ218" s="12" t="s">
        <v>3095</v>
      </c>
      <c r="CA218" s="12" t="s">
        <v>3755</v>
      </c>
      <c r="CB218" s="12" t="s">
        <v>715</v>
      </c>
      <c r="CC218" s="12" t="s">
        <v>3515</v>
      </c>
      <c r="CD218" s="12" t="s">
        <v>3756</v>
      </c>
      <c r="CE218" s="12" t="s">
        <v>3757</v>
      </c>
      <c r="CF218" s="12" t="s">
        <v>3758</v>
      </c>
      <c r="CG218" s="12" t="s">
        <v>3759</v>
      </c>
      <c r="CH218" s="12" t="s">
        <v>3375</v>
      </c>
      <c r="CI218" s="12" t="s">
        <v>3760</v>
      </c>
      <c r="CJ218" s="12" t="s">
        <v>3761</v>
      </c>
      <c r="CK218" s="12" t="s">
        <v>3234</v>
      </c>
      <c r="CL218" s="12" t="s">
        <v>1337</v>
      </c>
      <c r="CM218" s="12" t="s">
        <v>3762</v>
      </c>
      <c r="CN218" s="12" t="s">
        <v>3763</v>
      </c>
      <c r="CO218" s="12" t="s">
        <v>3764</v>
      </c>
      <c r="CP218" s="12" t="s">
        <v>3765</v>
      </c>
      <c r="CQ218" s="12" t="s">
        <v>3766</v>
      </c>
      <c r="CR218" s="12" t="s">
        <v>3767</v>
      </c>
      <c r="CS218" s="12" t="s">
        <v>3768</v>
      </c>
      <c r="CT218" s="12" t="s">
        <v>4326</v>
      </c>
      <c r="CU218" s="12" t="s">
        <v>3769</v>
      </c>
      <c r="CV218" s="12" t="s">
        <v>4327</v>
      </c>
      <c r="CW218" s="12" t="s">
        <v>4328</v>
      </c>
      <c r="CX218" s="12" t="s">
        <v>4329</v>
      </c>
    </row>
    <row r="219" spans="1:102" hidden="1" x14ac:dyDescent="0.3">
      <c r="A219" s="12" t="s">
        <v>12</v>
      </c>
      <c r="B219" s="12" t="s">
        <v>3770</v>
      </c>
      <c r="C219" s="12" t="s">
        <v>3411</v>
      </c>
      <c r="D219" s="12" t="s">
        <v>3771</v>
      </c>
      <c r="E219" s="12" t="s">
        <v>277</v>
      </c>
      <c r="F219" s="12" t="s">
        <v>277</v>
      </c>
      <c r="G219" s="12" t="s">
        <v>277</v>
      </c>
      <c r="H219" s="12" t="s">
        <v>277</v>
      </c>
      <c r="I219" s="12" t="s">
        <v>277</v>
      </c>
      <c r="J219" s="12" t="s">
        <v>277</v>
      </c>
      <c r="K219" s="12" t="s">
        <v>277</v>
      </c>
      <c r="L219" s="12" t="s">
        <v>279</v>
      </c>
      <c r="M219" s="12" t="s">
        <v>279</v>
      </c>
      <c r="N219" s="12" t="s">
        <v>279</v>
      </c>
      <c r="O219" s="12" t="s">
        <v>279</v>
      </c>
      <c r="P219" s="12" t="s">
        <v>280</v>
      </c>
      <c r="Q219" s="12" t="s">
        <v>280</v>
      </c>
      <c r="R219" s="12" t="s">
        <v>280</v>
      </c>
      <c r="S219" s="12" t="s">
        <v>280</v>
      </c>
      <c r="T219" s="12" t="s">
        <v>280</v>
      </c>
      <c r="U219" s="12" t="s">
        <v>280</v>
      </c>
      <c r="V219" s="12" t="s">
        <v>281</v>
      </c>
      <c r="W219" s="12" t="s">
        <v>281</v>
      </c>
      <c r="X219" s="12" t="s">
        <v>454</v>
      </c>
      <c r="Y219" s="12" t="s">
        <v>454</v>
      </c>
      <c r="Z219" s="12" t="s">
        <v>454</v>
      </c>
      <c r="AA219" s="12" t="s">
        <v>454</v>
      </c>
      <c r="AB219" s="12" t="s">
        <v>454</v>
      </c>
      <c r="AC219" s="12" t="s">
        <v>454</v>
      </c>
      <c r="AD219" s="12" t="s">
        <v>460</v>
      </c>
      <c r="AE219" s="12" t="s">
        <v>460</v>
      </c>
      <c r="AF219" s="12" t="s">
        <v>460</v>
      </c>
      <c r="AG219" s="12" t="s">
        <v>460</v>
      </c>
      <c r="AH219" s="12" t="s">
        <v>460</v>
      </c>
      <c r="AI219" s="12" t="s">
        <v>460</v>
      </c>
      <c r="AJ219" s="12" t="s">
        <v>567</v>
      </c>
      <c r="AK219" s="12" t="s">
        <v>567</v>
      </c>
      <c r="AL219" s="12" t="s">
        <v>567</v>
      </c>
      <c r="AM219" s="12" t="s">
        <v>567</v>
      </c>
      <c r="AN219" s="12" t="s">
        <v>567</v>
      </c>
      <c r="AO219" s="12" t="s">
        <v>567</v>
      </c>
      <c r="AP219" s="12" t="s">
        <v>373</v>
      </c>
      <c r="AQ219" s="12" t="s">
        <v>284</v>
      </c>
      <c r="AR219" s="12" t="s">
        <v>284</v>
      </c>
      <c r="AS219" s="12" t="s">
        <v>284</v>
      </c>
      <c r="AT219" s="12" t="s">
        <v>612</v>
      </c>
      <c r="AU219" s="12" t="s">
        <v>612</v>
      </c>
      <c r="AV219" s="12" t="s">
        <v>652</v>
      </c>
      <c r="AW219" s="12" t="s">
        <v>652</v>
      </c>
      <c r="AX219" s="12" t="s">
        <v>467</v>
      </c>
      <c r="AY219" s="12" t="s">
        <v>467</v>
      </c>
      <c r="AZ219" s="12" t="s">
        <v>467</v>
      </c>
      <c r="BA219" s="12" t="s">
        <v>288</v>
      </c>
      <c r="BB219" s="12" t="s">
        <v>288</v>
      </c>
      <c r="BC219" s="12" t="s">
        <v>823</v>
      </c>
      <c r="BD219" s="12" t="s">
        <v>823</v>
      </c>
      <c r="BE219" s="12" t="s">
        <v>823</v>
      </c>
      <c r="BF219" s="12" t="s">
        <v>677</v>
      </c>
      <c r="BG219" s="12" t="s">
        <v>677</v>
      </c>
      <c r="BH219" s="12" t="s">
        <v>677</v>
      </c>
      <c r="BI219" s="12" t="s">
        <v>421</v>
      </c>
      <c r="BJ219" s="12" t="s">
        <v>724</v>
      </c>
      <c r="BK219" s="12" t="s">
        <v>724</v>
      </c>
      <c r="BL219" s="12" t="s">
        <v>1798</v>
      </c>
      <c r="BM219" s="12" t="s">
        <v>1798</v>
      </c>
      <c r="BN219" s="12" t="s">
        <v>3583</v>
      </c>
      <c r="BO219" s="12" t="s">
        <v>1728</v>
      </c>
      <c r="BP219" s="12" t="s">
        <v>347</v>
      </c>
      <c r="BQ219" s="12" t="s">
        <v>347</v>
      </c>
      <c r="BR219" s="12" t="s">
        <v>1776</v>
      </c>
      <c r="BS219" s="12" t="s">
        <v>1418</v>
      </c>
      <c r="BT219" s="12" t="s">
        <v>1682</v>
      </c>
      <c r="BU219" s="12" t="s">
        <v>3772</v>
      </c>
      <c r="BV219" s="12" t="s">
        <v>3773</v>
      </c>
      <c r="BW219" s="12" t="s">
        <v>1923</v>
      </c>
      <c r="BX219" s="12" t="s">
        <v>648</v>
      </c>
      <c r="BY219" s="12" t="s">
        <v>1831</v>
      </c>
      <c r="BZ219" s="12" t="s">
        <v>3516</v>
      </c>
      <c r="CA219" s="12" t="s">
        <v>3774</v>
      </c>
      <c r="CB219" s="12" t="s">
        <v>3775</v>
      </c>
      <c r="CC219" s="12" t="s">
        <v>3776</v>
      </c>
      <c r="CD219" s="12" t="s">
        <v>3777</v>
      </c>
      <c r="CE219" s="12" t="s">
        <v>3778</v>
      </c>
      <c r="CF219" s="12" t="s">
        <v>3779</v>
      </c>
      <c r="CG219" s="12" t="s">
        <v>2749</v>
      </c>
      <c r="CH219" s="12" t="s">
        <v>3780</v>
      </c>
      <c r="CI219" s="12" t="s">
        <v>3781</v>
      </c>
      <c r="CJ219" s="12" t="s">
        <v>3782</v>
      </c>
      <c r="CK219" s="12" t="s">
        <v>3783</v>
      </c>
      <c r="CL219" s="12" t="s">
        <v>3784</v>
      </c>
      <c r="CM219" s="12" t="s">
        <v>3785</v>
      </c>
      <c r="CN219" s="12" t="s">
        <v>3785</v>
      </c>
      <c r="CO219" s="12" t="s">
        <v>3786</v>
      </c>
      <c r="CP219" s="12" t="s">
        <v>3787</v>
      </c>
      <c r="CQ219" s="12" t="s">
        <v>2758</v>
      </c>
      <c r="CR219" s="12" t="s">
        <v>3788</v>
      </c>
      <c r="CS219" s="12" t="s">
        <v>3789</v>
      </c>
      <c r="CT219" s="12" t="s">
        <v>3790</v>
      </c>
      <c r="CU219" s="12" t="s">
        <v>4330</v>
      </c>
      <c r="CV219" s="12" t="s">
        <v>4331</v>
      </c>
      <c r="CW219" s="12" t="s">
        <v>4332</v>
      </c>
      <c r="CX219" s="12" t="s">
        <v>4333</v>
      </c>
    </row>
    <row r="220" spans="1:102" hidden="1" x14ac:dyDescent="0.3">
      <c r="A220" s="12" t="s">
        <v>3791</v>
      </c>
      <c r="B220" s="12" t="s">
        <v>3792</v>
      </c>
      <c r="C220" s="12" t="s">
        <v>3793</v>
      </c>
      <c r="D220" s="12" t="s">
        <v>3794</v>
      </c>
      <c r="E220" s="12" t="s">
        <v>277</v>
      </c>
      <c r="F220" s="12" t="s">
        <v>277</v>
      </c>
      <c r="G220" s="12" t="s">
        <v>277</v>
      </c>
      <c r="H220" s="12" t="s">
        <v>277</v>
      </c>
      <c r="I220" s="12" t="s">
        <v>277</v>
      </c>
      <c r="J220" s="12" t="s">
        <v>277</v>
      </c>
      <c r="K220" s="12" t="s">
        <v>277</v>
      </c>
      <c r="L220" s="12" t="s">
        <v>277</v>
      </c>
      <c r="M220" s="12" t="s">
        <v>277</v>
      </c>
      <c r="N220" s="12" t="s">
        <v>277</v>
      </c>
      <c r="O220" s="12" t="s">
        <v>277</v>
      </c>
      <c r="P220" s="12" t="s">
        <v>277</v>
      </c>
      <c r="Q220" s="12" t="s">
        <v>277</v>
      </c>
      <c r="R220" s="12" t="s">
        <v>277</v>
      </c>
      <c r="S220" s="12" t="s">
        <v>277</v>
      </c>
      <c r="T220" s="12" t="s">
        <v>277</v>
      </c>
      <c r="U220" s="12" t="s">
        <v>277</v>
      </c>
      <c r="V220" s="12" t="s">
        <v>277</v>
      </c>
      <c r="W220" s="12" t="s">
        <v>277</v>
      </c>
      <c r="X220" s="12" t="s">
        <v>277</v>
      </c>
      <c r="Y220" s="12" t="s">
        <v>277</v>
      </c>
      <c r="Z220" s="12" t="s">
        <v>277</v>
      </c>
      <c r="AA220" s="12" t="s">
        <v>277</v>
      </c>
      <c r="AB220" s="12" t="s">
        <v>277</v>
      </c>
      <c r="AC220" s="12" t="s">
        <v>277</v>
      </c>
      <c r="AD220" s="12" t="s">
        <v>277</v>
      </c>
      <c r="AE220" s="12" t="s">
        <v>277</v>
      </c>
      <c r="AF220" s="12" t="s">
        <v>277</v>
      </c>
      <c r="AG220" s="12" t="s">
        <v>277</v>
      </c>
      <c r="AH220" s="12" t="s">
        <v>277</v>
      </c>
      <c r="AI220" s="12" t="s">
        <v>277</v>
      </c>
      <c r="AJ220" s="12" t="s">
        <v>277</v>
      </c>
      <c r="AK220" s="12" t="s">
        <v>277</v>
      </c>
      <c r="AL220" s="12" t="s">
        <v>277</v>
      </c>
      <c r="AM220" s="12" t="s">
        <v>277</v>
      </c>
      <c r="AN220" s="12" t="s">
        <v>277</v>
      </c>
      <c r="AO220" s="12" t="s">
        <v>277</v>
      </c>
      <c r="AP220" s="12" t="s">
        <v>277</v>
      </c>
      <c r="AQ220" s="12" t="s">
        <v>277</v>
      </c>
      <c r="AR220" s="12" t="s">
        <v>277</v>
      </c>
      <c r="AS220" s="12" t="s">
        <v>277</v>
      </c>
      <c r="AT220" s="12" t="s">
        <v>277</v>
      </c>
      <c r="AU220" s="12" t="s">
        <v>277</v>
      </c>
      <c r="AV220" s="12" t="s">
        <v>277</v>
      </c>
      <c r="AW220" s="12" t="s">
        <v>277</v>
      </c>
      <c r="AX220" s="12" t="s">
        <v>277</v>
      </c>
      <c r="AY220" s="12" t="s">
        <v>277</v>
      </c>
      <c r="AZ220" s="12" t="s">
        <v>277</v>
      </c>
      <c r="BA220" s="12" t="s">
        <v>277</v>
      </c>
      <c r="BB220" s="12" t="s">
        <v>277</v>
      </c>
      <c r="BC220" s="12" t="s">
        <v>277</v>
      </c>
      <c r="BD220" s="12" t="s">
        <v>277</v>
      </c>
      <c r="BE220" s="12" t="s">
        <v>277</v>
      </c>
      <c r="BF220" s="12" t="s">
        <v>277</v>
      </c>
      <c r="BG220" s="12" t="s">
        <v>277</v>
      </c>
      <c r="BH220" s="12" t="s">
        <v>277</v>
      </c>
      <c r="BI220" s="12" t="s">
        <v>277</v>
      </c>
      <c r="BJ220" s="12" t="s">
        <v>322</v>
      </c>
      <c r="BK220" s="12" t="s">
        <v>322</v>
      </c>
      <c r="BL220" s="12" t="s">
        <v>322</v>
      </c>
      <c r="BM220" s="12" t="s">
        <v>550</v>
      </c>
      <c r="BN220" s="12" t="s">
        <v>550</v>
      </c>
      <c r="BO220" s="12" t="s">
        <v>550</v>
      </c>
      <c r="BP220" s="12" t="s">
        <v>281</v>
      </c>
      <c r="BQ220" s="12" t="s">
        <v>461</v>
      </c>
      <c r="BR220" s="12" t="s">
        <v>372</v>
      </c>
      <c r="BS220" s="12" t="s">
        <v>372</v>
      </c>
      <c r="BT220" s="12" t="s">
        <v>285</v>
      </c>
      <c r="BU220" s="12" t="s">
        <v>612</v>
      </c>
      <c r="BV220" s="12" t="s">
        <v>551</v>
      </c>
      <c r="BW220" s="12" t="s">
        <v>551</v>
      </c>
      <c r="BX220" s="12" t="s">
        <v>616</v>
      </c>
      <c r="BY220" s="12" t="s">
        <v>616</v>
      </c>
      <c r="BZ220" s="12" t="s">
        <v>616</v>
      </c>
      <c r="CA220" s="12" t="s">
        <v>376</v>
      </c>
      <c r="CB220" s="12" t="s">
        <v>417</v>
      </c>
      <c r="CC220" s="12" t="s">
        <v>417</v>
      </c>
      <c r="CD220" s="12" t="s">
        <v>417</v>
      </c>
      <c r="CE220" s="12" t="s">
        <v>377</v>
      </c>
      <c r="CF220" s="12" t="s">
        <v>377</v>
      </c>
      <c r="CG220" s="12" t="s">
        <v>377</v>
      </c>
      <c r="CH220" s="12" t="s">
        <v>691</v>
      </c>
      <c r="CI220" s="12" t="s">
        <v>691</v>
      </c>
      <c r="CJ220" s="12" t="s">
        <v>691</v>
      </c>
      <c r="CK220" s="12" t="s">
        <v>883</v>
      </c>
      <c r="CL220" s="12" t="s">
        <v>883</v>
      </c>
      <c r="CM220" s="12" t="s">
        <v>1051</v>
      </c>
      <c r="CN220" s="12" t="s">
        <v>1051</v>
      </c>
      <c r="CO220" s="12" t="s">
        <v>676</v>
      </c>
      <c r="CP220" s="12" t="s">
        <v>676</v>
      </c>
      <c r="CQ220" s="12" t="s">
        <v>676</v>
      </c>
      <c r="CR220" s="12" t="s">
        <v>559</v>
      </c>
      <c r="CS220" s="12" t="s">
        <v>559</v>
      </c>
      <c r="CT220" s="12" t="s">
        <v>559</v>
      </c>
      <c r="CU220" s="12" t="s">
        <v>907</v>
      </c>
      <c r="CV220" s="12" t="s">
        <v>907</v>
      </c>
      <c r="CW220" s="12" t="s">
        <v>291</v>
      </c>
      <c r="CX220" s="12" t="s">
        <v>291</v>
      </c>
    </row>
    <row r="221" spans="1:102" hidden="1" x14ac:dyDescent="0.3">
      <c r="A221" s="12" t="s">
        <v>3795</v>
      </c>
      <c r="B221" s="12" t="s">
        <v>3792</v>
      </c>
      <c r="C221" s="12" t="s">
        <v>3796</v>
      </c>
      <c r="D221" s="12" t="s">
        <v>3797</v>
      </c>
      <c r="E221" s="12" t="s">
        <v>277</v>
      </c>
      <c r="F221" s="12" t="s">
        <v>277</v>
      </c>
      <c r="G221" s="12" t="s">
        <v>277</v>
      </c>
      <c r="H221" s="12" t="s">
        <v>277</v>
      </c>
      <c r="I221" s="12" t="s">
        <v>277</v>
      </c>
      <c r="J221" s="12" t="s">
        <v>277</v>
      </c>
      <c r="K221" s="12" t="s">
        <v>277</v>
      </c>
      <c r="L221" s="12" t="s">
        <v>277</v>
      </c>
      <c r="M221" s="12" t="s">
        <v>277</v>
      </c>
      <c r="N221" s="12" t="s">
        <v>277</v>
      </c>
      <c r="O221" s="12" t="s">
        <v>277</v>
      </c>
      <c r="P221" s="12" t="s">
        <v>277</v>
      </c>
      <c r="Q221" s="12" t="s">
        <v>277</v>
      </c>
      <c r="R221" s="12" t="s">
        <v>277</v>
      </c>
      <c r="S221" s="12" t="s">
        <v>277</v>
      </c>
      <c r="T221" s="12" t="s">
        <v>277</v>
      </c>
      <c r="U221" s="12" t="s">
        <v>277</v>
      </c>
      <c r="V221" s="12" t="s">
        <v>277</v>
      </c>
      <c r="W221" s="12" t="s">
        <v>277</v>
      </c>
      <c r="X221" s="12" t="s">
        <v>277</v>
      </c>
      <c r="Y221" s="12" t="s">
        <v>277</v>
      </c>
      <c r="Z221" s="12" t="s">
        <v>277</v>
      </c>
      <c r="AA221" s="12" t="s">
        <v>277</v>
      </c>
      <c r="AB221" s="12" t="s">
        <v>277</v>
      </c>
      <c r="AC221" s="12" t="s">
        <v>277</v>
      </c>
      <c r="AD221" s="12" t="s">
        <v>277</v>
      </c>
      <c r="AE221" s="12" t="s">
        <v>277</v>
      </c>
      <c r="AF221" s="12" t="s">
        <v>277</v>
      </c>
      <c r="AG221" s="12" t="s">
        <v>277</v>
      </c>
      <c r="AH221" s="12" t="s">
        <v>277</v>
      </c>
      <c r="AI221" s="12" t="s">
        <v>277</v>
      </c>
      <c r="AJ221" s="12" t="s">
        <v>277</v>
      </c>
      <c r="AK221" s="12" t="s">
        <v>277</v>
      </c>
      <c r="AL221" s="12" t="s">
        <v>277</v>
      </c>
      <c r="AM221" s="12" t="s">
        <v>277</v>
      </c>
      <c r="AN221" s="12" t="s">
        <v>277</v>
      </c>
      <c r="AO221" s="12" t="s">
        <v>277</v>
      </c>
      <c r="AP221" s="12" t="s">
        <v>277</v>
      </c>
      <c r="AQ221" s="12" t="s">
        <v>277</v>
      </c>
      <c r="AR221" s="12" t="s">
        <v>277</v>
      </c>
      <c r="AS221" s="12" t="s">
        <v>277</v>
      </c>
      <c r="AT221" s="12" t="s">
        <v>277</v>
      </c>
      <c r="AU221" s="12" t="s">
        <v>277</v>
      </c>
      <c r="AV221" s="12" t="s">
        <v>277</v>
      </c>
      <c r="AW221" s="12" t="s">
        <v>277</v>
      </c>
      <c r="AX221" s="12" t="s">
        <v>277</v>
      </c>
      <c r="AY221" s="12" t="s">
        <v>277</v>
      </c>
      <c r="AZ221" s="12" t="s">
        <v>277</v>
      </c>
      <c r="BA221" s="12" t="s">
        <v>277</v>
      </c>
      <c r="BB221" s="12" t="s">
        <v>277</v>
      </c>
      <c r="BC221" s="12" t="s">
        <v>277</v>
      </c>
      <c r="BD221" s="12" t="s">
        <v>278</v>
      </c>
      <c r="BE221" s="12" t="s">
        <v>278</v>
      </c>
      <c r="BF221" s="12" t="s">
        <v>278</v>
      </c>
      <c r="BG221" s="12" t="s">
        <v>278</v>
      </c>
      <c r="BH221" s="12" t="s">
        <v>278</v>
      </c>
      <c r="BI221" s="12" t="s">
        <v>278</v>
      </c>
      <c r="BJ221" s="12" t="s">
        <v>371</v>
      </c>
      <c r="BK221" s="12" t="s">
        <v>371</v>
      </c>
      <c r="BL221" s="12" t="s">
        <v>371</v>
      </c>
      <c r="BM221" s="12" t="s">
        <v>371</v>
      </c>
      <c r="BN221" s="12" t="s">
        <v>280</v>
      </c>
      <c r="BO221" s="12" t="s">
        <v>550</v>
      </c>
      <c r="BP221" s="12" t="s">
        <v>454</v>
      </c>
      <c r="BQ221" s="12" t="s">
        <v>454</v>
      </c>
      <c r="BR221" s="12" t="s">
        <v>454</v>
      </c>
      <c r="BS221" s="12" t="s">
        <v>454</v>
      </c>
      <c r="BT221" s="12" t="s">
        <v>454</v>
      </c>
      <c r="BU221" s="12" t="s">
        <v>324</v>
      </c>
      <c r="BV221" s="12" t="s">
        <v>455</v>
      </c>
      <c r="BW221" s="12" t="s">
        <v>285</v>
      </c>
      <c r="BX221" s="12" t="s">
        <v>568</v>
      </c>
      <c r="BY221" s="12" t="s">
        <v>568</v>
      </c>
      <c r="BZ221" s="12" t="s">
        <v>616</v>
      </c>
      <c r="CA221" s="12" t="s">
        <v>616</v>
      </c>
      <c r="CB221" s="12" t="s">
        <v>417</v>
      </c>
      <c r="CC221" s="12" t="s">
        <v>467</v>
      </c>
      <c r="CD221" s="12" t="s">
        <v>467</v>
      </c>
      <c r="CE221" s="12" t="s">
        <v>467</v>
      </c>
      <c r="CF221" s="12" t="s">
        <v>467</v>
      </c>
      <c r="CG221" s="12" t="s">
        <v>467</v>
      </c>
      <c r="CH221" s="12" t="s">
        <v>418</v>
      </c>
      <c r="CI221" s="12" t="s">
        <v>418</v>
      </c>
      <c r="CJ221" s="12" t="s">
        <v>378</v>
      </c>
      <c r="CK221" s="12" t="s">
        <v>378</v>
      </c>
      <c r="CL221" s="12" t="s">
        <v>379</v>
      </c>
      <c r="CM221" s="12" t="s">
        <v>618</v>
      </c>
      <c r="CN221" s="12" t="s">
        <v>618</v>
      </c>
      <c r="CO221" s="12" t="s">
        <v>618</v>
      </c>
      <c r="CP221" s="12" t="s">
        <v>672</v>
      </c>
      <c r="CQ221" s="12" t="s">
        <v>672</v>
      </c>
      <c r="CR221" s="12" t="s">
        <v>672</v>
      </c>
      <c r="CS221" s="12" t="s">
        <v>672</v>
      </c>
      <c r="CT221" s="12" t="s">
        <v>333</v>
      </c>
      <c r="CU221" s="12" t="s">
        <v>333</v>
      </c>
      <c r="CV221" s="12" t="s">
        <v>333</v>
      </c>
      <c r="CW221" s="12" t="s">
        <v>333</v>
      </c>
      <c r="CX221" s="12" t="s">
        <v>333</v>
      </c>
    </row>
    <row r="222" spans="1:102" hidden="1" x14ac:dyDescent="0.3">
      <c r="A222" s="12" t="s">
        <v>3798</v>
      </c>
      <c r="B222" s="12" t="s">
        <v>3792</v>
      </c>
      <c r="C222" s="12" t="s">
        <v>3799</v>
      </c>
      <c r="D222" s="12" t="s">
        <v>3800</v>
      </c>
      <c r="E222" s="12" t="s">
        <v>277</v>
      </c>
      <c r="F222" s="12" t="s">
        <v>277</v>
      </c>
      <c r="G222" s="12" t="s">
        <v>277</v>
      </c>
      <c r="H222" s="12" t="s">
        <v>277</v>
      </c>
      <c r="I222" s="12" t="s">
        <v>277</v>
      </c>
      <c r="J222" s="12" t="s">
        <v>277</v>
      </c>
      <c r="K222" s="12" t="s">
        <v>277</v>
      </c>
      <c r="L222" s="12" t="s">
        <v>277</v>
      </c>
      <c r="M222" s="12" t="s">
        <v>277</v>
      </c>
      <c r="N222" s="12" t="s">
        <v>277</v>
      </c>
      <c r="O222" s="12" t="s">
        <v>277</v>
      </c>
      <c r="P222" s="12" t="s">
        <v>277</v>
      </c>
      <c r="Q222" s="12" t="s">
        <v>277</v>
      </c>
      <c r="R222" s="12" t="s">
        <v>277</v>
      </c>
      <c r="S222" s="12" t="s">
        <v>277</v>
      </c>
      <c r="T222" s="12" t="s">
        <v>277</v>
      </c>
      <c r="U222" s="12" t="s">
        <v>277</v>
      </c>
      <c r="V222" s="12" t="s">
        <v>277</v>
      </c>
      <c r="W222" s="12" t="s">
        <v>277</v>
      </c>
      <c r="X222" s="12" t="s">
        <v>277</v>
      </c>
      <c r="Y222" s="12" t="s">
        <v>277</v>
      </c>
      <c r="Z222" s="12" t="s">
        <v>277</v>
      </c>
      <c r="AA222" s="12" t="s">
        <v>277</v>
      </c>
      <c r="AB222" s="12" t="s">
        <v>277</v>
      </c>
      <c r="AC222" s="12" t="s">
        <v>277</v>
      </c>
      <c r="AD222" s="12" t="s">
        <v>277</v>
      </c>
      <c r="AE222" s="12" t="s">
        <v>277</v>
      </c>
      <c r="AF222" s="12" t="s">
        <v>277</v>
      </c>
      <c r="AG222" s="12" t="s">
        <v>277</v>
      </c>
      <c r="AH222" s="12" t="s">
        <v>277</v>
      </c>
      <c r="AI222" s="12" t="s">
        <v>277</v>
      </c>
      <c r="AJ222" s="12" t="s">
        <v>277</v>
      </c>
      <c r="AK222" s="12" t="s">
        <v>277</v>
      </c>
      <c r="AL222" s="12" t="s">
        <v>277</v>
      </c>
      <c r="AM222" s="12" t="s">
        <v>277</v>
      </c>
      <c r="AN222" s="12" t="s">
        <v>277</v>
      </c>
      <c r="AO222" s="12" t="s">
        <v>277</v>
      </c>
      <c r="AP222" s="12" t="s">
        <v>277</v>
      </c>
      <c r="AQ222" s="12" t="s">
        <v>277</v>
      </c>
      <c r="AR222" s="12" t="s">
        <v>277</v>
      </c>
      <c r="AS222" s="12" t="s">
        <v>277</v>
      </c>
      <c r="AT222" s="12" t="s">
        <v>277</v>
      </c>
      <c r="AU222" s="12" t="s">
        <v>277</v>
      </c>
      <c r="AV222" s="12" t="s">
        <v>277</v>
      </c>
      <c r="AW222" s="12" t="s">
        <v>277</v>
      </c>
      <c r="AX222" s="12" t="s">
        <v>277</v>
      </c>
      <c r="AY222" s="12" t="s">
        <v>277</v>
      </c>
      <c r="AZ222" s="12" t="s">
        <v>277</v>
      </c>
      <c r="BA222" s="12" t="s">
        <v>278</v>
      </c>
      <c r="BB222" s="12" t="s">
        <v>322</v>
      </c>
      <c r="BC222" s="12" t="s">
        <v>322</v>
      </c>
      <c r="BD222" s="12" t="s">
        <v>322</v>
      </c>
      <c r="BE222" s="12" t="s">
        <v>322</v>
      </c>
      <c r="BF222" s="12" t="s">
        <v>371</v>
      </c>
      <c r="BG222" s="12" t="s">
        <v>550</v>
      </c>
      <c r="BH222" s="12" t="s">
        <v>550</v>
      </c>
      <c r="BI222" s="12" t="s">
        <v>550</v>
      </c>
      <c r="BJ222" s="12" t="s">
        <v>282</v>
      </c>
      <c r="BK222" s="12" t="s">
        <v>455</v>
      </c>
      <c r="BL222" s="12" t="s">
        <v>551</v>
      </c>
      <c r="BM222" s="12" t="s">
        <v>551</v>
      </c>
      <c r="BN222" s="12" t="s">
        <v>670</v>
      </c>
      <c r="BO222" s="12" t="s">
        <v>670</v>
      </c>
      <c r="BP222" s="12" t="s">
        <v>617</v>
      </c>
      <c r="BQ222" s="12" t="s">
        <v>672</v>
      </c>
      <c r="BR222" s="12" t="s">
        <v>420</v>
      </c>
      <c r="BS222" s="12" t="s">
        <v>471</v>
      </c>
      <c r="BT222" s="12" t="s">
        <v>1197</v>
      </c>
      <c r="BU222" s="12" t="s">
        <v>1711</v>
      </c>
      <c r="BV222" s="12" t="s">
        <v>1711</v>
      </c>
      <c r="BW222" s="12" t="s">
        <v>1513</v>
      </c>
      <c r="BX222" s="12" t="s">
        <v>1121</v>
      </c>
      <c r="BY222" s="12" t="s">
        <v>1205</v>
      </c>
      <c r="BZ222" s="12" t="s">
        <v>1192</v>
      </c>
      <c r="CA222" s="12" t="s">
        <v>1528</v>
      </c>
      <c r="CB222" s="12" t="s">
        <v>980</v>
      </c>
      <c r="CC222" s="12" t="s">
        <v>1754</v>
      </c>
      <c r="CD222" s="12" t="s">
        <v>886</v>
      </c>
      <c r="CE222" s="12" t="s">
        <v>348</v>
      </c>
      <c r="CF222" s="12" t="s">
        <v>2824</v>
      </c>
      <c r="CG222" s="12" t="s">
        <v>519</v>
      </c>
      <c r="CH222" s="12" t="s">
        <v>2922</v>
      </c>
      <c r="CI222" s="12" t="s">
        <v>577</v>
      </c>
      <c r="CJ222" s="12" t="s">
        <v>887</v>
      </c>
      <c r="CK222" s="12" t="s">
        <v>2377</v>
      </c>
      <c r="CL222" s="12" t="s">
        <v>1068</v>
      </c>
      <c r="CM222" s="12" t="s">
        <v>1542</v>
      </c>
      <c r="CN222" s="12" t="s">
        <v>303</v>
      </c>
      <c r="CO222" s="12" t="s">
        <v>1545</v>
      </c>
      <c r="CP222" s="12" t="s">
        <v>1545</v>
      </c>
      <c r="CQ222" s="12" t="s">
        <v>3801</v>
      </c>
      <c r="CR222" s="12" t="s">
        <v>1762</v>
      </c>
      <c r="CS222" s="12" t="s">
        <v>304</v>
      </c>
      <c r="CT222" s="12" t="s">
        <v>1735</v>
      </c>
      <c r="CU222" s="12" t="s">
        <v>436</v>
      </c>
      <c r="CV222" s="12" t="s">
        <v>436</v>
      </c>
      <c r="CW222" s="12" t="s">
        <v>436</v>
      </c>
      <c r="CX222" s="12" t="s">
        <v>1367</v>
      </c>
    </row>
    <row r="223" spans="1:102" hidden="1" x14ac:dyDescent="0.3">
      <c r="A223" s="12" t="s">
        <v>3802</v>
      </c>
      <c r="B223" s="12" t="s">
        <v>3792</v>
      </c>
      <c r="C223" s="12" t="s">
        <v>3803</v>
      </c>
      <c r="D223" s="12" t="s">
        <v>3804</v>
      </c>
      <c r="E223" s="12" t="s">
        <v>277</v>
      </c>
      <c r="F223" s="12" t="s">
        <v>277</v>
      </c>
      <c r="G223" s="12" t="s">
        <v>277</v>
      </c>
      <c r="H223" s="12" t="s">
        <v>277</v>
      </c>
      <c r="I223" s="12" t="s">
        <v>277</v>
      </c>
      <c r="J223" s="12" t="s">
        <v>277</v>
      </c>
      <c r="K223" s="12" t="s">
        <v>277</v>
      </c>
      <c r="L223" s="12" t="s">
        <v>277</v>
      </c>
      <c r="M223" s="12" t="s">
        <v>277</v>
      </c>
      <c r="N223" s="12" t="s">
        <v>277</v>
      </c>
      <c r="O223" s="12" t="s">
        <v>277</v>
      </c>
      <c r="P223" s="12" t="s">
        <v>277</v>
      </c>
      <c r="Q223" s="12" t="s">
        <v>277</v>
      </c>
      <c r="R223" s="12" t="s">
        <v>277</v>
      </c>
      <c r="S223" s="12" t="s">
        <v>277</v>
      </c>
      <c r="T223" s="12" t="s">
        <v>277</v>
      </c>
      <c r="U223" s="12" t="s">
        <v>277</v>
      </c>
      <c r="V223" s="12" t="s">
        <v>277</v>
      </c>
      <c r="W223" s="12" t="s">
        <v>277</v>
      </c>
      <c r="X223" s="12" t="s">
        <v>277</v>
      </c>
      <c r="Y223" s="12" t="s">
        <v>277</v>
      </c>
      <c r="Z223" s="12" t="s">
        <v>277</v>
      </c>
      <c r="AA223" s="12" t="s">
        <v>277</v>
      </c>
      <c r="AB223" s="12" t="s">
        <v>277</v>
      </c>
      <c r="AC223" s="12" t="s">
        <v>277</v>
      </c>
      <c r="AD223" s="12" t="s">
        <v>277</v>
      </c>
      <c r="AE223" s="12" t="s">
        <v>277</v>
      </c>
      <c r="AF223" s="12" t="s">
        <v>277</v>
      </c>
      <c r="AG223" s="12" t="s">
        <v>277</v>
      </c>
      <c r="AH223" s="12" t="s">
        <v>277</v>
      </c>
      <c r="AI223" s="12" t="s">
        <v>277</v>
      </c>
      <c r="AJ223" s="12" t="s">
        <v>277</v>
      </c>
      <c r="AK223" s="12" t="s">
        <v>277</v>
      </c>
      <c r="AL223" s="12" t="s">
        <v>277</v>
      </c>
      <c r="AM223" s="12" t="s">
        <v>277</v>
      </c>
      <c r="AN223" s="12" t="s">
        <v>277</v>
      </c>
      <c r="AO223" s="12" t="s">
        <v>277</v>
      </c>
      <c r="AP223" s="12" t="s">
        <v>277</v>
      </c>
      <c r="AQ223" s="12" t="s">
        <v>277</v>
      </c>
      <c r="AR223" s="12" t="s">
        <v>277</v>
      </c>
      <c r="AS223" s="12" t="s">
        <v>277</v>
      </c>
      <c r="AT223" s="12" t="s">
        <v>277</v>
      </c>
      <c r="AU223" s="12" t="s">
        <v>278</v>
      </c>
      <c r="AV223" s="12" t="s">
        <v>278</v>
      </c>
      <c r="AW223" s="12" t="s">
        <v>278</v>
      </c>
      <c r="AX223" s="12" t="s">
        <v>278</v>
      </c>
      <c r="AY223" s="12" t="s">
        <v>278</v>
      </c>
      <c r="AZ223" s="12" t="s">
        <v>278</v>
      </c>
      <c r="BA223" s="12" t="s">
        <v>278</v>
      </c>
      <c r="BB223" s="12" t="s">
        <v>278</v>
      </c>
      <c r="BC223" s="12" t="s">
        <v>278</v>
      </c>
      <c r="BD223" s="12" t="s">
        <v>278</v>
      </c>
      <c r="BE223" s="12" t="s">
        <v>278</v>
      </c>
      <c r="BF223" s="12" t="s">
        <v>278</v>
      </c>
      <c r="BG223" s="12" t="s">
        <v>278</v>
      </c>
      <c r="BH223" s="12" t="s">
        <v>371</v>
      </c>
      <c r="BI223" s="12" t="s">
        <v>454</v>
      </c>
      <c r="BJ223" s="12" t="s">
        <v>323</v>
      </c>
      <c r="BK223" s="12" t="s">
        <v>323</v>
      </c>
      <c r="BL223" s="12" t="s">
        <v>323</v>
      </c>
      <c r="BM223" s="12" t="s">
        <v>461</v>
      </c>
      <c r="BN223" s="12" t="s">
        <v>461</v>
      </c>
      <c r="BO223" s="12" t="s">
        <v>461</v>
      </c>
      <c r="BP223" s="12" t="s">
        <v>375</v>
      </c>
      <c r="BQ223" s="12" t="s">
        <v>616</v>
      </c>
      <c r="BR223" s="12" t="s">
        <v>330</v>
      </c>
      <c r="BS223" s="12" t="s">
        <v>468</v>
      </c>
      <c r="BT223" s="12" t="s">
        <v>569</v>
      </c>
      <c r="BU223" s="12" t="s">
        <v>673</v>
      </c>
      <c r="BV223" s="12" t="s">
        <v>673</v>
      </c>
      <c r="BW223" s="12" t="s">
        <v>883</v>
      </c>
      <c r="BX223" s="12" t="s">
        <v>420</v>
      </c>
      <c r="BY223" s="12" t="s">
        <v>824</v>
      </c>
      <c r="BZ223" s="12" t="s">
        <v>677</v>
      </c>
      <c r="CA223" s="12" t="s">
        <v>561</v>
      </c>
      <c r="CB223" s="12" t="s">
        <v>907</v>
      </c>
      <c r="CC223" s="12" t="s">
        <v>421</v>
      </c>
      <c r="CD223" s="12" t="s">
        <v>292</v>
      </c>
      <c r="CE223" s="12" t="s">
        <v>337</v>
      </c>
      <c r="CF223" s="12" t="s">
        <v>1053</v>
      </c>
      <c r="CG223" s="12" t="s">
        <v>1054</v>
      </c>
      <c r="CH223" s="12" t="s">
        <v>1054</v>
      </c>
      <c r="CI223" s="12" t="s">
        <v>1054</v>
      </c>
      <c r="CJ223" s="12" t="s">
        <v>1054</v>
      </c>
      <c r="CK223" s="12" t="s">
        <v>746</v>
      </c>
      <c r="CL223" s="12" t="s">
        <v>746</v>
      </c>
      <c r="CM223" s="12" t="s">
        <v>960</v>
      </c>
      <c r="CN223" s="12" t="s">
        <v>960</v>
      </c>
      <c r="CO223" s="12" t="s">
        <v>960</v>
      </c>
      <c r="CP223" s="12" t="s">
        <v>960</v>
      </c>
      <c r="CQ223" s="12" t="s">
        <v>960</v>
      </c>
      <c r="CR223" s="12" t="s">
        <v>960</v>
      </c>
      <c r="CS223" s="12" t="s">
        <v>422</v>
      </c>
      <c r="CT223" s="12" t="s">
        <v>422</v>
      </c>
      <c r="CU223" s="12" t="s">
        <v>511</v>
      </c>
      <c r="CV223" s="12" t="s">
        <v>1711</v>
      </c>
      <c r="CW223" s="12" t="s">
        <v>1711</v>
      </c>
      <c r="CX223" s="12" t="s">
        <v>1711</v>
      </c>
    </row>
    <row r="224" spans="1:102" hidden="1" x14ac:dyDescent="0.3">
      <c r="A224" s="12" t="s">
        <v>3805</v>
      </c>
      <c r="B224" s="12" t="s">
        <v>3792</v>
      </c>
      <c r="C224" s="12" t="s">
        <v>3806</v>
      </c>
      <c r="D224" s="12" t="s">
        <v>3807</v>
      </c>
      <c r="E224" s="12" t="s">
        <v>277</v>
      </c>
      <c r="F224" s="12" t="s">
        <v>277</v>
      </c>
      <c r="G224" s="12" t="s">
        <v>277</v>
      </c>
      <c r="H224" s="12" t="s">
        <v>277</v>
      </c>
      <c r="I224" s="12" t="s">
        <v>277</v>
      </c>
      <c r="J224" s="12" t="s">
        <v>277</v>
      </c>
      <c r="K224" s="12" t="s">
        <v>277</v>
      </c>
      <c r="L224" s="12" t="s">
        <v>277</v>
      </c>
      <c r="M224" s="12" t="s">
        <v>277</v>
      </c>
      <c r="N224" s="12" t="s">
        <v>277</v>
      </c>
      <c r="O224" s="12" t="s">
        <v>277</v>
      </c>
      <c r="P224" s="12" t="s">
        <v>277</v>
      </c>
      <c r="Q224" s="12" t="s">
        <v>277</v>
      </c>
      <c r="R224" s="12" t="s">
        <v>277</v>
      </c>
      <c r="S224" s="12" t="s">
        <v>277</v>
      </c>
      <c r="T224" s="12" t="s">
        <v>277</v>
      </c>
      <c r="U224" s="12" t="s">
        <v>277</v>
      </c>
      <c r="V224" s="12" t="s">
        <v>277</v>
      </c>
      <c r="W224" s="12" t="s">
        <v>277</v>
      </c>
      <c r="X224" s="12" t="s">
        <v>277</v>
      </c>
      <c r="Y224" s="12" t="s">
        <v>277</v>
      </c>
      <c r="Z224" s="12" t="s">
        <v>277</v>
      </c>
      <c r="AA224" s="12" t="s">
        <v>277</v>
      </c>
      <c r="AB224" s="12" t="s">
        <v>277</v>
      </c>
      <c r="AC224" s="12" t="s">
        <v>277</v>
      </c>
      <c r="AD224" s="12" t="s">
        <v>277</v>
      </c>
      <c r="AE224" s="12" t="s">
        <v>277</v>
      </c>
      <c r="AF224" s="12" t="s">
        <v>277</v>
      </c>
      <c r="AG224" s="12" t="s">
        <v>277</v>
      </c>
      <c r="AH224" s="12" t="s">
        <v>277</v>
      </c>
      <c r="AI224" s="12" t="s">
        <v>277</v>
      </c>
      <c r="AJ224" s="12" t="s">
        <v>277</v>
      </c>
      <c r="AK224" s="12" t="s">
        <v>277</v>
      </c>
      <c r="AL224" s="12" t="s">
        <v>277</v>
      </c>
      <c r="AM224" s="12" t="s">
        <v>277</v>
      </c>
      <c r="AN224" s="12" t="s">
        <v>277</v>
      </c>
      <c r="AO224" s="12" t="s">
        <v>277</v>
      </c>
      <c r="AP224" s="12" t="s">
        <v>277</v>
      </c>
      <c r="AQ224" s="12" t="s">
        <v>277</v>
      </c>
      <c r="AR224" s="12" t="s">
        <v>277</v>
      </c>
      <c r="AS224" s="12" t="s">
        <v>277</v>
      </c>
      <c r="AT224" s="12" t="s">
        <v>277</v>
      </c>
      <c r="AU224" s="12" t="s">
        <v>277</v>
      </c>
      <c r="AV224" s="12" t="s">
        <v>277</v>
      </c>
      <c r="AW224" s="12" t="s">
        <v>277</v>
      </c>
      <c r="AX224" s="12" t="s">
        <v>277</v>
      </c>
      <c r="AY224" s="12" t="s">
        <v>277</v>
      </c>
      <c r="AZ224" s="12" t="s">
        <v>277</v>
      </c>
      <c r="BA224" s="12" t="s">
        <v>277</v>
      </c>
      <c r="BB224" s="12" t="s">
        <v>277</v>
      </c>
      <c r="BC224" s="12" t="s">
        <v>277</v>
      </c>
      <c r="BD224" s="12" t="s">
        <v>277</v>
      </c>
      <c r="BE224" s="12" t="s">
        <v>277</v>
      </c>
      <c r="BF224" s="12" t="s">
        <v>277</v>
      </c>
      <c r="BG224" s="12" t="s">
        <v>277</v>
      </c>
      <c r="BH224" s="12" t="s">
        <v>277</v>
      </c>
      <c r="BI224" s="12" t="s">
        <v>277</v>
      </c>
      <c r="BJ224" s="12" t="s">
        <v>277</v>
      </c>
      <c r="BK224" s="12" t="s">
        <v>278</v>
      </c>
      <c r="BL224" s="12" t="s">
        <v>278</v>
      </c>
      <c r="BM224" s="12" t="s">
        <v>280</v>
      </c>
      <c r="BN224" s="12" t="s">
        <v>567</v>
      </c>
      <c r="BO224" s="12" t="s">
        <v>325</v>
      </c>
      <c r="BP224" s="12" t="s">
        <v>325</v>
      </c>
      <c r="BQ224" s="12" t="s">
        <v>456</v>
      </c>
      <c r="BR224" s="12" t="s">
        <v>652</v>
      </c>
      <c r="BS224" s="12" t="s">
        <v>551</v>
      </c>
      <c r="BT224" s="12" t="s">
        <v>328</v>
      </c>
      <c r="BU224" s="12" t="s">
        <v>690</v>
      </c>
      <c r="BV224" s="12" t="s">
        <v>379</v>
      </c>
      <c r="BW224" s="12" t="s">
        <v>469</v>
      </c>
      <c r="BX224" s="12" t="s">
        <v>824</v>
      </c>
      <c r="BY224" s="12" t="s">
        <v>1052</v>
      </c>
      <c r="BZ224" s="12" t="s">
        <v>975</v>
      </c>
      <c r="CA224" s="12" t="s">
        <v>1053</v>
      </c>
      <c r="CB224" s="12" t="s">
        <v>382</v>
      </c>
      <c r="CC224" s="12" t="s">
        <v>1512</v>
      </c>
      <c r="CD224" s="12" t="s">
        <v>473</v>
      </c>
      <c r="CE224" s="12" t="s">
        <v>1536</v>
      </c>
      <c r="CF224" s="12" t="s">
        <v>383</v>
      </c>
      <c r="CG224" s="12" t="s">
        <v>1204</v>
      </c>
      <c r="CH224" s="12" t="s">
        <v>826</v>
      </c>
      <c r="CI224" s="12" t="s">
        <v>1062</v>
      </c>
      <c r="CJ224" s="12" t="s">
        <v>1190</v>
      </c>
      <c r="CK224" s="12" t="s">
        <v>827</v>
      </c>
      <c r="CL224" s="12" t="s">
        <v>2725</v>
      </c>
      <c r="CM224" s="12" t="s">
        <v>1527</v>
      </c>
      <c r="CN224" s="12" t="s">
        <v>1363</v>
      </c>
      <c r="CO224" s="12" t="s">
        <v>797</v>
      </c>
      <c r="CP224" s="12" t="s">
        <v>965</v>
      </c>
      <c r="CQ224" s="12" t="s">
        <v>575</v>
      </c>
      <c r="CR224" s="12" t="s">
        <v>575</v>
      </c>
      <c r="CS224" s="12" t="s">
        <v>575</v>
      </c>
      <c r="CT224" s="12" t="s">
        <v>427</v>
      </c>
      <c r="CU224" s="12" t="s">
        <v>427</v>
      </c>
      <c r="CV224" s="12" t="s">
        <v>427</v>
      </c>
      <c r="CW224" s="12" t="s">
        <v>427</v>
      </c>
      <c r="CX224" s="12" t="s">
        <v>1528</v>
      </c>
    </row>
    <row r="225" spans="1:102" hidden="1" x14ac:dyDescent="0.3">
      <c r="A225" s="12" t="s">
        <v>3808</v>
      </c>
      <c r="B225" s="12" t="s">
        <v>3792</v>
      </c>
      <c r="C225" s="12" t="s">
        <v>3809</v>
      </c>
      <c r="D225" s="12" t="s">
        <v>3810</v>
      </c>
      <c r="E225" s="12" t="s">
        <v>277</v>
      </c>
      <c r="F225" s="12" t="s">
        <v>277</v>
      </c>
      <c r="G225" s="12" t="s">
        <v>277</v>
      </c>
      <c r="H225" s="12" t="s">
        <v>277</v>
      </c>
      <c r="I225" s="12" t="s">
        <v>277</v>
      </c>
      <c r="J225" s="12" t="s">
        <v>277</v>
      </c>
      <c r="K225" s="12" t="s">
        <v>277</v>
      </c>
      <c r="L225" s="12" t="s">
        <v>277</v>
      </c>
      <c r="M225" s="12" t="s">
        <v>277</v>
      </c>
      <c r="N225" s="12" t="s">
        <v>277</v>
      </c>
      <c r="O225" s="12" t="s">
        <v>277</v>
      </c>
      <c r="P225" s="12" t="s">
        <v>277</v>
      </c>
      <c r="Q225" s="12" t="s">
        <v>277</v>
      </c>
      <c r="R225" s="12" t="s">
        <v>277</v>
      </c>
      <c r="S225" s="12" t="s">
        <v>277</v>
      </c>
      <c r="T225" s="12" t="s">
        <v>277</v>
      </c>
      <c r="U225" s="12" t="s">
        <v>277</v>
      </c>
      <c r="V225" s="12" t="s">
        <v>277</v>
      </c>
      <c r="W225" s="12" t="s">
        <v>277</v>
      </c>
      <c r="X225" s="12" t="s">
        <v>277</v>
      </c>
      <c r="Y225" s="12" t="s">
        <v>277</v>
      </c>
      <c r="Z225" s="12" t="s">
        <v>277</v>
      </c>
      <c r="AA225" s="12" t="s">
        <v>277</v>
      </c>
      <c r="AB225" s="12" t="s">
        <v>277</v>
      </c>
      <c r="AC225" s="12" t="s">
        <v>277</v>
      </c>
      <c r="AD225" s="12" t="s">
        <v>277</v>
      </c>
      <c r="AE225" s="12" t="s">
        <v>277</v>
      </c>
      <c r="AF225" s="12" t="s">
        <v>277</v>
      </c>
      <c r="AG225" s="12" t="s">
        <v>277</v>
      </c>
      <c r="AH225" s="12" t="s">
        <v>277</v>
      </c>
      <c r="AI225" s="12" t="s">
        <v>277</v>
      </c>
      <c r="AJ225" s="12" t="s">
        <v>277</v>
      </c>
      <c r="AK225" s="12" t="s">
        <v>277</v>
      </c>
      <c r="AL225" s="12" t="s">
        <v>277</v>
      </c>
      <c r="AM225" s="12" t="s">
        <v>277</v>
      </c>
      <c r="AN225" s="12" t="s">
        <v>277</v>
      </c>
      <c r="AO225" s="12" t="s">
        <v>277</v>
      </c>
      <c r="AP225" s="12" t="s">
        <v>277</v>
      </c>
      <c r="AQ225" s="12" t="s">
        <v>277</v>
      </c>
      <c r="AR225" s="12" t="s">
        <v>277</v>
      </c>
      <c r="AS225" s="12" t="s">
        <v>277</v>
      </c>
      <c r="AT225" s="12" t="s">
        <v>277</v>
      </c>
      <c r="AU225" s="12" t="s">
        <v>277</v>
      </c>
      <c r="AV225" s="12" t="s">
        <v>277</v>
      </c>
      <c r="AW225" s="12" t="s">
        <v>277</v>
      </c>
      <c r="AX225" s="12" t="s">
        <v>277</v>
      </c>
      <c r="AY225" s="12" t="s">
        <v>277</v>
      </c>
      <c r="AZ225" s="12" t="s">
        <v>277</v>
      </c>
      <c r="BA225" s="12" t="s">
        <v>277</v>
      </c>
      <c r="BB225" s="12" t="s">
        <v>277</v>
      </c>
      <c r="BC225" s="12" t="s">
        <v>277</v>
      </c>
      <c r="BD225" s="12" t="s">
        <v>277</v>
      </c>
      <c r="BE225" s="12" t="s">
        <v>277</v>
      </c>
      <c r="BF225" s="12" t="s">
        <v>277</v>
      </c>
      <c r="BG225" s="12" t="s">
        <v>277</v>
      </c>
      <c r="BH225" s="12" t="s">
        <v>277</v>
      </c>
      <c r="BI225" s="12" t="s">
        <v>278</v>
      </c>
      <c r="BJ225" s="12" t="s">
        <v>278</v>
      </c>
      <c r="BK225" s="12" t="s">
        <v>278</v>
      </c>
      <c r="BL225" s="12" t="s">
        <v>278</v>
      </c>
      <c r="BM225" s="12" t="s">
        <v>278</v>
      </c>
      <c r="BN225" s="12" t="s">
        <v>278</v>
      </c>
      <c r="BO225" s="12" t="s">
        <v>278</v>
      </c>
      <c r="BP225" s="12" t="s">
        <v>278</v>
      </c>
      <c r="BQ225" s="12" t="s">
        <v>280</v>
      </c>
      <c r="BR225" s="12" t="s">
        <v>280</v>
      </c>
      <c r="BS225" s="12" t="s">
        <v>280</v>
      </c>
      <c r="BT225" s="12" t="s">
        <v>280</v>
      </c>
      <c r="BU225" s="12" t="s">
        <v>280</v>
      </c>
      <c r="BV225" s="12" t="s">
        <v>280</v>
      </c>
      <c r="BW225" s="12" t="s">
        <v>280</v>
      </c>
      <c r="BX225" s="12" t="s">
        <v>280</v>
      </c>
      <c r="BY225" s="12" t="s">
        <v>550</v>
      </c>
      <c r="BZ225" s="12" t="s">
        <v>550</v>
      </c>
      <c r="CA225" s="12" t="s">
        <v>550</v>
      </c>
      <c r="CB225" s="12" t="s">
        <v>550</v>
      </c>
      <c r="CC225" s="12" t="s">
        <v>460</v>
      </c>
      <c r="CD225" s="12" t="s">
        <v>460</v>
      </c>
      <c r="CE225" s="12" t="s">
        <v>460</v>
      </c>
      <c r="CF225" s="12" t="s">
        <v>460</v>
      </c>
      <c r="CG225" s="12" t="s">
        <v>460</v>
      </c>
      <c r="CH225" s="12" t="s">
        <v>460</v>
      </c>
      <c r="CI225" s="12" t="s">
        <v>282</v>
      </c>
      <c r="CJ225" s="12" t="s">
        <v>282</v>
      </c>
      <c r="CK225" s="12" t="s">
        <v>282</v>
      </c>
      <c r="CL225" s="12" t="s">
        <v>282</v>
      </c>
      <c r="CM225" s="12" t="s">
        <v>282</v>
      </c>
      <c r="CN225" s="12" t="s">
        <v>282</v>
      </c>
      <c r="CO225" s="12" t="s">
        <v>282</v>
      </c>
      <c r="CP225" s="12" t="s">
        <v>282</v>
      </c>
      <c r="CQ225" s="12" t="s">
        <v>282</v>
      </c>
      <c r="CR225" s="12" t="s">
        <v>282</v>
      </c>
      <c r="CS225" s="12" t="s">
        <v>282</v>
      </c>
      <c r="CT225" s="12" t="s">
        <v>282</v>
      </c>
      <c r="CU225" s="12" t="s">
        <v>282</v>
      </c>
      <c r="CV225" s="12" t="s">
        <v>282</v>
      </c>
      <c r="CW225" s="12" t="s">
        <v>282</v>
      </c>
      <c r="CX225" s="12" t="s">
        <v>282</v>
      </c>
    </row>
    <row r="226" spans="1:102" hidden="1" x14ac:dyDescent="0.3">
      <c r="A226" s="12" t="s">
        <v>12</v>
      </c>
      <c r="B226" s="12" t="s">
        <v>3792</v>
      </c>
      <c r="C226" s="12" t="s">
        <v>3811</v>
      </c>
      <c r="D226" s="12" t="s">
        <v>3812</v>
      </c>
      <c r="E226" s="12" t="s">
        <v>277</v>
      </c>
      <c r="F226" s="12" t="s">
        <v>277</v>
      </c>
      <c r="G226" s="12" t="s">
        <v>277</v>
      </c>
      <c r="H226" s="12" t="s">
        <v>277</v>
      </c>
      <c r="I226" s="12" t="s">
        <v>277</v>
      </c>
      <c r="J226" s="12" t="s">
        <v>277</v>
      </c>
      <c r="K226" s="12" t="s">
        <v>277</v>
      </c>
      <c r="L226" s="12" t="s">
        <v>277</v>
      </c>
      <c r="M226" s="12" t="s">
        <v>277</v>
      </c>
      <c r="N226" s="12" t="s">
        <v>322</v>
      </c>
      <c r="O226" s="12" t="s">
        <v>322</v>
      </c>
      <c r="P226" s="12" t="s">
        <v>322</v>
      </c>
      <c r="Q226" s="12" t="s">
        <v>322</v>
      </c>
      <c r="R226" s="12" t="s">
        <v>322</v>
      </c>
      <c r="S226" s="12" t="s">
        <v>322</v>
      </c>
      <c r="T226" s="12" t="s">
        <v>322</v>
      </c>
      <c r="U226" s="12" t="s">
        <v>371</v>
      </c>
      <c r="V226" s="12" t="s">
        <v>371</v>
      </c>
      <c r="W226" s="12" t="s">
        <v>371</v>
      </c>
      <c r="X226" s="12" t="s">
        <v>454</v>
      </c>
      <c r="Y226" s="12" t="s">
        <v>454</v>
      </c>
      <c r="Z226" s="12" t="s">
        <v>460</v>
      </c>
      <c r="AA226" s="12" t="s">
        <v>460</v>
      </c>
      <c r="AB226" s="12" t="s">
        <v>460</v>
      </c>
      <c r="AC226" s="12" t="s">
        <v>460</v>
      </c>
      <c r="AD226" s="12" t="s">
        <v>460</v>
      </c>
      <c r="AE226" s="12" t="s">
        <v>460</v>
      </c>
      <c r="AF226" s="12" t="s">
        <v>460</v>
      </c>
      <c r="AG226" s="12" t="s">
        <v>460</v>
      </c>
      <c r="AH226" s="12" t="s">
        <v>460</v>
      </c>
      <c r="AI226" s="12" t="s">
        <v>460</v>
      </c>
      <c r="AJ226" s="12" t="s">
        <v>460</v>
      </c>
      <c r="AK226" s="12" t="s">
        <v>460</v>
      </c>
      <c r="AL226" s="12" t="s">
        <v>567</v>
      </c>
      <c r="AM226" s="12" t="s">
        <v>567</v>
      </c>
      <c r="AN226" s="12" t="s">
        <v>567</v>
      </c>
      <c r="AO226" s="12" t="s">
        <v>461</v>
      </c>
      <c r="AP226" s="12" t="s">
        <v>374</v>
      </c>
      <c r="AQ226" s="12" t="s">
        <v>325</v>
      </c>
      <c r="AR226" s="12" t="s">
        <v>670</v>
      </c>
      <c r="AS226" s="12" t="s">
        <v>287</v>
      </c>
      <c r="AT226" s="12" t="s">
        <v>329</v>
      </c>
      <c r="AU226" s="12" t="s">
        <v>823</v>
      </c>
      <c r="AV226" s="12" t="s">
        <v>510</v>
      </c>
      <c r="AW226" s="12" t="s">
        <v>885</v>
      </c>
      <c r="AX226" s="12" t="s">
        <v>1302</v>
      </c>
      <c r="AY226" s="12" t="s">
        <v>296</v>
      </c>
      <c r="AZ226" s="12" t="s">
        <v>1010</v>
      </c>
      <c r="BA226" s="12" t="s">
        <v>1887</v>
      </c>
      <c r="BB226" s="12" t="s">
        <v>1399</v>
      </c>
      <c r="BC226" s="12" t="s">
        <v>1399</v>
      </c>
      <c r="BD226" s="12" t="s">
        <v>1838</v>
      </c>
      <c r="BE226" s="12" t="s">
        <v>3813</v>
      </c>
      <c r="BF226" s="12" t="s">
        <v>3813</v>
      </c>
      <c r="BG226" s="12" t="s">
        <v>3814</v>
      </c>
      <c r="BH226" s="12" t="s">
        <v>1908</v>
      </c>
      <c r="BI226" s="12" t="s">
        <v>2892</v>
      </c>
      <c r="BJ226" s="12" t="s">
        <v>3815</v>
      </c>
      <c r="BK226" s="12" t="s">
        <v>3816</v>
      </c>
      <c r="BL226" s="12" t="s">
        <v>3817</v>
      </c>
      <c r="BM226" s="12" t="s">
        <v>3818</v>
      </c>
      <c r="BN226" s="12" t="s">
        <v>3819</v>
      </c>
      <c r="BO226" s="12" t="s">
        <v>3820</v>
      </c>
      <c r="BP226" s="12" t="s">
        <v>3821</v>
      </c>
      <c r="BQ226" s="12" t="s">
        <v>3822</v>
      </c>
      <c r="BR226" s="12" t="s">
        <v>3823</v>
      </c>
      <c r="BS226" s="12" t="s">
        <v>3824</v>
      </c>
      <c r="BT226" s="12" t="s">
        <v>3825</v>
      </c>
      <c r="BU226" s="12" t="s">
        <v>3826</v>
      </c>
      <c r="BV226" s="12" t="s">
        <v>3827</v>
      </c>
      <c r="BW226" s="12" t="s">
        <v>3828</v>
      </c>
      <c r="BX226" s="12" t="s">
        <v>3829</v>
      </c>
      <c r="BY226" s="12" t="s">
        <v>3830</v>
      </c>
      <c r="BZ226" s="12" t="s">
        <v>3831</v>
      </c>
      <c r="CA226" s="12" t="s">
        <v>3832</v>
      </c>
      <c r="CB226" s="12" t="s">
        <v>3833</v>
      </c>
      <c r="CC226" s="12" t="s">
        <v>3834</v>
      </c>
      <c r="CD226" s="12" t="s">
        <v>3835</v>
      </c>
      <c r="CE226" s="12" t="s">
        <v>3836</v>
      </c>
      <c r="CF226" s="12" t="s">
        <v>3837</v>
      </c>
      <c r="CG226" s="12" t="s">
        <v>3838</v>
      </c>
      <c r="CH226" s="12" t="s">
        <v>3839</v>
      </c>
      <c r="CI226" s="12" t="s">
        <v>3840</v>
      </c>
      <c r="CJ226" s="12" t="s">
        <v>3841</v>
      </c>
      <c r="CK226" s="12" t="s">
        <v>3842</v>
      </c>
      <c r="CL226" s="12" t="s">
        <v>3843</v>
      </c>
      <c r="CM226" s="12" t="s">
        <v>3844</v>
      </c>
      <c r="CN226" s="12" t="s">
        <v>3845</v>
      </c>
      <c r="CO226" s="12" t="s">
        <v>3846</v>
      </c>
      <c r="CP226" s="12" t="s">
        <v>3847</v>
      </c>
      <c r="CQ226" s="12" t="s">
        <v>3848</v>
      </c>
      <c r="CR226" s="12" t="s">
        <v>3849</v>
      </c>
      <c r="CS226" s="12" t="s">
        <v>3850</v>
      </c>
      <c r="CT226" s="12" t="s">
        <v>3851</v>
      </c>
      <c r="CU226" s="12" t="s">
        <v>4334</v>
      </c>
      <c r="CV226" s="12" t="s">
        <v>4335</v>
      </c>
      <c r="CW226" s="12" t="s">
        <v>4336</v>
      </c>
      <c r="CX226" s="12" t="s">
        <v>4337</v>
      </c>
    </row>
    <row r="227" spans="1:102" hidden="1" x14ac:dyDescent="0.3">
      <c r="A227" s="12" t="s">
        <v>12</v>
      </c>
      <c r="B227" s="12" t="s">
        <v>3852</v>
      </c>
      <c r="C227" s="12" t="s">
        <v>3853</v>
      </c>
      <c r="D227" s="12" t="s">
        <v>3854</v>
      </c>
      <c r="E227" s="12" t="s">
        <v>277</v>
      </c>
      <c r="F227" s="12" t="s">
        <v>277</v>
      </c>
      <c r="G227" s="12" t="s">
        <v>277</v>
      </c>
      <c r="H227" s="12" t="s">
        <v>277</v>
      </c>
      <c r="I227" s="12" t="s">
        <v>277</v>
      </c>
      <c r="J227" s="12" t="s">
        <v>277</v>
      </c>
      <c r="K227" s="12" t="s">
        <v>277</v>
      </c>
      <c r="L227" s="12" t="s">
        <v>277</v>
      </c>
      <c r="M227" s="12" t="s">
        <v>277</v>
      </c>
      <c r="N227" s="12" t="s">
        <v>277</v>
      </c>
      <c r="O227" s="12" t="s">
        <v>277</v>
      </c>
      <c r="P227" s="12" t="s">
        <v>277</v>
      </c>
      <c r="Q227" s="12" t="s">
        <v>277</v>
      </c>
      <c r="R227" s="12" t="s">
        <v>277</v>
      </c>
      <c r="S227" s="12" t="s">
        <v>277</v>
      </c>
      <c r="T227" s="12" t="s">
        <v>277</v>
      </c>
      <c r="U227" s="12" t="s">
        <v>277</v>
      </c>
      <c r="V227" s="12" t="s">
        <v>277</v>
      </c>
      <c r="W227" s="12" t="s">
        <v>277</v>
      </c>
      <c r="X227" s="12" t="s">
        <v>277</v>
      </c>
      <c r="Y227" s="12" t="s">
        <v>277</v>
      </c>
      <c r="Z227" s="12" t="s">
        <v>277</v>
      </c>
      <c r="AA227" s="12" t="s">
        <v>277</v>
      </c>
      <c r="AB227" s="12" t="s">
        <v>277</v>
      </c>
      <c r="AC227" s="12" t="s">
        <v>277</v>
      </c>
      <c r="AD227" s="12" t="s">
        <v>277</v>
      </c>
      <c r="AE227" s="12" t="s">
        <v>277</v>
      </c>
      <c r="AF227" s="12" t="s">
        <v>277</v>
      </c>
      <c r="AG227" s="12" t="s">
        <v>277</v>
      </c>
      <c r="AH227" s="12" t="s">
        <v>277</v>
      </c>
      <c r="AI227" s="12" t="s">
        <v>277</v>
      </c>
      <c r="AJ227" s="12" t="s">
        <v>277</v>
      </c>
      <c r="AK227" s="12" t="s">
        <v>277</v>
      </c>
      <c r="AL227" s="12" t="s">
        <v>277</v>
      </c>
      <c r="AM227" s="12" t="s">
        <v>277</v>
      </c>
      <c r="AN227" s="12" t="s">
        <v>277</v>
      </c>
      <c r="AO227" s="12" t="s">
        <v>277</v>
      </c>
      <c r="AP227" s="12" t="s">
        <v>277</v>
      </c>
      <c r="AQ227" s="12" t="s">
        <v>277</v>
      </c>
      <c r="AR227" s="12" t="s">
        <v>277</v>
      </c>
      <c r="AS227" s="12" t="s">
        <v>277</v>
      </c>
      <c r="AT227" s="12" t="s">
        <v>277</v>
      </c>
      <c r="AU227" s="12" t="s">
        <v>277</v>
      </c>
      <c r="AV227" s="12" t="s">
        <v>277</v>
      </c>
      <c r="AW227" s="12" t="s">
        <v>277</v>
      </c>
      <c r="AX227" s="12" t="s">
        <v>277</v>
      </c>
      <c r="AY227" s="12" t="s">
        <v>277</v>
      </c>
      <c r="AZ227" s="12" t="s">
        <v>277</v>
      </c>
      <c r="BA227" s="12" t="s">
        <v>277</v>
      </c>
      <c r="BB227" s="12" t="s">
        <v>277</v>
      </c>
      <c r="BC227" s="12" t="s">
        <v>277</v>
      </c>
      <c r="BD227" s="12" t="s">
        <v>277</v>
      </c>
      <c r="BE227" s="12" t="s">
        <v>279</v>
      </c>
      <c r="BF227" s="12" t="s">
        <v>279</v>
      </c>
      <c r="BG227" s="12" t="s">
        <v>454</v>
      </c>
      <c r="BH227" s="12" t="s">
        <v>652</v>
      </c>
      <c r="BI227" s="12" t="s">
        <v>653</v>
      </c>
      <c r="BJ227" s="12" t="s">
        <v>470</v>
      </c>
      <c r="BK227" s="12" t="s">
        <v>290</v>
      </c>
      <c r="BL227" s="12" t="s">
        <v>291</v>
      </c>
      <c r="BM227" s="12" t="s">
        <v>473</v>
      </c>
      <c r="BN227" s="12" t="s">
        <v>1009</v>
      </c>
      <c r="BO227" s="12" t="s">
        <v>1009</v>
      </c>
      <c r="BP227" s="12" t="s">
        <v>1674</v>
      </c>
      <c r="BQ227" s="12" t="s">
        <v>1187</v>
      </c>
      <c r="BR227" s="12" t="s">
        <v>1322</v>
      </c>
      <c r="BS227" s="12" t="s">
        <v>1385</v>
      </c>
      <c r="BT227" s="12" t="s">
        <v>346</v>
      </c>
      <c r="BU227" s="12" t="s">
        <v>1216</v>
      </c>
      <c r="BV227" s="12" t="s">
        <v>1442</v>
      </c>
      <c r="BW227" s="12" t="s">
        <v>1442</v>
      </c>
      <c r="BX227" s="12" t="s">
        <v>1444</v>
      </c>
      <c r="BY227" s="12" t="s">
        <v>2126</v>
      </c>
      <c r="BZ227" s="12" t="s">
        <v>351</v>
      </c>
      <c r="CA227" s="12" t="s">
        <v>351</v>
      </c>
      <c r="CB227" s="12" t="s">
        <v>3855</v>
      </c>
      <c r="CC227" s="12" t="s">
        <v>520</v>
      </c>
      <c r="CD227" s="12" t="s">
        <v>520</v>
      </c>
      <c r="CE227" s="12" t="s">
        <v>1399</v>
      </c>
      <c r="CF227" s="12" t="s">
        <v>2397</v>
      </c>
      <c r="CG227" s="12" t="s">
        <v>358</v>
      </c>
      <c r="CH227" s="12" t="s">
        <v>1366</v>
      </c>
      <c r="CI227" s="12" t="s">
        <v>1366</v>
      </c>
      <c r="CJ227" s="12" t="s">
        <v>1544</v>
      </c>
      <c r="CK227" s="12" t="s">
        <v>1680</v>
      </c>
      <c r="CL227" s="12" t="s">
        <v>477</v>
      </c>
      <c r="CM227" s="12" t="s">
        <v>477</v>
      </c>
      <c r="CN227" s="12" t="s">
        <v>1778</v>
      </c>
      <c r="CO227" s="12" t="s">
        <v>737</v>
      </c>
      <c r="CP227" s="12" t="s">
        <v>1453</v>
      </c>
      <c r="CQ227" s="12" t="s">
        <v>1453</v>
      </c>
      <c r="CR227" s="12" t="s">
        <v>1681</v>
      </c>
      <c r="CS227" s="12" t="s">
        <v>1102</v>
      </c>
      <c r="CT227" s="12" t="s">
        <v>3856</v>
      </c>
      <c r="CU227" s="12" t="s">
        <v>3710</v>
      </c>
      <c r="CV227" s="12" t="s">
        <v>1220</v>
      </c>
      <c r="CW227" s="12" t="s">
        <v>1920</v>
      </c>
      <c r="CX227" s="12" t="s">
        <v>626</v>
      </c>
    </row>
    <row r="228" spans="1:102" hidden="1" x14ac:dyDescent="0.3">
      <c r="A228" s="12" t="s">
        <v>12</v>
      </c>
      <c r="B228" s="12" t="s">
        <v>3857</v>
      </c>
      <c r="C228" s="12" t="s">
        <v>3858</v>
      </c>
      <c r="D228" s="12" t="s">
        <v>3859</v>
      </c>
      <c r="E228" s="12" t="s">
        <v>278</v>
      </c>
      <c r="F228" s="12" t="s">
        <v>278</v>
      </c>
      <c r="G228" s="12" t="s">
        <v>322</v>
      </c>
      <c r="H228" s="12" t="s">
        <v>322</v>
      </c>
      <c r="I228" s="12" t="s">
        <v>280</v>
      </c>
      <c r="J228" s="12" t="s">
        <v>280</v>
      </c>
      <c r="K228" s="12" t="s">
        <v>280</v>
      </c>
      <c r="L228" s="12" t="s">
        <v>280</v>
      </c>
      <c r="M228" s="12" t="s">
        <v>280</v>
      </c>
      <c r="N228" s="12" t="s">
        <v>281</v>
      </c>
      <c r="O228" s="12" t="s">
        <v>454</v>
      </c>
      <c r="P228" s="12" t="s">
        <v>454</v>
      </c>
      <c r="Q228" s="12" t="s">
        <v>282</v>
      </c>
      <c r="R228" s="12" t="s">
        <v>282</v>
      </c>
      <c r="S228" s="12" t="s">
        <v>282</v>
      </c>
      <c r="T228" s="12" t="s">
        <v>282</v>
      </c>
      <c r="U228" s="12" t="s">
        <v>282</v>
      </c>
      <c r="V228" s="12" t="s">
        <v>282</v>
      </c>
      <c r="W228" s="12" t="s">
        <v>282</v>
      </c>
      <c r="X228" s="12" t="s">
        <v>282</v>
      </c>
      <c r="Y228" s="12" t="s">
        <v>324</v>
      </c>
      <c r="Z228" s="12" t="s">
        <v>324</v>
      </c>
      <c r="AA228" s="12" t="s">
        <v>567</v>
      </c>
      <c r="AB228" s="12" t="s">
        <v>567</v>
      </c>
      <c r="AC228" s="12" t="s">
        <v>567</v>
      </c>
      <c r="AD228" s="12" t="s">
        <v>567</v>
      </c>
      <c r="AE228" s="12" t="s">
        <v>567</v>
      </c>
      <c r="AF228" s="12" t="s">
        <v>567</v>
      </c>
      <c r="AG228" s="12" t="s">
        <v>567</v>
      </c>
      <c r="AH228" s="12" t="s">
        <v>567</v>
      </c>
      <c r="AI228" s="12" t="s">
        <v>461</v>
      </c>
      <c r="AJ228" s="12" t="s">
        <v>461</v>
      </c>
      <c r="AK228" s="12" t="s">
        <v>461</v>
      </c>
      <c r="AL228" s="12" t="s">
        <v>329</v>
      </c>
      <c r="AM228" s="12" t="s">
        <v>329</v>
      </c>
      <c r="AN228" s="12" t="s">
        <v>691</v>
      </c>
      <c r="AO228" s="12" t="s">
        <v>1112</v>
      </c>
      <c r="AP228" s="12" t="s">
        <v>379</v>
      </c>
      <c r="AQ228" s="12" t="s">
        <v>469</v>
      </c>
      <c r="AR228" s="12" t="s">
        <v>288</v>
      </c>
      <c r="AS228" s="12" t="s">
        <v>677</v>
      </c>
      <c r="AT228" s="12" t="s">
        <v>1199</v>
      </c>
      <c r="AU228" s="12" t="s">
        <v>1797</v>
      </c>
      <c r="AV228" s="12" t="s">
        <v>1187</v>
      </c>
      <c r="AW228" s="12" t="s">
        <v>1192</v>
      </c>
      <c r="AX228" s="12" t="s">
        <v>2093</v>
      </c>
      <c r="AY228" s="12" t="s">
        <v>359</v>
      </c>
      <c r="AZ228" s="12" t="s">
        <v>439</v>
      </c>
      <c r="BA228" s="12" t="s">
        <v>3019</v>
      </c>
      <c r="BB228" s="12" t="s">
        <v>712</v>
      </c>
      <c r="BC228" s="12" t="s">
        <v>3860</v>
      </c>
      <c r="BD228" s="12" t="s">
        <v>3417</v>
      </c>
      <c r="BE228" s="12" t="s">
        <v>3861</v>
      </c>
      <c r="BF228" s="12" t="s">
        <v>3862</v>
      </c>
      <c r="BG228" s="12" t="s">
        <v>3863</v>
      </c>
      <c r="BH228" s="12" t="s">
        <v>3864</v>
      </c>
      <c r="BI228" s="12" t="s">
        <v>3865</v>
      </c>
      <c r="BJ228" s="12" t="s">
        <v>3866</v>
      </c>
      <c r="BK228" s="12" t="s">
        <v>3867</v>
      </c>
      <c r="BL228" s="12" t="s">
        <v>3868</v>
      </c>
      <c r="BM228" s="12" t="s">
        <v>3869</v>
      </c>
      <c r="BN228" s="12" t="s">
        <v>3870</v>
      </c>
      <c r="BO228" s="12" t="s">
        <v>3871</v>
      </c>
      <c r="BP228" s="12" t="s">
        <v>3872</v>
      </c>
      <c r="BQ228" s="12" t="s">
        <v>3873</v>
      </c>
      <c r="BR228" s="12" t="s">
        <v>3874</v>
      </c>
      <c r="BS228" s="12" t="s">
        <v>3875</v>
      </c>
      <c r="BT228" s="12" t="s">
        <v>3876</v>
      </c>
      <c r="BU228" s="12" t="s">
        <v>3877</v>
      </c>
      <c r="BV228" s="12" t="s">
        <v>3878</v>
      </c>
      <c r="BW228" s="12" t="s">
        <v>3879</v>
      </c>
      <c r="BX228" s="12" t="s">
        <v>3880</v>
      </c>
      <c r="BY228" s="12" t="s">
        <v>3881</v>
      </c>
      <c r="BZ228" s="12" t="s">
        <v>3882</v>
      </c>
      <c r="CA228" s="12" t="s">
        <v>3883</v>
      </c>
      <c r="CB228" s="12" t="s">
        <v>3884</v>
      </c>
      <c r="CC228" s="12" t="s">
        <v>3885</v>
      </c>
      <c r="CD228" s="12" t="s">
        <v>3886</v>
      </c>
      <c r="CE228" s="12" t="s">
        <v>3887</v>
      </c>
      <c r="CF228" s="12" t="s">
        <v>3888</v>
      </c>
      <c r="CG228" s="12" t="s">
        <v>3889</v>
      </c>
      <c r="CH228" s="12" t="s">
        <v>3890</v>
      </c>
      <c r="CI228" s="12" t="s">
        <v>3891</v>
      </c>
      <c r="CJ228" s="12" t="s">
        <v>3892</v>
      </c>
      <c r="CK228" s="12" t="s">
        <v>3893</v>
      </c>
      <c r="CL228" s="12" t="s">
        <v>3894</v>
      </c>
      <c r="CM228" s="12" t="s">
        <v>3895</v>
      </c>
      <c r="CN228" s="12" t="s">
        <v>3896</v>
      </c>
      <c r="CO228" s="12" t="s">
        <v>3897</v>
      </c>
      <c r="CP228" s="12" t="s">
        <v>3898</v>
      </c>
      <c r="CQ228" s="12" t="s">
        <v>3899</v>
      </c>
      <c r="CR228" s="12" t="s">
        <v>3900</v>
      </c>
      <c r="CS228" s="12" t="s">
        <v>3901</v>
      </c>
      <c r="CT228" s="12" t="s">
        <v>3902</v>
      </c>
      <c r="CU228" s="12" t="s">
        <v>4338</v>
      </c>
      <c r="CV228" s="12" t="s">
        <v>4339</v>
      </c>
      <c r="CW228" s="12" t="s">
        <v>4340</v>
      </c>
      <c r="CX228" s="12" t="s">
        <v>4341</v>
      </c>
    </row>
    <row r="229" spans="1:102" hidden="1" x14ac:dyDescent="0.3">
      <c r="A229" s="12" t="s">
        <v>12</v>
      </c>
      <c r="B229" s="12" t="s">
        <v>3903</v>
      </c>
      <c r="C229" s="12" t="s">
        <v>3904</v>
      </c>
      <c r="D229" s="12" t="s">
        <v>3905</v>
      </c>
      <c r="E229" s="12" t="s">
        <v>277</v>
      </c>
      <c r="F229" s="12" t="s">
        <v>277</v>
      </c>
      <c r="G229" s="12" t="s">
        <v>277</v>
      </c>
      <c r="H229" s="12" t="s">
        <v>277</v>
      </c>
      <c r="I229" s="12" t="s">
        <v>277</v>
      </c>
      <c r="J229" s="12" t="s">
        <v>277</v>
      </c>
      <c r="K229" s="12" t="s">
        <v>277</v>
      </c>
      <c r="L229" s="12" t="s">
        <v>277</v>
      </c>
      <c r="M229" s="12" t="s">
        <v>277</v>
      </c>
      <c r="N229" s="12" t="s">
        <v>277</v>
      </c>
      <c r="O229" s="12" t="s">
        <v>277</v>
      </c>
      <c r="P229" s="12" t="s">
        <v>277</v>
      </c>
      <c r="Q229" s="12" t="s">
        <v>277</v>
      </c>
      <c r="R229" s="12" t="s">
        <v>277</v>
      </c>
      <c r="S229" s="12" t="s">
        <v>277</v>
      </c>
      <c r="T229" s="12" t="s">
        <v>277</v>
      </c>
      <c r="U229" s="12" t="s">
        <v>277</v>
      </c>
      <c r="V229" s="12" t="s">
        <v>277</v>
      </c>
      <c r="W229" s="12" t="s">
        <v>277</v>
      </c>
      <c r="X229" s="12" t="s">
        <v>277</v>
      </c>
      <c r="Y229" s="12" t="s">
        <v>277</v>
      </c>
      <c r="Z229" s="12" t="s">
        <v>277</v>
      </c>
      <c r="AA229" s="12" t="s">
        <v>277</v>
      </c>
      <c r="AB229" s="12" t="s">
        <v>277</v>
      </c>
      <c r="AC229" s="12" t="s">
        <v>277</v>
      </c>
      <c r="AD229" s="12" t="s">
        <v>277</v>
      </c>
      <c r="AE229" s="12" t="s">
        <v>277</v>
      </c>
      <c r="AF229" s="12" t="s">
        <v>277</v>
      </c>
      <c r="AG229" s="12" t="s">
        <v>277</v>
      </c>
      <c r="AH229" s="12" t="s">
        <v>277</v>
      </c>
      <c r="AI229" s="12" t="s">
        <v>277</v>
      </c>
      <c r="AJ229" s="12" t="s">
        <v>277</v>
      </c>
      <c r="AK229" s="12" t="s">
        <v>277</v>
      </c>
      <c r="AL229" s="12" t="s">
        <v>277</v>
      </c>
      <c r="AM229" s="12" t="s">
        <v>277</v>
      </c>
      <c r="AN229" s="12" t="s">
        <v>277</v>
      </c>
      <c r="AO229" s="12" t="s">
        <v>277</v>
      </c>
      <c r="AP229" s="12" t="s">
        <v>277</v>
      </c>
      <c r="AQ229" s="12" t="s">
        <v>277</v>
      </c>
      <c r="AR229" s="12" t="s">
        <v>277</v>
      </c>
      <c r="AS229" s="12" t="s">
        <v>277</v>
      </c>
      <c r="AT229" s="12" t="s">
        <v>277</v>
      </c>
      <c r="AU229" s="12" t="s">
        <v>277</v>
      </c>
      <c r="AV229" s="12" t="s">
        <v>277</v>
      </c>
      <c r="AW229" s="12" t="s">
        <v>277</v>
      </c>
      <c r="AX229" s="12" t="s">
        <v>277</v>
      </c>
      <c r="AY229" s="12" t="s">
        <v>277</v>
      </c>
      <c r="AZ229" s="12" t="s">
        <v>277</v>
      </c>
      <c r="BA229" s="12" t="s">
        <v>277</v>
      </c>
      <c r="BB229" s="12" t="s">
        <v>277</v>
      </c>
      <c r="BC229" s="12" t="s">
        <v>277</v>
      </c>
      <c r="BD229" s="12" t="s">
        <v>277</v>
      </c>
      <c r="BE229" s="12" t="s">
        <v>277</v>
      </c>
      <c r="BF229" s="12" t="s">
        <v>278</v>
      </c>
      <c r="BG229" s="12" t="s">
        <v>550</v>
      </c>
      <c r="BH229" s="12" t="s">
        <v>323</v>
      </c>
      <c r="BI229" s="12" t="s">
        <v>461</v>
      </c>
      <c r="BJ229" s="12" t="s">
        <v>325</v>
      </c>
      <c r="BK229" s="12" t="s">
        <v>326</v>
      </c>
      <c r="BL229" s="12" t="s">
        <v>958</v>
      </c>
      <c r="BM229" s="12" t="s">
        <v>958</v>
      </c>
      <c r="BN229" s="12" t="s">
        <v>617</v>
      </c>
      <c r="BO229" s="12" t="s">
        <v>653</v>
      </c>
      <c r="BP229" s="12" t="s">
        <v>379</v>
      </c>
      <c r="BQ229" s="12" t="s">
        <v>419</v>
      </c>
      <c r="BR229" s="12" t="s">
        <v>420</v>
      </c>
      <c r="BS229" s="12" t="s">
        <v>336</v>
      </c>
      <c r="BT229" s="12" t="s">
        <v>619</v>
      </c>
      <c r="BU229" s="12" t="s">
        <v>1797</v>
      </c>
      <c r="BV229" s="12" t="s">
        <v>1513</v>
      </c>
      <c r="BW229" s="12" t="s">
        <v>1267</v>
      </c>
      <c r="BX229" s="12" t="s">
        <v>685</v>
      </c>
      <c r="BY229" s="12" t="s">
        <v>1537</v>
      </c>
      <c r="BZ229" s="12" t="s">
        <v>474</v>
      </c>
      <c r="CA229" s="12" t="s">
        <v>1217</v>
      </c>
      <c r="CB229" s="12" t="s">
        <v>1068</v>
      </c>
      <c r="CC229" s="12" t="s">
        <v>695</v>
      </c>
      <c r="CD229" s="12" t="s">
        <v>437</v>
      </c>
      <c r="CE229" s="12" t="s">
        <v>1408</v>
      </c>
      <c r="CF229" s="12" t="s">
        <v>985</v>
      </c>
      <c r="CG229" s="12" t="s">
        <v>1742</v>
      </c>
      <c r="CH229" s="12" t="s">
        <v>2095</v>
      </c>
      <c r="CI229" s="12" t="s">
        <v>642</v>
      </c>
      <c r="CJ229" s="12" t="s">
        <v>3906</v>
      </c>
      <c r="CK229" s="12" t="s">
        <v>714</v>
      </c>
      <c r="CL229" s="12" t="s">
        <v>1469</v>
      </c>
      <c r="CM229" s="12" t="s">
        <v>582</v>
      </c>
      <c r="CN229" s="12" t="s">
        <v>1170</v>
      </c>
      <c r="CO229" s="12" t="s">
        <v>3907</v>
      </c>
      <c r="CP229" s="12" t="s">
        <v>3908</v>
      </c>
      <c r="CQ229" s="12" t="s">
        <v>3909</v>
      </c>
      <c r="CR229" s="12" t="s">
        <v>3140</v>
      </c>
      <c r="CS229" s="12" t="s">
        <v>3910</v>
      </c>
      <c r="CT229" s="12" t="s">
        <v>3911</v>
      </c>
      <c r="CU229" s="12" t="s">
        <v>3258</v>
      </c>
      <c r="CV229" s="12" t="s">
        <v>4342</v>
      </c>
      <c r="CW229" s="12" t="s">
        <v>4343</v>
      </c>
      <c r="CX229" s="12" t="s">
        <v>2101</v>
      </c>
    </row>
    <row r="230" spans="1:102" hidden="1" x14ac:dyDescent="0.3">
      <c r="A230" s="12" t="s">
        <v>12</v>
      </c>
      <c r="B230" s="12" t="s">
        <v>3912</v>
      </c>
      <c r="C230" s="12" t="s">
        <v>3913</v>
      </c>
      <c r="D230" s="12" t="s">
        <v>3914</v>
      </c>
      <c r="E230" s="12" t="s">
        <v>277</v>
      </c>
      <c r="F230" s="12" t="s">
        <v>277</v>
      </c>
      <c r="G230" s="12" t="s">
        <v>277</v>
      </c>
      <c r="H230" s="12" t="s">
        <v>277</v>
      </c>
      <c r="I230" s="12" t="s">
        <v>277</v>
      </c>
      <c r="J230" s="12" t="s">
        <v>277</v>
      </c>
      <c r="K230" s="12" t="s">
        <v>277</v>
      </c>
      <c r="L230" s="12" t="s">
        <v>277</v>
      </c>
      <c r="M230" s="12" t="s">
        <v>277</v>
      </c>
      <c r="N230" s="12" t="s">
        <v>277</v>
      </c>
      <c r="O230" s="12" t="s">
        <v>277</v>
      </c>
      <c r="P230" s="12" t="s">
        <v>277</v>
      </c>
      <c r="Q230" s="12" t="s">
        <v>277</v>
      </c>
      <c r="R230" s="12" t="s">
        <v>277</v>
      </c>
      <c r="S230" s="12" t="s">
        <v>277</v>
      </c>
      <c r="T230" s="12" t="s">
        <v>277</v>
      </c>
      <c r="U230" s="12" t="s">
        <v>277</v>
      </c>
      <c r="V230" s="12" t="s">
        <v>277</v>
      </c>
      <c r="W230" s="12" t="s">
        <v>277</v>
      </c>
      <c r="X230" s="12" t="s">
        <v>277</v>
      </c>
      <c r="Y230" s="12" t="s">
        <v>277</v>
      </c>
      <c r="Z230" s="12" t="s">
        <v>277</v>
      </c>
      <c r="AA230" s="12" t="s">
        <v>277</v>
      </c>
      <c r="AB230" s="12" t="s">
        <v>277</v>
      </c>
      <c r="AC230" s="12" t="s">
        <v>277</v>
      </c>
      <c r="AD230" s="12" t="s">
        <v>277</v>
      </c>
      <c r="AE230" s="12" t="s">
        <v>277</v>
      </c>
      <c r="AF230" s="12" t="s">
        <v>277</v>
      </c>
      <c r="AG230" s="12" t="s">
        <v>277</v>
      </c>
      <c r="AH230" s="12" t="s">
        <v>277</v>
      </c>
      <c r="AI230" s="12" t="s">
        <v>277</v>
      </c>
      <c r="AJ230" s="12" t="s">
        <v>277</v>
      </c>
      <c r="AK230" s="12" t="s">
        <v>277</v>
      </c>
      <c r="AL230" s="12" t="s">
        <v>277</v>
      </c>
      <c r="AM230" s="12" t="s">
        <v>277</v>
      </c>
      <c r="AN230" s="12" t="s">
        <v>277</v>
      </c>
      <c r="AO230" s="12" t="s">
        <v>277</v>
      </c>
      <c r="AP230" s="12" t="s">
        <v>277</v>
      </c>
      <c r="AQ230" s="12" t="s">
        <v>277</v>
      </c>
      <c r="AR230" s="12" t="s">
        <v>277</v>
      </c>
      <c r="AS230" s="12" t="s">
        <v>277</v>
      </c>
      <c r="AT230" s="12" t="s">
        <v>277</v>
      </c>
      <c r="AU230" s="12" t="s">
        <v>277</v>
      </c>
      <c r="AV230" s="12" t="s">
        <v>277</v>
      </c>
      <c r="AW230" s="12" t="s">
        <v>277</v>
      </c>
      <c r="AX230" s="12" t="s">
        <v>277</v>
      </c>
      <c r="AY230" s="12" t="s">
        <v>277</v>
      </c>
      <c r="AZ230" s="12" t="s">
        <v>277</v>
      </c>
      <c r="BA230" s="12" t="s">
        <v>277</v>
      </c>
      <c r="BB230" s="12" t="s">
        <v>277</v>
      </c>
      <c r="BC230" s="12" t="s">
        <v>277</v>
      </c>
      <c r="BD230" s="12" t="s">
        <v>277</v>
      </c>
      <c r="BE230" s="12" t="s">
        <v>322</v>
      </c>
      <c r="BF230" s="12" t="s">
        <v>323</v>
      </c>
      <c r="BG230" s="12" t="s">
        <v>372</v>
      </c>
      <c r="BH230" s="12" t="s">
        <v>326</v>
      </c>
      <c r="BI230" s="12" t="s">
        <v>670</v>
      </c>
      <c r="BJ230" s="12" t="s">
        <v>328</v>
      </c>
      <c r="BK230" s="12" t="s">
        <v>328</v>
      </c>
      <c r="BL230" s="12" t="s">
        <v>333</v>
      </c>
      <c r="BM230" s="12" t="s">
        <v>333</v>
      </c>
      <c r="BN230" s="12" t="s">
        <v>554</v>
      </c>
      <c r="BO230" s="12" t="s">
        <v>289</v>
      </c>
      <c r="BP230" s="12" t="s">
        <v>556</v>
      </c>
      <c r="BQ230" s="12" t="s">
        <v>959</v>
      </c>
      <c r="BR230" s="12" t="s">
        <v>959</v>
      </c>
      <c r="BS230" s="12" t="s">
        <v>1117</v>
      </c>
      <c r="BT230" s="12" t="s">
        <v>1117</v>
      </c>
      <c r="BU230" s="12" t="s">
        <v>1055</v>
      </c>
      <c r="BV230" s="12" t="s">
        <v>1055</v>
      </c>
      <c r="BW230" s="12" t="s">
        <v>1519</v>
      </c>
      <c r="BX230" s="12" t="s">
        <v>338</v>
      </c>
      <c r="BY230" s="12" t="s">
        <v>1798</v>
      </c>
      <c r="BZ230" s="12" t="s">
        <v>1321</v>
      </c>
      <c r="CA230" s="12" t="s">
        <v>1431</v>
      </c>
      <c r="CB230" s="12" t="s">
        <v>680</v>
      </c>
      <c r="CC230" s="12" t="s">
        <v>680</v>
      </c>
      <c r="CD230" s="12" t="s">
        <v>1185</v>
      </c>
      <c r="CE230" s="12" t="s">
        <v>573</v>
      </c>
      <c r="CF230" s="12" t="s">
        <v>573</v>
      </c>
      <c r="CG230" s="12" t="s">
        <v>725</v>
      </c>
      <c r="CH230" s="12" t="s">
        <v>1267</v>
      </c>
      <c r="CI230" s="12" t="s">
        <v>1674</v>
      </c>
      <c r="CJ230" s="12" t="s">
        <v>1674</v>
      </c>
      <c r="CK230" s="12" t="s">
        <v>340</v>
      </c>
      <c r="CL230" s="12" t="s">
        <v>2213</v>
      </c>
      <c r="CM230" s="12" t="s">
        <v>2213</v>
      </c>
      <c r="CN230" s="12" t="s">
        <v>1537</v>
      </c>
      <c r="CO230" s="12" t="s">
        <v>827</v>
      </c>
      <c r="CP230" s="12" t="s">
        <v>827</v>
      </c>
      <c r="CQ230" s="12" t="s">
        <v>828</v>
      </c>
      <c r="CR230" s="12" t="s">
        <v>1094</v>
      </c>
      <c r="CS230" s="12" t="s">
        <v>728</v>
      </c>
      <c r="CT230" s="12" t="s">
        <v>1095</v>
      </c>
      <c r="CU230" s="12" t="s">
        <v>980</v>
      </c>
      <c r="CV230" s="12" t="s">
        <v>1531</v>
      </c>
      <c r="CW230" s="12" t="s">
        <v>518</v>
      </c>
      <c r="CX230" s="12" t="s">
        <v>518</v>
      </c>
    </row>
    <row r="231" spans="1:102" hidden="1" x14ac:dyDescent="0.3">
      <c r="A231" s="12" t="s">
        <v>12</v>
      </c>
      <c r="B231" s="12" t="s">
        <v>3915</v>
      </c>
      <c r="C231" s="12" t="s">
        <v>3592</v>
      </c>
      <c r="D231" s="12" t="s">
        <v>3916</v>
      </c>
      <c r="E231" s="12" t="s">
        <v>277</v>
      </c>
      <c r="F231" s="12" t="s">
        <v>322</v>
      </c>
      <c r="G231" s="12" t="s">
        <v>322</v>
      </c>
      <c r="H231" s="12" t="s">
        <v>322</v>
      </c>
      <c r="I231" s="12" t="s">
        <v>322</v>
      </c>
      <c r="J231" s="12" t="s">
        <v>322</v>
      </c>
      <c r="K231" s="12" t="s">
        <v>322</v>
      </c>
      <c r="L231" s="12" t="s">
        <v>322</v>
      </c>
      <c r="M231" s="12" t="s">
        <v>322</v>
      </c>
      <c r="N231" s="12" t="s">
        <v>322</v>
      </c>
      <c r="O231" s="12" t="s">
        <v>550</v>
      </c>
      <c r="P231" s="12" t="s">
        <v>550</v>
      </c>
      <c r="Q231" s="12" t="s">
        <v>454</v>
      </c>
      <c r="R231" s="12" t="s">
        <v>454</v>
      </c>
      <c r="S231" s="12" t="s">
        <v>454</v>
      </c>
      <c r="T231" s="12" t="s">
        <v>323</v>
      </c>
      <c r="U231" s="12" t="s">
        <v>323</v>
      </c>
      <c r="V231" s="12" t="s">
        <v>567</v>
      </c>
      <c r="W231" s="12" t="s">
        <v>567</v>
      </c>
      <c r="X231" s="12" t="s">
        <v>455</v>
      </c>
      <c r="Y231" s="12" t="s">
        <v>461</v>
      </c>
      <c r="Z231" s="12" t="s">
        <v>461</v>
      </c>
      <c r="AA231" s="12" t="s">
        <v>283</v>
      </c>
      <c r="AB231" s="12" t="s">
        <v>283</v>
      </c>
      <c r="AC231" s="12" t="s">
        <v>283</v>
      </c>
      <c r="AD231" s="12" t="s">
        <v>283</v>
      </c>
      <c r="AE231" s="12" t="s">
        <v>283</v>
      </c>
      <c r="AF231" s="12" t="s">
        <v>283</v>
      </c>
      <c r="AG231" s="12" t="s">
        <v>283</v>
      </c>
      <c r="AH231" s="12" t="s">
        <v>283</v>
      </c>
      <c r="AI231" s="12" t="s">
        <v>283</v>
      </c>
      <c r="AJ231" s="12" t="s">
        <v>283</v>
      </c>
      <c r="AK231" s="12" t="s">
        <v>283</v>
      </c>
      <c r="AL231" s="12" t="s">
        <v>283</v>
      </c>
      <c r="AM231" s="12" t="s">
        <v>283</v>
      </c>
      <c r="AN231" s="12" t="s">
        <v>283</v>
      </c>
      <c r="AO231" s="12" t="s">
        <v>283</v>
      </c>
      <c r="AP231" s="12" t="s">
        <v>283</v>
      </c>
      <c r="AQ231" s="12" t="s">
        <v>283</v>
      </c>
      <c r="AR231" s="12" t="s">
        <v>283</v>
      </c>
      <c r="AS231" s="12" t="s">
        <v>283</v>
      </c>
      <c r="AT231" s="12" t="s">
        <v>283</v>
      </c>
      <c r="AU231" s="12" t="s">
        <v>283</v>
      </c>
      <c r="AV231" s="12" t="s">
        <v>283</v>
      </c>
      <c r="AW231" s="12" t="s">
        <v>283</v>
      </c>
      <c r="AX231" s="12" t="s">
        <v>507</v>
      </c>
      <c r="AY231" s="12" t="s">
        <v>1716</v>
      </c>
      <c r="AZ231" s="12" t="s">
        <v>1716</v>
      </c>
      <c r="BA231" s="12" t="s">
        <v>465</v>
      </c>
      <c r="BB231" s="12" t="s">
        <v>327</v>
      </c>
      <c r="BC231" s="12" t="s">
        <v>417</v>
      </c>
      <c r="BD231" s="12" t="s">
        <v>671</v>
      </c>
      <c r="BE231" s="12" t="s">
        <v>418</v>
      </c>
      <c r="BF231" s="12" t="s">
        <v>468</v>
      </c>
      <c r="BG231" s="12" t="s">
        <v>618</v>
      </c>
      <c r="BH231" s="12" t="s">
        <v>672</v>
      </c>
      <c r="BI231" s="12" t="s">
        <v>419</v>
      </c>
      <c r="BJ231" s="12" t="s">
        <v>823</v>
      </c>
      <c r="BK231" s="12" t="s">
        <v>556</v>
      </c>
      <c r="BL231" s="12" t="s">
        <v>290</v>
      </c>
      <c r="BM231" s="12" t="s">
        <v>421</v>
      </c>
      <c r="BN231" s="12" t="s">
        <v>337</v>
      </c>
      <c r="BO231" s="12" t="s">
        <v>572</v>
      </c>
      <c r="BP231" s="12" t="s">
        <v>1711</v>
      </c>
      <c r="BQ231" s="12" t="s">
        <v>1798</v>
      </c>
      <c r="BR231" s="12" t="s">
        <v>885</v>
      </c>
      <c r="BS231" s="12" t="s">
        <v>294</v>
      </c>
      <c r="BT231" s="12" t="s">
        <v>424</v>
      </c>
      <c r="BU231" s="12" t="s">
        <v>1186</v>
      </c>
      <c r="BV231" s="12" t="s">
        <v>341</v>
      </c>
      <c r="BW231" s="12" t="s">
        <v>862</v>
      </c>
      <c r="BX231" s="12" t="s">
        <v>1122</v>
      </c>
      <c r="BY231" s="12" t="s">
        <v>295</v>
      </c>
      <c r="BZ231" s="12" t="s">
        <v>1698</v>
      </c>
      <c r="CA231" s="12" t="s">
        <v>1206</v>
      </c>
      <c r="CB231" s="12" t="s">
        <v>1514</v>
      </c>
      <c r="CC231" s="12" t="s">
        <v>515</v>
      </c>
      <c r="CD231" s="12" t="s">
        <v>1515</v>
      </c>
      <c r="CE231" s="12" t="s">
        <v>1191</v>
      </c>
      <c r="CF231" s="12" t="s">
        <v>655</v>
      </c>
      <c r="CG231" s="12" t="s">
        <v>979</v>
      </c>
      <c r="CH231" s="12" t="s">
        <v>1192</v>
      </c>
      <c r="CI231" s="12" t="s">
        <v>516</v>
      </c>
      <c r="CJ231" s="12" t="s">
        <v>474</v>
      </c>
      <c r="CK231" s="12" t="s">
        <v>426</v>
      </c>
      <c r="CL231" s="12" t="s">
        <v>963</v>
      </c>
      <c r="CM231" s="12" t="s">
        <v>963</v>
      </c>
      <c r="CN231" s="12" t="s">
        <v>963</v>
      </c>
      <c r="CO231" s="12" t="s">
        <v>963</v>
      </c>
      <c r="CP231" s="12" t="s">
        <v>963</v>
      </c>
      <c r="CQ231" s="12" t="s">
        <v>963</v>
      </c>
      <c r="CR231" s="12" t="s">
        <v>963</v>
      </c>
      <c r="CS231" s="12" t="s">
        <v>963</v>
      </c>
      <c r="CT231" s="12" t="s">
        <v>2742</v>
      </c>
      <c r="CU231" s="12" t="s">
        <v>2742</v>
      </c>
      <c r="CV231" s="12" t="s">
        <v>2742</v>
      </c>
      <c r="CW231" s="12" t="s">
        <v>2742</v>
      </c>
      <c r="CX231" s="12" t="s">
        <v>2742</v>
      </c>
    </row>
    <row r="232" spans="1:102" hidden="1" x14ac:dyDescent="0.3">
      <c r="A232" s="12" t="s">
        <v>12</v>
      </c>
      <c r="B232" s="12" t="s">
        <v>3917</v>
      </c>
      <c r="C232" s="12" t="s">
        <v>3918</v>
      </c>
      <c r="D232" s="12" t="s">
        <v>3919</v>
      </c>
      <c r="E232" s="12" t="s">
        <v>277</v>
      </c>
      <c r="F232" s="12" t="s">
        <v>277</v>
      </c>
      <c r="G232" s="12" t="s">
        <v>277</v>
      </c>
      <c r="H232" s="12" t="s">
        <v>277</v>
      </c>
      <c r="I232" s="12" t="s">
        <v>277</v>
      </c>
      <c r="J232" s="12" t="s">
        <v>277</v>
      </c>
      <c r="K232" s="12" t="s">
        <v>277</v>
      </c>
      <c r="L232" s="12" t="s">
        <v>277</v>
      </c>
      <c r="M232" s="12" t="s">
        <v>277</v>
      </c>
      <c r="N232" s="12" t="s">
        <v>277</v>
      </c>
      <c r="O232" s="12" t="s">
        <v>277</v>
      </c>
      <c r="P232" s="12" t="s">
        <v>277</v>
      </c>
      <c r="Q232" s="12" t="s">
        <v>277</v>
      </c>
      <c r="R232" s="12" t="s">
        <v>277</v>
      </c>
      <c r="S232" s="12" t="s">
        <v>277</v>
      </c>
      <c r="T232" s="12" t="s">
        <v>277</v>
      </c>
      <c r="U232" s="12" t="s">
        <v>277</v>
      </c>
      <c r="V232" s="12" t="s">
        <v>277</v>
      </c>
      <c r="W232" s="12" t="s">
        <v>277</v>
      </c>
      <c r="X232" s="12" t="s">
        <v>277</v>
      </c>
      <c r="Y232" s="12" t="s">
        <v>277</v>
      </c>
      <c r="Z232" s="12" t="s">
        <v>277</v>
      </c>
      <c r="AA232" s="12" t="s">
        <v>277</v>
      </c>
      <c r="AB232" s="12" t="s">
        <v>277</v>
      </c>
      <c r="AC232" s="12" t="s">
        <v>277</v>
      </c>
      <c r="AD232" s="12" t="s">
        <v>277</v>
      </c>
      <c r="AE232" s="12" t="s">
        <v>277</v>
      </c>
      <c r="AF232" s="12" t="s">
        <v>277</v>
      </c>
      <c r="AG232" s="12" t="s">
        <v>277</v>
      </c>
      <c r="AH232" s="12" t="s">
        <v>277</v>
      </c>
      <c r="AI232" s="12" t="s">
        <v>277</v>
      </c>
      <c r="AJ232" s="12" t="s">
        <v>277</v>
      </c>
      <c r="AK232" s="12" t="s">
        <v>277</v>
      </c>
      <c r="AL232" s="12" t="s">
        <v>277</v>
      </c>
      <c r="AM232" s="12" t="s">
        <v>277</v>
      </c>
      <c r="AN232" s="12" t="s">
        <v>277</v>
      </c>
      <c r="AO232" s="12" t="s">
        <v>277</v>
      </c>
      <c r="AP232" s="12" t="s">
        <v>277</v>
      </c>
      <c r="AQ232" s="12" t="s">
        <v>277</v>
      </c>
      <c r="AR232" s="12" t="s">
        <v>277</v>
      </c>
      <c r="AS232" s="12" t="s">
        <v>277</v>
      </c>
      <c r="AT232" s="12" t="s">
        <v>277</v>
      </c>
      <c r="AU232" s="12" t="s">
        <v>277</v>
      </c>
      <c r="AV232" s="12" t="s">
        <v>277</v>
      </c>
      <c r="AW232" s="12" t="s">
        <v>277</v>
      </c>
      <c r="AX232" s="12" t="s">
        <v>277</v>
      </c>
      <c r="AY232" s="12" t="s">
        <v>277</v>
      </c>
      <c r="AZ232" s="12" t="s">
        <v>277</v>
      </c>
      <c r="BA232" s="12" t="s">
        <v>277</v>
      </c>
      <c r="BB232" s="12" t="s">
        <v>277</v>
      </c>
      <c r="BC232" s="12" t="s">
        <v>277</v>
      </c>
      <c r="BD232" s="12" t="s">
        <v>277</v>
      </c>
      <c r="BE232" s="12" t="s">
        <v>277</v>
      </c>
      <c r="BF232" s="12" t="s">
        <v>277</v>
      </c>
      <c r="BG232" s="12" t="s">
        <v>277</v>
      </c>
      <c r="BH232" s="12" t="s">
        <v>277</v>
      </c>
      <c r="BI232" s="12" t="s">
        <v>322</v>
      </c>
      <c r="BJ232" s="12" t="s">
        <v>322</v>
      </c>
      <c r="BK232" s="12" t="s">
        <v>322</v>
      </c>
      <c r="BL232" s="12" t="s">
        <v>322</v>
      </c>
      <c r="BM232" s="12" t="s">
        <v>371</v>
      </c>
      <c r="BN232" s="12" t="s">
        <v>371</v>
      </c>
      <c r="BO232" s="12" t="s">
        <v>371</v>
      </c>
      <c r="BP232" s="12" t="s">
        <v>324</v>
      </c>
      <c r="BQ232" s="12" t="s">
        <v>283</v>
      </c>
      <c r="BR232" s="12" t="s">
        <v>285</v>
      </c>
      <c r="BS232" s="12" t="s">
        <v>568</v>
      </c>
      <c r="BT232" s="12" t="s">
        <v>652</v>
      </c>
      <c r="BU232" s="12" t="s">
        <v>616</v>
      </c>
      <c r="BV232" s="12" t="s">
        <v>616</v>
      </c>
      <c r="BW232" s="12" t="s">
        <v>670</v>
      </c>
      <c r="BX232" s="12" t="s">
        <v>417</v>
      </c>
      <c r="BY232" s="12" t="s">
        <v>417</v>
      </c>
      <c r="BZ232" s="12" t="s">
        <v>417</v>
      </c>
      <c r="CA232" s="12" t="s">
        <v>417</v>
      </c>
      <c r="CB232" s="12" t="s">
        <v>417</v>
      </c>
      <c r="CC232" s="12" t="s">
        <v>417</v>
      </c>
      <c r="CD232" s="12" t="s">
        <v>417</v>
      </c>
      <c r="CE232" s="12" t="s">
        <v>417</v>
      </c>
      <c r="CF232" s="12" t="s">
        <v>287</v>
      </c>
      <c r="CG232" s="12" t="s">
        <v>287</v>
      </c>
      <c r="CH232" s="12" t="s">
        <v>958</v>
      </c>
      <c r="CI232" s="12" t="s">
        <v>467</v>
      </c>
      <c r="CJ232" s="12" t="s">
        <v>467</v>
      </c>
      <c r="CK232" s="12" t="s">
        <v>377</v>
      </c>
      <c r="CL232" s="12" t="s">
        <v>377</v>
      </c>
      <c r="CM232" s="12" t="s">
        <v>508</v>
      </c>
      <c r="CN232" s="12" t="s">
        <v>691</v>
      </c>
      <c r="CO232" s="12" t="s">
        <v>618</v>
      </c>
      <c r="CP232" s="12" t="s">
        <v>569</v>
      </c>
      <c r="CQ232" s="12" t="s">
        <v>333</v>
      </c>
      <c r="CR232" s="12" t="s">
        <v>288</v>
      </c>
      <c r="CS232" s="12" t="s">
        <v>334</v>
      </c>
      <c r="CT232" s="12" t="s">
        <v>289</v>
      </c>
      <c r="CU232" s="12" t="s">
        <v>289</v>
      </c>
      <c r="CV232" s="12" t="s">
        <v>420</v>
      </c>
      <c r="CW232" s="12" t="s">
        <v>420</v>
      </c>
      <c r="CX232" s="12" t="s">
        <v>824</v>
      </c>
    </row>
    <row r="233" spans="1:102" hidden="1" x14ac:dyDescent="0.3">
      <c r="A233" s="12" t="s">
        <v>12</v>
      </c>
      <c r="B233" s="12" t="s">
        <v>3920</v>
      </c>
      <c r="C233" s="12" t="s">
        <v>3921</v>
      </c>
      <c r="D233" s="12" t="s">
        <v>2092</v>
      </c>
      <c r="E233" s="12" t="s">
        <v>277</v>
      </c>
      <c r="F233" s="12" t="s">
        <v>277</v>
      </c>
      <c r="G233" s="12" t="s">
        <v>277</v>
      </c>
      <c r="H233" s="12" t="s">
        <v>277</v>
      </c>
      <c r="I233" s="12" t="s">
        <v>277</v>
      </c>
      <c r="J233" s="12" t="s">
        <v>277</v>
      </c>
      <c r="K233" s="12" t="s">
        <v>277</v>
      </c>
      <c r="L233" s="12" t="s">
        <v>277</v>
      </c>
      <c r="M233" s="12" t="s">
        <v>277</v>
      </c>
      <c r="N233" s="12" t="s">
        <v>277</v>
      </c>
      <c r="O233" s="12" t="s">
        <v>277</v>
      </c>
      <c r="P233" s="12" t="s">
        <v>277</v>
      </c>
      <c r="Q233" s="12" t="s">
        <v>277</v>
      </c>
      <c r="R233" s="12" t="s">
        <v>277</v>
      </c>
      <c r="S233" s="12" t="s">
        <v>277</v>
      </c>
      <c r="T233" s="12" t="s">
        <v>277</v>
      </c>
      <c r="U233" s="12" t="s">
        <v>277</v>
      </c>
      <c r="V233" s="12" t="s">
        <v>277</v>
      </c>
      <c r="W233" s="12" t="s">
        <v>277</v>
      </c>
      <c r="X233" s="12" t="s">
        <v>277</v>
      </c>
      <c r="Y233" s="12" t="s">
        <v>277</v>
      </c>
      <c r="Z233" s="12" t="s">
        <v>277</v>
      </c>
      <c r="AA233" s="12" t="s">
        <v>277</v>
      </c>
      <c r="AB233" s="12" t="s">
        <v>277</v>
      </c>
      <c r="AC233" s="12" t="s">
        <v>277</v>
      </c>
      <c r="AD233" s="12" t="s">
        <v>277</v>
      </c>
      <c r="AE233" s="12" t="s">
        <v>277</v>
      </c>
      <c r="AF233" s="12" t="s">
        <v>277</v>
      </c>
      <c r="AG233" s="12" t="s">
        <v>277</v>
      </c>
      <c r="AH233" s="12" t="s">
        <v>277</v>
      </c>
      <c r="AI233" s="12" t="s">
        <v>277</v>
      </c>
      <c r="AJ233" s="12" t="s">
        <v>277</v>
      </c>
      <c r="AK233" s="12" t="s">
        <v>277</v>
      </c>
      <c r="AL233" s="12" t="s">
        <v>277</v>
      </c>
      <c r="AM233" s="12" t="s">
        <v>277</v>
      </c>
      <c r="AN233" s="12" t="s">
        <v>277</v>
      </c>
      <c r="AO233" s="12" t="s">
        <v>277</v>
      </c>
      <c r="AP233" s="12" t="s">
        <v>277</v>
      </c>
      <c r="AQ233" s="12" t="s">
        <v>277</v>
      </c>
      <c r="AR233" s="12" t="s">
        <v>277</v>
      </c>
      <c r="AS233" s="12" t="s">
        <v>277</v>
      </c>
      <c r="AT233" s="12" t="s">
        <v>277</v>
      </c>
      <c r="AU233" s="12" t="s">
        <v>277</v>
      </c>
      <c r="AV233" s="12" t="s">
        <v>277</v>
      </c>
      <c r="AW233" s="12" t="s">
        <v>277</v>
      </c>
      <c r="AX233" s="12" t="s">
        <v>277</v>
      </c>
      <c r="AY233" s="12" t="s">
        <v>277</v>
      </c>
      <c r="AZ233" s="12" t="s">
        <v>277</v>
      </c>
      <c r="BA233" s="12" t="s">
        <v>277</v>
      </c>
      <c r="BB233" s="12" t="s">
        <v>277</v>
      </c>
      <c r="BC233" s="12" t="s">
        <v>277</v>
      </c>
      <c r="BD233" s="12" t="s">
        <v>277</v>
      </c>
      <c r="BE233" s="12" t="s">
        <v>277</v>
      </c>
      <c r="BF233" s="12" t="s">
        <v>277</v>
      </c>
      <c r="BG233" s="12" t="s">
        <v>277</v>
      </c>
      <c r="BH233" s="12" t="s">
        <v>277</v>
      </c>
      <c r="BI233" s="12" t="s">
        <v>277</v>
      </c>
      <c r="BJ233" s="12" t="s">
        <v>277</v>
      </c>
      <c r="BK233" s="12" t="s">
        <v>278</v>
      </c>
      <c r="BL233" s="12" t="s">
        <v>371</v>
      </c>
      <c r="BM233" s="12" t="s">
        <v>371</v>
      </c>
      <c r="BN233" s="12" t="s">
        <v>371</v>
      </c>
      <c r="BO233" s="12" t="s">
        <v>371</v>
      </c>
      <c r="BP233" s="12" t="s">
        <v>371</v>
      </c>
      <c r="BQ233" s="12" t="s">
        <v>371</v>
      </c>
      <c r="BR233" s="12" t="s">
        <v>280</v>
      </c>
      <c r="BS233" s="12" t="s">
        <v>281</v>
      </c>
      <c r="BT233" s="12" t="s">
        <v>281</v>
      </c>
      <c r="BU233" s="12" t="s">
        <v>281</v>
      </c>
      <c r="BV233" s="12" t="s">
        <v>454</v>
      </c>
      <c r="BW233" s="12" t="s">
        <v>454</v>
      </c>
      <c r="BX233" s="12" t="s">
        <v>460</v>
      </c>
      <c r="BY233" s="12" t="s">
        <v>460</v>
      </c>
      <c r="BZ233" s="12" t="s">
        <v>460</v>
      </c>
      <c r="CA233" s="12" t="s">
        <v>460</v>
      </c>
      <c r="CB233" s="12" t="s">
        <v>323</v>
      </c>
      <c r="CC233" s="12" t="s">
        <v>282</v>
      </c>
      <c r="CD233" s="12" t="s">
        <v>282</v>
      </c>
      <c r="CE233" s="12" t="s">
        <v>282</v>
      </c>
      <c r="CF233" s="12" t="s">
        <v>567</v>
      </c>
      <c r="CG233" s="12" t="s">
        <v>455</v>
      </c>
      <c r="CH233" s="12" t="s">
        <v>455</v>
      </c>
      <c r="CI233" s="12" t="s">
        <v>372</v>
      </c>
      <c r="CJ233" s="12" t="s">
        <v>372</v>
      </c>
      <c r="CK233" s="12" t="s">
        <v>325</v>
      </c>
      <c r="CL233" s="12" t="s">
        <v>325</v>
      </c>
      <c r="CM233" s="12" t="s">
        <v>286</v>
      </c>
      <c r="CN233" s="12" t="s">
        <v>456</v>
      </c>
      <c r="CO233" s="12" t="s">
        <v>456</v>
      </c>
      <c r="CP233" s="12" t="s">
        <v>456</v>
      </c>
      <c r="CQ233" s="12" t="s">
        <v>568</v>
      </c>
      <c r="CR233" s="12" t="s">
        <v>568</v>
      </c>
      <c r="CS233" s="12" t="s">
        <v>568</v>
      </c>
      <c r="CT233" s="12" t="s">
        <v>652</v>
      </c>
      <c r="CU233" s="12" t="s">
        <v>465</v>
      </c>
      <c r="CV233" s="12" t="s">
        <v>465</v>
      </c>
      <c r="CW233" s="12" t="s">
        <v>551</v>
      </c>
      <c r="CX233" s="12" t="s">
        <v>551</v>
      </c>
    </row>
    <row r="234" spans="1:102" hidden="1" x14ac:dyDescent="0.3">
      <c r="A234" s="12" t="s">
        <v>1910</v>
      </c>
      <c r="B234" s="12" t="s">
        <v>1134</v>
      </c>
      <c r="C234" s="12" t="s">
        <v>1911</v>
      </c>
      <c r="D234" s="12" t="s">
        <v>1911</v>
      </c>
      <c r="E234" s="12" t="s">
        <v>277</v>
      </c>
      <c r="F234" s="12" t="s">
        <v>277</v>
      </c>
      <c r="G234" s="12" t="s">
        <v>277</v>
      </c>
      <c r="H234" s="12" t="s">
        <v>277</v>
      </c>
      <c r="I234" s="12" t="s">
        <v>277</v>
      </c>
      <c r="J234" s="12" t="s">
        <v>277</v>
      </c>
      <c r="K234" s="12" t="s">
        <v>277</v>
      </c>
      <c r="L234" s="12" t="s">
        <v>277</v>
      </c>
      <c r="M234" s="12" t="s">
        <v>277</v>
      </c>
      <c r="N234" s="12" t="s">
        <v>277</v>
      </c>
      <c r="O234" s="12" t="s">
        <v>277</v>
      </c>
      <c r="P234" s="12" t="s">
        <v>277</v>
      </c>
      <c r="Q234" s="12" t="s">
        <v>277</v>
      </c>
      <c r="R234" s="12" t="s">
        <v>277</v>
      </c>
      <c r="S234" s="12" t="s">
        <v>277</v>
      </c>
      <c r="T234" s="12" t="s">
        <v>277</v>
      </c>
      <c r="U234" s="12" t="s">
        <v>277</v>
      </c>
      <c r="V234" s="12" t="s">
        <v>277</v>
      </c>
      <c r="W234" s="12" t="s">
        <v>277</v>
      </c>
      <c r="X234" s="12" t="s">
        <v>277</v>
      </c>
      <c r="Y234" s="12" t="s">
        <v>277</v>
      </c>
      <c r="Z234" s="12" t="s">
        <v>277</v>
      </c>
      <c r="AA234" s="12" t="s">
        <v>277</v>
      </c>
      <c r="AB234" s="12" t="s">
        <v>277</v>
      </c>
      <c r="AC234" s="12" t="s">
        <v>277</v>
      </c>
      <c r="AD234" s="12" t="s">
        <v>277</v>
      </c>
      <c r="AE234" s="12" t="s">
        <v>277</v>
      </c>
      <c r="AF234" s="12" t="s">
        <v>277</v>
      </c>
      <c r="AG234" s="12" t="s">
        <v>277</v>
      </c>
      <c r="AH234" s="12" t="s">
        <v>277</v>
      </c>
      <c r="AI234" s="12" t="s">
        <v>277</v>
      </c>
      <c r="AJ234" s="12" t="s">
        <v>277</v>
      </c>
      <c r="AK234" s="12" t="s">
        <v>277</v>
      </c>
      <c r="AL234" s="12" t="s">
        <v>277</v>
      </c>
      <c r="AM234" s="12" t="s">
        <v>277</v>
      </c>
      <c r="AN234" s="12" t="s">
        <v>277</v>
      </c>
      <c r="AO234" s="12" t="s">
        <v>277</v>
      </c>
      <c r="AP234" s="12" t="s">
        <v>277</v>
      </c>
      <c r="AQ234" s="12" t="s">
        <v>277</v>
      </c>
      <c r="AR234" s="12" t="s">
        <v>277</v>
      </c>
      <c r="AS234" s="12" t="s">
        <v>277</v>
      </c>
      <c r="AT234" s="12" t="s">
        <v>277</v>
      </c>
      <c r="AU234" s="12" t="s">
        <v>277</v>
      </c>
      <c r="AV234" s="12" t="s">
        <v>277</v>
      </c>
      <c r="AW234" s="12" t="s">
        <v>277</v>
      </c>
      <c r="AX234" s="12" t="s">
        <v>277</v>
      </c>
      <c r="AY234" s="12" t="s">
        <v>277</v>
      </c>
      <c r="AZ234" s="12" t="s">
        <v>277</v>
      </c>
      <c r="BA234" s="12" t="s">
        <v>277</v>
      </c>
      <c r="BB234" s="12" t="s">
        <v>277</v>
      </c>
      <c r="BC234" s="12" t="s">
        <v>277</v>
      </c>
      <c r="BD234" s="12" t="s">
        <v>277</v>
      </c>
      <c r="BE234" s="12" t="s">
        <v>277</v>
      </c>
      <c r="BF234" s="12" t="s">
        <v>277</v>
      </c>
      <c r="BG234" s="12" t="s">
        <v>277</v>
      </c>
      <c r="BH234" s="12" t="s">
        <v>277</v>
      </c>
      <c r="BI234" s="12" t="s">
        <v>277</v>
      </c>
      <c r="BJ234" s="12" t="s">
        <v>277</v>
      </c>
      <c r="BK234" s="12" t="s">
        <v>277</v>
      </c>
      <c r="BL234" s="12" t="s">
        <v>277</v>
      </c>
      <c r="BM234" s="12" t="s">
        <v>277</v>
      </c>
      <c r="BN234" s="12" t="s">
        <v>277</v>
      </c>
      <c r="BO234" s="12" t="s">
        <v>277</v>
      </c>
      <c r="BP234" s="12" t="s">
        <v>277</v>
      </c>
      <c r="BQ234" s="12" t="s">
        <v>277</v>
      </c>
      <c r="BR234" s="12" t="s">
        <v>277</v>
      </c>
      <c r="BS234" s="12" t="s">
        <v>277</v>
      </c>
      <c r="BT234" s="12" t="s">
        <v>277</v>
      </c>
      <c r="BU234" s="12" t="s">
        <v>277</v>
      </c>
      <c r="BV234" s="12" t="s">
        <v>277</v>
      </c>
      <c r="BW234" s="12" t="s">
        <v>277</v>
      </c>
      <c r="BX234" s="12" t="s">
        <v>277</v>
      </c>
      <c r="BY234" s="12" t="s">
        <v>277</v>
      </c>
      <c r="BZ234" s="12" t="s">
        <v>277</v>
      </c>
      <c r="CA234" s="12" t="s">
        <v>277</v>
      </c>
      <c r="CB234" s="12" t="s">
        <v>277</v>
      </c>
      <c r="CC234" s="12" t="s">
        <v>277</v>
      </c>
      <c r="CD234" s="12" t="s">
        <v>277</v>
      </c>
      <c r="CE234" s="12" t="s">
        <v>277</v>
      </c>
      <c r="CF234" s="12" t="s">
        <v>277</v>
      </c>
      <c r="CG234" s="12" t="s">
        <v>277</v>
      </c>
      <c r="CH234" s="12" t="s">
        <v>277</v>
      </c>
      <c r="CI234" s="12" t="s">
        <v>277</v>
      </c>
      <c r="CJ234" s="12" t="s">
        <v>277</v>
      </c>
      <c r="CK234" s="12" t="s">
        <v>277</v>
      </c>
      <c r="CL234" s="12" t="s">
        <v>277</v>
      </c>
      <c r="CM234" s="12" t="s">
        <v>277</v>
      </c>
      <c r="CN234" s="12" t="s">
        <v>277</v>
      </c>
      <c r="CO234" s="12" t="s">
        <v>277</v>
      </c>
      <c r="CP234" s="12" t="s">
        <v>277</v>
      </c>
      <c r="CQ234" s="12" t="s">
        <v>277</v>
      </c>
      <c r="CR234" s="12" t="s">
        <v>277</v>
      </c>
      <c r="CS234" s="12" t="s">
        <v>277</v>
      </c>
      <c r="CT234" s="12" t="s">
        <v>277</v>
      </c>
      <c r="CU234" s="12" t="s">
        <v>277</v>
      </c>
      <c r="CV234" s="12" t="s">
        <v>277</v>
      </c>
      <c r="CW234" s="12" t="s">
        <v>277</v>
      </c>
      <c r="CX234" s="12" t="s">
        <v>277</v>
      </c>
    </row>
    <row r="235" spans="1:102" hidden="1" x14ac:dyDescent="0.3">
      <c r="A235" s="12" t="s">
        <v>12</v>
      </c>
      <c r="B235" s="12" t="s">
        <v>3922</v>
      </c>
      <c r="C235" s="12" t="s">
        <v>3923</v>
      </c>
      <c r="D235" s="12" t="s">
        <v>3924</v>
      </c>
      <c r="E235" s="12" t="s">
        <v>277</v>
      </c>
      <c r="F235" s="12" t="s">
        <v>277</v>
      </c>
      <c r="G235" s="12" t="s">
        <v>277</v>
      </c>
      <c r="H235" s="12" t="s">
        <v>277</v>
      </c>
      <c r="I235" s="12" t="s">
        <v>277</v>
      </c>
      <c r="J235" s="12" t="s">
        <v>277</v>
      </c>
      <c r="K235" s="12" t="s">
        <v>277</v>
      </c>
      <c r="L235" s="12" t="s">
        <v>277</v>
      </c>
      <c r="M235" s="12" t="s">
        <v>277</v>
      </c>
      <c r="N235" s="12" t="s">
        <v>277</v>
      </c>
      <c r="O235" s="12" t="s">
        <v>277</v>
      </c>
      <c r="P235" s="12" t="s">
        <v>277</v>
      </c>
      <c r="Q235" s="12" t="s">
        <v>277</v>
      </c>
      <c r="R235" s="12" t="s">
        <v>277</v>
      </c>
      <c r="S235" s="12" t="s">
        <v>277</v>
      </c>
      <c r="T235" s="12" t="s">
        <v>277</v>
      </c>
      <c r="U235" s="12" t="s">
        <v>277</v>
      </c>
      <c r="V235" s="12" t="s">
        <v>277</v>
      </c>
      <c r="W235" s="12" t="s">
        <v>277</v>
      </c>
      <c r="X235" s="12" t="s">
        <v>277</v>
      </c>
      <c r="Y235" s="12" t="s">
        <v>277</v>
      </c>
      <c r="Z235" s="12" t="s">
        <v>277</v>
      </c>
      <c r="AA235" s="12" t="s">
        <v>277</v>
      </c>
      <c r="AB235" s="12" t="s">
        <v>277</v>
      </c>
      <c r="AC235" s="12" t="s">
        <v>277</v>
      </c>
      <c r="AD235" s="12" t="s">
        <v>277</v>
      </c>
      <c r="AE235" s="12" t="s">
        <v>277</v>
      </c>
      <c r="AF235" s="12" t="s">
        <v>277</v>
      </c>
      <c r="AG235" s="12" t="s">
        <v>277</v>
      </c>
      <c r="AH235" s="12" t="s">
        <v>277</v>
      </c>
      <c r="AI235" s="12" t="s">
        <v>277</v>
      </c>
      <c r="AJ235" s="12" t="s">
        <v>277</v>
      </c>
      <c r="AK235" s="12" t="s">
        <v>277</v>
      </c>
      <c r="AL235" s="12" t="s">
        <v>277</v>
      </c>
      <c r="AM235" s="12" t="s">
        <v>277</v>
      </c>
      <c r="AN235" s="12" t="s">
        <v>277</v>
      </c>
      <c r="AO235" s="12" t="s">
        <v>277</v>
      </c>
      <c r="AP235" s="12" t="s">
        <v>277</v>
      </c>
      <c r="AQ235" s="12" t="s">
        <v>277</v>
      </c>
      <c r="AR235" s="12" t="s">
        <v>277</v>
      </c>
      <c r="AS235" s="12" t="s">
        <v>277</v>
      </c>
      <c r="AT235" s="12" t="s">
        <v>277</v>
      </c>
      <c r="AU235" s="12" t="s">
        <v>277</v>
      </c>
      <c r="AV235" s="12" t="s">
        <v>277</v>
      </c>
      <c r="AW235" s="12" t="s">
        <v>277</v>
      </c>
      <c r="AX235" s="12" t="s">
        <v>277</v>
      </c>
      <c r="AY235" s="12" t="s">
        <v>277</v>
      </c>
      <c r="AZ235" s="12" t="s">
        <v>277</v>
      </c>
      <c r="BA235" s="12" t="s">
        <v>277</v>
      </c>
      <c r="BB235" s="12" t="s">
        <v>277</v>
      </c>
      <c r="BC235" s="12" t="s">
        <v>277</v>
      </c>
      <c r="BD235" s="12" t="s">
        <v>277</v>
      </c>
      <c r="BE235" s="12" t="s">
        <v>277</v>
      </c>
      <c r="BF235" s="12" t="s">
        <v>277</v>
      </c>
      <c r="BG235" s="12" t="s">
        <v>277</v>
      </c>
      <c r="BH235" s="12" t="s">
        <v>277</v>
      </c>
      <c r="BI235" s="12" t="s">
        <v>277</v>
      </c>
      <c r="BJ235" s="12" t="s">
        <v>277</v>
      </c>
      <c r="BK235" s="12" t="s">
        <v>277</v>
      </c>
      <c r="BL235" s="12" t="s">
        <v>277</v>
      </c>
      <c r="BM235" s="12" t="s">
        <v>278</v>
      </c>
      <c r="BN235" s="12" t="s">
        <v>322</v>
      </c>
      <c r="BO235" s="12" t="s">
        <v>322</v>
      </c>
      <c r="BP235" s="12" t="s">
        <v>281</v>
      </c>
      <c r="BQ235" s="12" t="s">
        <v>282</v>
      </c>
      <c r="BR235" s="12" t="s">
        <v>282</v>
      </c>
      <c r="BS235" s="12" t="s">
        <v>282</v>
      </c>
      <c r="BT235" s="12" t="s">
        <v>282</v>
      </c>
      <c r="BU235" s="12" t="s">
        <v>282</v>
      </c>
      <c r="BV235" s="12" t="s">
        <v>324</v>
      </c>
      <c r="BW235" s="12" t="s">
        <v>324</v>
      </c>
      <c r="BX235" s="12" t="s">
        <v>324</v>
      </c>
      <c r="BY235" s="12" t="s">
        <v>324</v>
      </c>
      <c r="BZ235" s="12" t="s">
        <v>455</v>
      </c>
      <c r="CA235" s="12" t="s">
        <v>455</v>
      </c>
      <c r="CB235" s="12" t="s">
        <v>461</v>
      </c>
      <c r="CC235" s="12" t="s">
        <v>461</v>
      </c>
      <c r="CD235" s="12" t="s">
        <v>461</v>
      </c>
      <c r="CE235" s="12" t="s">
        <v>461</v>
      </c>
      <c r="CF235" s="12" t="s">
        <v>283</v>
      </c>
      <c r="CG235" s="12" t="s">
        <v>283</v>
      </c>
      <c r="CH235" s="12" t="s">
        <v>283</v>
      </c>
      <c r="CI235" s="12" t="s">
        <v>283</v>
      </c>
      <c r="CJ235" s="12" t="s">
        <v>283</v>
      </c>
      <c r="CK235" s="12" t="s">
        <v>283</v>
      </c>
      <c r="CL235" s="12" t="s">
        <v>283</v>
      </c>
      <c r="CM235" s="12" t="s">
        <v>283</v>
      </c>
      <c r="CN235" s="12" t="s">
        <v>283</v>
      </c>
      <c r="CO235" s="12" t="s">
        <v>283</v>
      </c>
      <c r="CP235" s="12" t="s">
        <v>283</v>
      </c>
      <c r="CQ235" s="12" t="s">
        <v>283</v>
      </c>
      <c r="CR235" s="12" t="s">
        <v>283</v>
      </c>
      <c r="CS235" s="12" t="s">
        <v>283</v>
      </c>
      <c r="CT235" s="12" t="s">
        <v>283</v>
      </c>
      <c r="CU235" s="12" t="s">
        <v>283</v>
      </c>
      <c r="CV235" s="12" t="s">
        <v>283</v>
      </c>
      <c r="CW235" s="12" t="s">
        <v>283</v>
      </c>
      <c r="CX235" s="12" t="s">
        <v>283</v>
      </c>
    </row>
    <row r="236" spans="1:102" hidden="1" x14ac:dyDescent="0.3">
      <c r="A236" s="12" t="s">
        <v>12</v>
      </c>
      <c r="B236" s="12" t="s">
        <v>3925</v>
      </c>
      <c r="C236" s="12" t="s">
        <v>3926</v>
      </c>
      <c r="D236" s="12" t="s">
        <v>3927</v>
      </c>
      <c r="E236" s="12" t="s">
        <v>277</v>
      </c>
      <c r="F236" s="12" t="s">
        <v>277</v>
      </c>
      <c r="G236" s="12" t="s">
        <v>277</v>
      </c>
      <c r="H236" s="12" t="s">
        <v>277</v>
      </c>
      <c r="I236" s="12" t="s">
        <v>277</v>
      </c>
      <c r="J236" s="12" t="s">
        <v>277</v>
      </c>
      <c r="K236" s="12" t="s">
        <v>277</v>
      </c>
      <c r="L236" s="12" t="s">
        <v>277</v>
      </c>
      <c r="M236" s="12" t="s">
        <v>277</v>
      </c>
      <c r="N236" s="12" t="s">
        <v>277</v>
      </c>
      <c r="O236" s="12" t="s">
        <v>277</v>
      </c>
      <c r="P236" s="12" t="s">
        <v>277</v>
      </c>
      <c r="Q236" s="12" t="s">
        <v>277</v>
      </c>
      <c r="R236" s="12" t="s">
        <v>277</v>
      </c>
      <c r="S236" s="12" t="s">
        <v>277</v>
      </c>
      <c r="T236" s="12" t="s">
        <v>277</v>
      </c>
      <c r="U236" s="12" t="s">
        <v>277</v>
      </c>
      <c r="V236" s="12" t="s">
        <v>277</v>
      </c>
      <c r="W236" s="12" t="s">
        <v>277</v>
      </c>
      <c r="X236" s="12" t="s">
        <v>277</v>
      </c>
      <c r="Y236" s="12" t="s">
        <v>277</v>
      </c>
      <c r="Z236" s="12" t="s">
        <v>277</v>
      </c>
      <c r="AA236" s="12" t="s">
        <v>277</v>
      </c>
      <c r="AB236" s="12" t="s">
        <v>277</v>
      </c>
      <c r="AC236" s="12" t="s">
        <v>277</v>
      </c>
      <c r="AD236" s="12" t="s">
        <v>277</v>
      </c>
      <c r="AE236" s="12" t="s">
        <v>277</v>
      </c>
      <c r="AF236" s="12" t="s">
        <v>277</v>
      </c>
      <c r="AG236" s="12" t="s">
        <v>277</v>
      </c>
      <c r="AH236" s="12" t="s">
        <v>277</v>
      </c>
      <c r="AI236" s="12" t="s">
        <v>277</v>
      </c>
      <c r="AJ236" s="12" t="s">
        <v>277</v>
      </c>
      <c r="AK236" s="12" t="s">
        <v>277</v>
      </c>
      <c r="AL236" s="12" t="s">
        <v>277</v>
      </c>
      <c r="AM236" s="12" t="s">
        <v>277</v>
      </c>
      <c r="AN236" s="12" t="s">
        <v>277</v>
      </c>
      <c r="AO236" s="12" t="s">
        <v>277</v>
      </c>
      <c r="AP236" s="12" t="s">
        <v>277</v>
      </c>
      <c r="AQ236" s="12" t="s">
        <v>277</v>
      </c>
      <c r="AR236" s="12" t="s">
        <v>277</v>
      </c>
      <c r="AS236" s="12" t="s">
        <v>277</v>
      </c>
      <c r="AT236" s="12" t="s">
        <v>277</v>
      </c>
      <c r="AU236" s="12" t="s">
        <v>277</v>
      </c>
      <c r="AV236" s="12" t="s">
        <v>277</v>
      </c>
      <c r="AW236" s="12" t="s">
        <v>277</v>
      </c>
      <c r="AX236" s="12" t="s">
        <v>277</v>
      </c>
      <c r="AY236" s="12" t="s">
        <v>277</v>
      </c>
      <c r="AZ236" s="12" t="s">
        <v>277</v>
      </c>
      <c r="BA236" s="12" t="s">
        <v>277</v>
      </c>
      <c r="BB236" s="12" t="s">
        <v>277</v>
      </c>
      <c r="BC236" s="12" t="s">
        <v>277</v>
      </c>
      <c r="BD236" s="12" t="s">
        <v>277</v>
      </c>
      <c r="BE236" s="12" t="s">
        <v>277</v>
      </c>
      <c r="BF236" s="12" t="s">
        <v>277</v>
      </c>
      <c r="BG236" s="12" t="s">
        <v>277</v>
      </c>
      <c r="BH236" s="12" t="s">
        <v>277</v>
      </c>
      <c r="BI236" s="12" t="s">
        <v>277</v>
      </c>
      <c r="BJ236" s="12" t="s">
        <v>277</v>
      </c>
      <c r="BK236" s="12" t="s">
        <v>277</v>
      </c>
      <c r="BL236" s="12" t="s">
        <v>277</v>
      </c>
      <c r="BM236" s="12" t="s">
        <v>278</v>
      </c>
      <c r="BN236" s="12" t="s">
        <v>278</v>
      </c>
      <c r="BO236" s="12" t="s">
        <v>278</v>
      </c>
      <c r="BP236" s="12" t="s">
        <v>278</v>
      </c>
      <c r="BQ236" s="12" t="s">
        <v>281</v>
      </c>
      <c r="BR236" s="12" t="s">
        <v>281</v>
      </c>
      <c r="BS236" s="12" t="s">
        <v>281</v>
      </c>
      <c r="BT236" s="12" t="s">
        <v>460</v>
      </c>
      <c r="BU236" s="12" t="s">
        <v>460</v>
      </c>
      <c r="BV236" s="12" t="s">
        <v>460</v>
      </c>
      <c r="BW236" s="12" t="s">
        <v>460</v>
      </c>
      <c r="BX236" s="12" t="s">
        <v>323</v>
      </c>
      <c r="BY236" s="12" t="s">
        <v>324</v>
      </c>
      <c r="BZ236" s="12" t="s">
        <v>324</v>
      </c>
      <c r="CA236" s="12" t="s">
        <v>324</v>
      </c>
      <c r="CB236" s="12" t="s">
        <v>324</v>
      </c>
      <c r="CC236" s="12" t="s">
        <v>324</v>
      </c>
      <c r="CD236" s="12" t="s">
        <v>324</v>
      </c>
      <c r="CE236" s="12" t="s">
        <v>324</v>
      </c>
      <c r="CF236" s="12" t="s">
        <v>455</v>
      </c>
      <c r="CG236" s="12" t="s">
        <v>455</v>
      </c>
      <c r="CH236" s="12" t="s">
        <v>455</v>
      </c>
      <c r="CI236" s="12" t="s">
        <v>455</v>
      </c>
      <c r="CJ236" s="12" t="s">
        <v>455</v>
      </c>
      <c r="CK236" s="12" t="s">
        <v>455</v>
      </c>
      <c r="CL236" s="12" t="s">
        <v>455</v>
      </c>
      <c r="CM236" s="12" t="s">
        <v>455</v>
      </c>
      <c r="CN236" s="12" t="s">
        <v>455</v>
      </c>
      <c r="CO236" s="12" t="s">
        <v>455</v>
      </c>
      <c r="CP236" s="12" t="s">
        <v>455</v>
      </c>
      <c r="CQ236" s="12" t="s">
        <v>455</v>
      </c>
      <c r="CR236" s="12" t="s">
        <v>461</v>
      </c>
      <c r="CS236" s="12" t="s">
        <v>461</v>
      </c>
      <c r="CT236" s="12" t="s">
        <v>461</v>
      </c>
      <c r="CU236" s="12" t="s">
        <v>507</v>
      </c>
      <c r="CV236" s="12" t="s">
        <v>507</v>
      </c>
      <c r="CW236" s="12" t="s">
        <v>507</v>
      </c>
      <c r="CX236" s="12" t="s">
        <v>373</v>
      </c>
    </row>
    <row r="237" spans="1:102" hidden="1" x14ac:dyDescent="0.3">
      <c r="A237" s="12" t="s">
        <v>12</v>
      </c>
      <c r="B237" s="12" t="s">
        <v>3928</v>
      </c>
      <c r="C237" s="12" t="s">
        <v>3929</v>
      </c>
      <c r="D237" s="12" t="s">
        <v>3930</v>
      </c>
      <c r="E237" s="12" t="s">
        <v>277</v>
      </c>
      <c r="F237" s="12" t="s">
        <v>277</v>
      </c>
      <c r="G237" s="12" t="s">
        <v>277</v>
      </c>
      <c r="H237" s="12" t="s">
        <v>277</v>
      </c>
      <c r="I237" s="12" t="s">
        <v>277</v>
      </c>
      <c r="J237" s="12" t="s">
        <v>277</v>
      </c>
      <c r="K237" s="12" t="s">
        <v>277</v>
      </c>
      <c r="L237" s="12" t="s">
        <v>277</v>
      </c>
      <c r="M237" s="12" t="s">
        <v>277</v>
      </c>
      <c r="N237" s="12" t="s">
        <v>277</v>
      </c>
      <c r="O237" s="12" t="s">
        <v>277</v>
      </c>
      <c r="P237" s="12" t="s">
        <v>277</v>
      </c>
      <c r="Q237" s="12" t="s">
        <v>277</v>
      </c>
      <c r="R237" s="12" t="s">
        <v>277</v>
      </c>
      <c r="S237" s="12" t="s">
        <v>277</v>
      </c>
      <c r="T237" s="12" t="s">
        <v>277</v>
      </c>
      <c r="U237" s="12" t="s">
        <v>277</v>
      </c>
      <c r="V237" s="12" t="s">
        <v>277</v>
      </c>
      <c r="W237" s="12" t="s">
        <v>277</v>
      </c>
      <c r="X237" s="12" t="s">
        <v>277</v>
      </c>
      <c r="Y237" s="12" t="s">
        <v>277</v>
      </c>
      <c r="Z237" s="12" t="s">
        <v>277</v>
      </c>
      <c r="AA237" s="12" t="s">
        <v>277</v>
      </c>
      <c r="AB237" s="12" t="s">
        <v>277</v>
      </c>
      <c r="AC237" s="12" t="s">
        <v>277</v>
      </c>
      <c r="AD237" s="12" t="s">
        <v>277</v>
      </c>
      <c r="AE237" s="12" t="s">
        <v>277</v>
      </c>
      <c r="AF237" s="12" t="s">
        <v>277</v>
      </c>
      <c r="AG237" s="12" t="s">
        <v>277</v>
      </c>
      <c r="AH237" s="12" t="s">
        <v>277</v>
      </c>
      <c r="AI237" s="12" t="s">
        <v>277</v>
      </c>
      <c r="AJ237" s="12" t="s">
        <v>277</v>
      </c>
      <c r="AK237" s="12" t="s">
        <v>277</v>
      </c>
      <c r="AL237" s="12" t="s">
        <v>277</v>
      </c>
      <c r="AM237" s="12" t="s">
        <v>277</v>
      </c>
      <c r="AN237" s="12" t="s">
        <v>277</v>
      </c>
      <c r="AO237" s="12" t="s">
        <v>277</v>
      </c>
      <c r="AP237" s="12" t="s">
        <v>277</v>
      </c>
      <c r="AQ237" s="12" t="s">
        <v>277</v>
      </c>
      <c r="AR237" s="12" t="s">
        <v>277</v>
      </c>
      <c r="AS237" s="12" t="s">
        <v>277</v>
      </c>
      <c r="AT237" s="12" t="s">
        <v>277</v>
      </c>
      <c r="AU237" s="12" t="s">
        <v>277</v>
      </c>
      <c r="AV237" s="12" t="s">
        <v>277</v>
      </c>
      <c r="AW237" s="12" t="s">
        <v>277</v>
      </c>
      <c r="AX237" s="12" t="s">
        <v>277</v>
      </c>
      <c r="AY237" s="12" t="s">
        <v>277</v>
      </c>
      <c r="AZ237" s="12" t="s">
        <v>277</v>
      </c>
      <c r="BA237" s="12" t="s">
        <v>277</v>
      </c>
      <c r="BB237" s="12" t="s">
        <v>277</v>
      </c>
      <c r="BC237" s="12" t="s">
        <v>277</v>
      </c>
      <c r="BD237" s="12" t="s">
        <v>277</v>
      </c>
      <c r="BE237" s="12" t="s">
        <v>277</v>
      </c>
      <c r="BF237" s="12" t="s">
        <v>277</v>
      </c>
      <c r="BG237" s="12" t="s">
        <v>277</v>
      </c>
      <c r="BH237" s="12" t="s">
        <v>277</v>
      </c>
      <c r="BI237" s="12" t="s">
        <v>277</v>
      </c>
      <c r="BJ237" s="12" t="s">
        <v>277</v>
      </c>
      <c r="BK237" s="12" t="s">
        <v>277</v>
      </c>
      <c r="BL237" s="12" t="s">
        <v>277</v>
      </c>
      <c r="BM237" s="12" t="s">
        <v>278</v>
      </c>
      <c r="BN237" s="12" t="s">
        <v>278</v>
      </c>
      <c r="BO237" s="12" t="s">
        <v>371</v>
      </c>
      <c r="BP237" s="12" t="s">
        <v>280</v>
      </c>
      <c r="BQ237" s="12" t="s">
        <v>281</v>
      </c>
      <c r="BR237" s="12" t="s">
        <v>281</v>
      </c>
      <c r="BS237" s="12" t="s">
        <v>454</v>
      </c>
      <c r="BT237" s="12" t="s">
        <v>454</v>
      </c>
      <c r="BU237" s="12" t="s">
        <v>454</v>
      </c>
      <c r="BV237" s="12" t="s">
        <v>454</v>
      </c>
      <c r="BW237" s="12" t="s">
        <v>323</v>
      </c>
      <c r="BX237" s="12" t="s">
        <v>323</v>
      </c>
      <c r="BY237" s="12" t="s">
        <v>323</v>
      </c>
      <c r="BZ237" s="12" t="s">
        <v>323</v>
      </c>
      <c r="CA237" s="12" t="s">
        <v>323</v>
      </c>
      <c r="CB237" s="12" t="s">
        <v>323</v>
      </c>
      <c r="CC237" s="12" t="s">
        <v>323</v>
      </c>
      <c r="CD237" s="12" t="s">
        <v>372</v>
      </c>
      <c r="CE237" s="12" t="s">
        <v>372</v>
      </c>
      <c r="CF237" s="12" t="s">
        <v>374</v>
      </c>
      <c r="CG237" s="12" t="s">
        <v>374</v>
      </c>
      <c r="CH237" s="12" t="s">
        <v>284</v>
      </c>
      <c r="CI237" s="12" t="s">
        <v>284</v>
      </c>
      <c r="CJ237" s="12" t="s">
        <v>568</v>
      </c>
      <c r="CK237" s="12" t="s">
        <v>652</v>
      </c>
      <c r="CL237" s="12" t="s">
        <v>465</v>
      </c>
      <c r="CM237" s="12" t="s">
        <v>466</v>
      </c>
      <c r="CN237" s="12" t="s">
        <v>616</v>
      </c>
      <c r="CO237" s="12" t="s">
        <v>417</v>
      </c>
      <c r="CP237" s="12" t="s">
        <v>417</v>
      </c>
      <c r="CQ237" s="12" t="s">
        <v>417</v>
      </c>
      <c r="CR237" s="12" t="s">
        <v>745</v>
      </c>
      <c r="CS237" s="12" t="s">
        <v>617</v>
      </c>
      <c r="CT237" s="12" t="s">
        <v>569</v>
      </c>
      <c r="CU237" s="12" t="s">
        <v>333</v>
      </c>
      <c r="CV237" s="12" t="s">
        <v>334</v>
      </c>
      <c r="CW237" s="12" t="s">
        <v>334</v>
      </c>
      <c r="CX237" s="12" t="s">
        <v>334</v>
      </c>
    </row>
    <row r="238" spans="1:102" hidden="1" x14ac:dyDescent="0.3">
      <c r="A238" s="12" t="s">
        <v>12</v>
      </c>
      <c r="B238" s="12" t="s">
        <v>3931</v>
      </c>
      <c r="C238" s="12" t="s">
        <v>3932</v>
      </c>
      <c r="D238" s="12" t="s">
        <v>3933</v>
      </c>
      <c r="E238" s="12" t="s">
        <v>277</v>
      </c>
      <c r="F238" s="12" t="s">
        <v>277</v>
      </c>
      <c r="G238" s="12" t="s">
        <v>277</v>
      </c>
      <c r="H238" s="12" t="s">
        <v>277</v>
      </c>
      <c r="I238" s="12" t="s">
        <v>277</v>
      </c>
      <c r="J238" s="12" t="s">
        <v>277</v>
      </c>
      <c r="K238" s="12" t="s">
        <v>277</v>
      </c>
      <c r="L238" s="12" t="s">
        <v>277</v>
      </c>
      <c r="M238" s="12" t="s">
        <v>277</v>
      </c>
      <c r="N238" s="12" t="s">
        <v>277</v>
      </c>
      <c r="O238" s="12" t="s">
        <v>277</v>
      </c>
      <c r="P238" s="12" t="s">
        <v>277</v>
      </c>
      <c r="Q238" s="12" t="s">
        <v>277</v>
      </c>
      <c r="R238" s="12" t="s">
        <v>277</v>
      </c>
      <c r="S238" s="12" t="s">
        <v>277</v>
      </c>
      <c r="T238" s="12" t="s">
        <v>277</v>
      </c>
      <c r="U238" s="12" t="s">
        <v>277</v>
      </c>
      <c r="V238" s="12" t="s">
        <v>277</v>
      </c>
      <c r="W238" s="12" t="s">
        <v>277</v>
      </c>
      <c r="X238" s="12" t="s">
        <v>277</v>
      </c>
      <c r="Y238" s="12" t="s">
        <v>277</v>
      </c>
      <c r="Z238" s="12" t="s">
        <v>277</v>
      </c>
      <c r="AA238" s="12" t="s">
        <v>277</v>
      </c>
      <c r="AB238" s="12" t="s">
        <v>277</v>
      </c>
      <c r="AC238" s="12" t="s">
        <v>277</v>
      </c>
      <c r="AD238" s="12" t="s">
        <v>277</v>
      </c>
      <c r="AE238" s="12" t="s">
        <v>277</v>
      </c>
      <c r="AF238" s="12" t="s">
        <v>277</v>
      </c>
      <c r="AG238" s="12" t="s">
        <v>277</v>
      </c>
      <c r="AH238" s="12" t="s">
        <v>277</v>
      </c>
      <c r="AI238" s="12" t="s">
        <v>277</v>
      </c>
      <c r="AJ238" s="12" t="s">
        <v>277</v>
      </c>
      <c r="AK238" s="12" t="s">
        <v>277</v>
      </c>
      <c r="AL238" s="12" t="s">
        <v>277</v>
      </c>
      <c r="AM238" s="12" t="s">
        <v>277</v>
      </c>
      <c r="AN238" s="12" t="s">
        <v>277</v>
      </c>
      <c r="AO238" s="12" t="s">
        <v>277</v>
      </c>
      <c r="AP238" s="12" t="s">
        <v>277</v>
      </c>
      <c r="AQ238" s="12" t="s">
        <v>277</v>
      </c>
      <c r="AR238" s="12" t="s">
        <v>277</v>
      </c>
      <c r="AS238" s="12" t="s">
        <v>277</v>
      </c>
      <c r="AT238" s="12" t="s">
        <v>277</v>
      </c>
      <c r="AU238" s="12" t="s">
        <v>277</v>
      </c>
      <c r="AV238" s="12" t="s">
        <v>277</v>
      </c>
      <c r="AW238" s="12" t="s">
        <v>277</v>
      </c>
      <c r="AX238" s="12" t="s">
        <v>277</v>
      </c>
      <c r="AY238" s="12" t="s">
        <v>277</v>
      </c>
      <c r="AZ238" s="12" t="s">
        <v>277</v>
      </c>
      <c r="BA238" s="12" t="s">
        <v>277</v>
      </c>
      <c r="BB238" s="12" t="s">
        <v>277</v>
      </c>
      <c r="BC238" s="12" t="s">
        <v>277</v>
      </c>
      <c r="BD238" s="12" t="s">
        <v>277</v>
      </c>
      <c r="BE238" s="12" t="s">
        <v>277</v>
      </c>
      <c r="BF238" s="12" t="s">
        <v>277</v>
      </c>
      <c r="BG238" s="12" t="s">
        <v>277</v>
      </c>
      <c r="BH238" s="12" t="s">
        <v>277</v>
      </c>
      <c r="BI238" s="12" t="s">
        <v>277</v>
      </c>
      <c r="BJ238" s="12" t="s">
        <v>277</v>
      </c>
      <c r="BK238" s="12" t="s">
        <v>277</v>
      </c>
      <c r="BL238" s="12" t="s">
        <v>277</v>
      </c>
      <c r="BM238" s="12" t="s">
        <v>278</v>
      </c>
      <c r="BN238" s="12" t="s">
        <v>278</v>
      </c>
      <c r="BO238" s="12" t="s">
        <v>278</v>
      </c>
      <c r="BP238" s="12" t="s">
        <v>280</v>
      </c>
      <c r="BQ238" s="12" t="s">
        <v>280</v>
      </c>
      <c r="BR238" s="12" t="s">
        <v>280</v>
      </c>
      <c r="BS238" s="12" t="s">
        <v>280</v>
      </c>
      <c r="BT238" s="12" t="s">
        <v>460</v>
      </c>
      <c r="BU238" s="12" t="s">
        <v>323</v>
      </c>
      <c r="BV238" s="12" t="s">
        <v>323</v>
      </c>
      <c r="BW238" s="12" t="s">
        <v>323</v>
      </c>
      <c r="BX238" s="12" t="s">
        <v>283</v>
      </c>
      <c r="BY238" s="12" t="s">
        <v>283</v>
      </c>
      <c r="BZ238" s="12" t="s">
        <v>283</v>
      </c>
      <c r="CA238" s="12" t="s">
        <v>373</v>
      </c>
      <c r="CB238" s="12" t="s">
        <v>373</v>
      </c>
      <c r="CC238" s="12" t="s">
        <v>373</v>
      </c>
      <c r="CD238" s="12" t="s">
        <v>373</v>
      </c>
      <c r="CE238" s="12" t="s">
        <v>373</v>
      </c>
      <c r="CF238" s="12" t="s">
        <v>373</v>
      </c>
      <c r="CG238" s="12" t="s">
        <v>456</v>
      </c>
      <c r="CH238" s="12" t="s">
        <v>456</v>
      </c>
      <c r="CI238" s="12" t="s">
        <v>456</v>
      </c>
      <c r="CJ238" s="12" t="s">
        <v>652</v>
      </c>
      <c r="CK238" s="12" t="s">
        <v>326</v>
      </c>
      <c r="CL238" s="12" t="s">
        <v>326</v>
      </c>
      <c r="CM238" s="12" t="s">
        <v>327</v>
      </c>
      <c r="CN238" s="12" t="s">
        <v>327</v>
      </c>
      <c r="CO238" s="12" t="s">
        <v>417</v>
      </c>
      <c r="CP238" s="12" t="s">
        <v>417</v>
      </c>
      <c r="CQ238" s="12" t="s">
        <v>328</v>
      </c>
      <c r="CR238" s="12" t="s">
        <v>328</v>
      </c>
      <c r="CS238" s="12" t="s">
        <v>328</v>
      </c>
      <c r="CT238" s="12" t="s">
        <v>328</v>
      </c>
      <c r="CU238" s="12" t="s">
        <v>328</v>
      </c>
      <c r="CV238" s="12" t="s">
        <v>958</v>
      </c>
      <c r="CW238" s="12" t="s">
        <v>958</v>
      </c>
      <c r="CX238" s="12" t="s">
        <v>958</v>
      </c>
    </row>
    <row r="239" spans="1:102" hidden="1" x14ac:dyDescent="0.3">
      <c r="A239" s="12" t="s">
        <v>12</v>
      </c>
      <c r="B239" s="12" t="s">
        <v>3934</v>
      </c>
      <c r="C239" s="12" t="s">
        <v>3935</v>
      </c>
      <c r="D239" s="12" t="s">
        <v>3936</v>
      </c>
      <c r="E239" s="12" t="s">
        <v>277</v>
      </c>
      <c r="F239" s="12" t="s">
        <v>277</v>
      </c>
      <c r="G239" s="12" t="s">
        <v>277</v>
      </c>
      <c r="H239" s="12" t="s">
        <v>277</v>
      </c>
      <c r="I239" s="12" t="s">
        <v>277</v>
      </c>
      <c r="J239" s="12" t="s">
        <v>277</v>
      </c>
      <c r="K239" s="12" t="s">
        <v>277</v>
      </c>
      <c r="L239" s="12" t="s">
        <v>277</v>
      </c>
      <c r="M239" s="12" t="s">
        <v>277</v>
      </c>
      <c r="N239" s="12" t="s">
        <v>277</v>
      </c>
      <c r="O239" s="12" t="s">
        <v>277</v>
      </c>
      <c r="P239" s="12" t="s">
        <v>277</v>
      </c>
      <c r="Q239" s="12" t="s">
        <v>277</v>
      </c>
      <c r="R239" s="12" t="s">
        <v>277</v>
      </c>
      <c r="S239" s="12" t="s">
        <v>277</v>
      </c>
      <c r="T239" s="12" t="s">
        <v>277</v>
      </c>
      <c r="U239" s="12" t="s">
        <v>277</v>
      </c>
      <c r="V239" s="12" t="s">
        <v>277</v>
      </c>
      <c r="W239" s="12" t="s">
        <v>277</v>
      </c>
      <c r="X239" s="12" t="s">
        <v>277</v>
      </c>
      <c r="Y239" s="12" t="s">
        <v>277</v>
      </c>
      <c r="Z239" s="12" t="s">
        <v>277</v>
      </c>
      <c r="AA239" s="12" t="s">
        <v>277</v>
      </c>
      <c r="AB239" s="12" t="s">
        <v>277</v>
      </c>
      <c r="AC239" s="12" t="s">
        <v>277</v>
      </c>
      <c r="AD239" s="12" t="s">
        <v>277</v>
      </c>
      <c r="AE239" s="12" t="s">
        <v>277</v>
      </c>
      <c r="AF239" s="12" t="s">
        <v>277</v>
      </c>
      <c r="AG239" s="12" t="s">
        <v>277</v>
      </c>
      <c r="AH239" s="12" t="s">
        <v>277</v>
      </c>
      <c r="AI239" s="12" t="s">
        <v>277</v>
      </c>
      <c r="AJ239" s="12" t="s">
        <v>277</v>
      </c>
      <c r="AK239" s="12" t="s">
        <v>277</v>
      </c>
      <c r="AL239" s="12" t="s">
        <v>277</v>
      </c>
      <c r="AM239" s="12" t="s">
        <v>277</v>
      </c>
      <c r="AN239" s="12" t="s">
        <v>277</v>
      </c>
      <c r="AO239" s="12" t="s">
        <v>277</v>
      </c>
      <c r="AP239" s="12" t="s">
        <v>277</v>
      </c>
      <c r="AQ239" s="12" t="s">
        <v>277</v>
      </c>
      <c r="AR239" s="12" t="s">
        <v>277</v>
      </c>
      <c r="AS239" s="12" t="s">
        <v>277</v>
      </c>
      <c r="AT239" s="12" t="s">
        <v>277</v>
      </c>
      <c r="AU239" s="12" t="s">
        <v>277</v>
      </c>
      <c r="AV239" s="12" t="s">
        <v>277</v>
      </c>
      <c r="AW239" s="12" t="s">
        <v>277</v>
      </c>
      <c r="AX239" s="12" t="s">
        <v>277</v>
      </c>
      <c r="AY239" s="12" t="s">
        <v>277</v>
      </c>
      <c r="AZ239" s="12" t="s">
        <v>277</v>
      </c>
      <c r="BA239" s="12" t="s">
        <v>277</v>
      </c>
      <c r="BB239" s="12" t="s">
        <v>277</v>
      </c>
      <c r="BC239" s="12" t="s">
        <v>277</v>
      </c>
      <c r="BD239" s="12" t="s">
        <v>277</v>
      </c>
      <c r="BE239" s="12" t="s">
        <v>277</v>
      </c>
      <c r="BF239" s="12" t="s">
        <v>277</v>
      </c>
      <c r="BG239" s="12" t="s">
        <v>277</v>
      </c>
      <c r="BH239" s="12" t="s">
        <v>277</v>
      </c>
      <c r="BI239" s="12" t="s">
        <v>277</v>
      </c>
      <c r="BJ239" s="12" t="s">
        <v>277</v>
      </c>
      <c r="BK239" s="12" t="s">
        <v>277</v>
      </c>
      <c r="BL239" s="12" t="s">
        <v>277</v>
      </c>
      <c r="BM239" s="12" t="s">
        <v>278</v>
      </c>
      <c r="BN239" s="12" t="s">
        <v>278</v>
      </c>
      <c r="BO239" s="12" t="s">
        <v>278</v>
      </c>
      <c r="BP239" s="12" t="s">
        <v>278</v>
      </c>
      <c r="BQ239" s="12" t="s">
        <v>278</v>
      </c>
      <c r="BR239" s="12" t="s">
        <v>278</v>
      </c>
      <c r="BS239" s="12" t="s">
        <v>278</v>
      </c>
      <c r="BT239" s="12" t="s">
        <v>278</v>
      </c>
      <c r="BU239" s="12" t="s">
        <v>278</v>
      </c>
      <c r="BV239" s="12" t="s">
        <v>278</v>
      </c>
      <c r="BW239" s="12" t="s">
        <v>278</v>
      </c>
      <c r="BX239" s="12" t="s">
        <v>278</v>
      </c>
      <c r="BY239" s="12" t="s">
        <v>278</v>
      </c>
      <c r="BZ239" s="12" t="s">
        <v>278</v>
      </c>
      <c r="CA239" s="12" t="s">
        <v>278</v>
      </c>
      <c r="CB239" s="12" t="s">
        <v>278</v>
      </c>
      <c r="CC239" s="12" t="s">
        <v>278</v>
      </c>
      <c r="CD239" s="12" t="s">
        <v>278</v>
      </c>
      <c r="CE239" s="12" t="s">
        <v>278</v>
      </c>
      <c r="CF239" s="12" t="s">
        <v>322</v>
      </c>
      <c r="CG239" s="12" t="s">
        <v>322</v>
      </c>
      <c r="CH239" s="12" t="s">
        <v>322</v>
      </c>
      <c r="CI239" s="12" t="s">
        <v>279</v>
      </c>
      <c r="CJ239" s="12" t="s">
        <v>550</v>
      </c>
      <c r="CK239" s="12" t="s">
        <v>454</v>
      </c>
      <c r="CL239" s="12" t="s">
        <v>507</v>
      </c>
      <c r="CM239" s="12" t="s">
        <v>507</v>
      </c>
      <c r="CN239" s="12" t="s">
        <v>507</v>
      </c>
      <c r="CO239" s="12" t="s">
        <v>373</v>
      </c>
      <c r="CP239" s="12" t="s">
        <v>285</v>
      </c>
      <c r="CQ239" s="12" t="s">
        <v>325</v>
      </c>
      <c r="CR239" s="12" t="s">
        <v>325</v>
      </c>
      <c r="CS239" s="12" t="s">
        <v>325</v>
      </c>
      <c r="CT239" s="12" t="s">
        <v>286</v>
      </c>
      <c r="CU239" s="12" t="s">
        <v>286</v>
      </c>
      <c r="CV239" s="12" t="s">
        <v>286</v>
      </c>
      <c r="CW239" s="12" t="s">
        <v>286</v>
      </c>
      <c r="CX239" s="12" t="s">
        <v>286</v>
      </c>
    </row>
    <row r="240" spans="1:102" hidden="1" x14ac:dyDescent="0.3">
      <c r="A240" s="12" t="s">
        <v>12</v>
      </c>
      <c r="B240" s="12" t="s">
        <v>3937</v>
      </c>
      <c r="C240" s="12" t="s">
        <v>877</v>
      </c>
      <c r="D240" s="12" t="s">
        <v>878</v>
      </c>
      <c r="E240" s="12" t="s">
        <v>277</v>
      </c>
      <c r="F240" s="12" t="s">
        <v>277</v>
      </c>
      <c r="G240" s="12" t="s">
        <v>277</v>
      </c>
      <c r="H240" s="12" t="s">
        <v>277</v>
      </c>
      <c r="I240" s="12" t="s">
        <v>277</v>
      </c>
      <c r="J240" s="12" t="s">
        <v>277</v>
      </c>
      <c r="K240" s="12" t="s">
        <v>277</v>
      </c>
      <c r="L240" s="12" t="s">
        <v>277</v>
      </c>
      <c r="M240" s="12" t="s">
        <v>277</v>
      </c>
      <c r="N240" s="12" t="s">
        <v>277</v>
      </c>
      <c r="O240" s="12" t="s">
        <v>277</v>
      </c>
      <c r="P240" s="12" t="s">
        <v>277</v>
      </c>
      <c r="Q240" s="12" t="s">
        <v>277</v>
      </c>
      <c r="R240" s="12" t="s">
        <v>277</v>
      </c>
      <c r="S240" s="12" t="s">
        <v>277</v>
      </c>
      <c r="T240" s="12" t="s">
        <v>277</v>
      </c>
      <c r="U240" s="12" t="s">
        <v>277</v>
      </c>
      <c r="V240" s="12" t="s">
        <v>277</v>
      </c>
      <c r="W240" s="12" t="s">
        <v>277</v>
      </c>
      <c r="X240" s="12" t="s">
        <v>277</v>
      </c>
      <c r="Y240" s="12" t="s">
        <v>277</v>
      </c>
      <c r="Z240" s="12" t="s">
        <v>277</v>
      </c>
      <c r="AA240" s="12" t="s">
        <v>277</v>
      </c>
      <c r="AB240" s="12" t="s">
        <v>277</v>
      </c>
      <c r="AC240" s="12" t="s">
        <v>277</v>
      </c>
      <c r="AD240" s="12" t="s">
        <v>277</v>
      </c>
      <c r="AE240" s="12" t="s">
        <v>277</v>
      </c>
      <c r="AF240" s="12" t="s">
        <v>277</v>
      </c>
      <c r="AG240" s="12" t="s">
        <v>277</v>
      </c>
      <c r="AH240" s="12" t="s">
        <v>277</v>
      </c>
      <c r="AI240" s="12" t="s">
        <v>277</v>
      </c>
      <c r="AJ240" s="12" t="s">
        <v>277</v>
      </c>
      <c r="AK240" s="12" t="s">
        <v>277</v>
      </c>
      <c r="AL240" s="12" t="s">
        <v>277</v>
      </c>
      <c r="AM240" s="12" t="s">
        <v>277</v>
      </c>
      <c r="AN240" s="12" t="s">
        <v>277</v>
      </c>
      <c r="AO240" s="12" t="s">
        <v>277</v>
      </c>
      <c r="AP240" s="12" t="s">
        <v>277</v>
      </c>
      <c r="AQ240" s="12" t="s">
        <v>277</v>
      </c>
      <c r="AR240" s="12" t="s">
        <v>277</v>
      </c>
      <c r="AS240" s="12" t="s">
        <v>277</v>
      </c>
      <c r="AT240" s="12" t="s">
        <v>277</v>
      </c>
      <c r="AU240" s="12" t="s">
        <v>277</v>
      </c>
      <c r="AV240" s="12" t="s">
        <v>277</v>
      </c>
      <c r="AW240" s="12" t="s">
        <v>277</v>
      </c>
      <c r="AX240" s="12" t="s">
        <v>277</v>
      </c>
      <c r="AY240" s="12" t="s">
        <v>277</v>
      </c>
      <c r="AZ240" s="12" t="s">
        <v>277</v>
      </c>
      <c r="BA240" s="12" t="s">
        <v>277</v>
      </c>
      <c r="BB240" s="12" t="s">
        <v>277</v>
      </c>
      <c r="BC240" s="12" t="s">
        <v>277</v>
      </c>
      <c r="BD240" s="12" t="s">
        <v>277</v>
      </c>
      <c r="BE240" s="12" t="s">
        <v>277</v>
      </c>
      <c r="BF240" s="12" t="s">
        <v>277</v>
      </c>
      <c r="BG240" s="12" t="s">
        <v>277</v>
      </c>
      <c r="BH240" s="12" t="s">
        <v>277</v>
      </c>
      <c r="BI240" s="12" t="s">
        <v>277</v>
      </c>
      <c r="BJ240" s="12" t="s">
        <v>277</v>
      </c>
      <c r="BK240" s="12" t="s">
        <v>277</v>
      </c>
      <c r="BL240" s="12" t="s">
        <v>277</v>
      </c>
      <c r="BM240" s="12" t="s">
        <v>277</v>
      </c>
      <c r="BN240" s="12" t="s">
        <v>278</v>
      </c>
      <c r="BO240" s="12" t="s">
        <v>278</v>
      </c>
      <c r="BP240" s="12" t="s">
        <v>322</v>
      </c>
      <c r="BQ240" s="12" t="s">
        <v>322</v>
      </c>
      <c r="BR240" s="12" t="s">
        <v>322</v>
      </c>
      <c r="BS240" s="12" t="s">
        <v>322</v>
      </c>
      <c r="BT240" s="12" t="s">
        <v>322</v>
      </c>
      <c r="BU240" s="12" t="s">
        <v>371</v>
      </c>
      <c r="BV240" s="12" t="s">
        <v>371</v>
      </c>
      <c r="BW240" s="12" t="s">
        <v>371</v>
      </c>
      <c r="BX240" s="12" t="s">
        <v>371</v>
      </c>
      <c r="BY240" s="12" t="s">
        <v>279</v>
      </c>
      <c r="BZ240" s="12" t="s">
        <v>279</v>
      </c>
      <c r="CA240" s="12" t="s">
        <v>280</v>
      </c>
      <c r="CB240" s="12" t="s">
        <v>281</v>
      </c>
      <c r="CC240" s="12" t="s">
        <v>281</v>
      </c>
      <c r="CD240" s="12" t="s">
        <v>454</v>
      </c>
      <c r="CE240" s="12" t="s">
        <v>460</v>
      </c>
      <c r="CF240" s="12" t="s">
        <v>323</v>
      </c>
      <c r="CG240" s="12" t="s">
        <v>567</v>
      </c>
      <c r="CH240" s="12" t="s">
        <v>455</v>
      </c>
      <c r="CI240" s="12" t="s">
        <v>507</v>
      </c>
      <c r="CJ240" s="12" t="s">
        <v>507</v>
      </c>
      <c r="CK240" s="12" t="s">
        <v>507</v>
      </c>
      <c r="CL240" s="12" t="s">
        <v>507</v>
      </c>
      <c r="CM240" s="12" t="s">
        <v>507</v>
      </c>
      <c r="CN240" s="12" t="s">
        <v>507</v>
      </c>
      <c r="CO240" s="12" t="s">
        <v>507</v>
      </c>
      <c r="CP240" s="12" t="s">
        <v>507</v>
      </c>
      <c r="CQ240" s="12" t="s">
        <v>507</v>
      </c>
      <c r="CR240" s="12" t="s">
        <v>507</v>
      </c>
      <c r="CS240" s="12" t="s">
        <v>507</v>
      </c>
      <c r="CT240" s="12" t="s">
        <v>507</v>
      </c>
      <c r="CU240" s="12" t="s">
        <v>507</v>
      </c>
      <c r="CV240" s="12" t="s">
        <v>507</v>
      </c>
      <c r="CW240" s="12" t="s">
        <v>507</v>
      </c>
      <c r="CX240" s="12" t="s">
        <v>507</v>
      </c>
    </row>
    <row r="241" spans="1:102" hidden="1" x14ac:dyDescent="0.3">
      <c r="A241" s="12" t="s">
        <v>3938</v>
      </c>
      <c r="B241" s="12" t="s">
        <v>1134</v>
      </c>
      <c r="C241" s="12" t="s">
        <v>1911</v>
      </c>
      <c r="D241" s="12" t="s">
        <v>1911</v>
      </c>
      <c r="E241" s="12" t="s">
        <v>277</v>
      </c>
      <c r="F241" s="12" t="s">
        <v>277</v>
      </c>
      <c r="G241" s="12" t="s">
        <v>277</v>
      </c>
      <c r="H241" s="12" t="s">
        <v>277</v>
      </c>
      <c r="I241" s="12" t="s">
        <v>277</v>
      </c>
      <c r="J241" s="12" t="s">
        <v>277</v>
      </c>
      <c r="K241" s="12" t="s">
        <v>277</v>
      </c>
      <c r="L241" s="12" t="s">
        <v>277</v>
      </c>
      <c r="M241" s="12" t="s">
        <v>277</v>
      </c>
      <c r="N241" s="12" t="s">
        <v>277</v>
      </c>
      <c r="O241" s="12" t="s">
        <v>277</v>
      </c>
      <c r="P241" s="12" t="s">
        <v>277</v>
      </c>
      <c r="Q241" s="12" t="s">
        <v>277</v>
      </c>
      <c r="R241" s="12" t="s">
        <v>277</v>
      </c>
      <c r="S241" s="12" t="s">
        <v>277</v>
      </c>
      <c r="T241" s="12" t="s">
        <v>277</v>
      </c>
      <c r="U241" s="12" t="s">
        <v>277</v>
      </c>
      <c r="V241" s="12" t="s">
        <v>277</v>
      </c>
      <c r="W241" s="12" t="s">
        <v>277</v>
      </c>
      <c r="X241" s="12" t="s">
        <v>277</v>
      </c>
      <c r="Y241" s="12" t="s">
        <v>277</v>
      </c>
      <c r="Z241" s="12" t="s">
        <v>277</v>
      </c>
      <c r="AA241" s="12" t="s">
        <v>277</v>
      </c>
      <c r="AB241" s="12" t="s">
        <v>277</v>
      </c>
      <c r="AC241" s="12" t="s">
        <v>277</v>
      </c>
      <c r="AD241" s="12" t="s">
        <v>277</v>
      </c>
      <c r="AE241" s="12" t="s">
        <v>277</v>
      </c>
      <c r="AF241" s="12" t="s">
        <v>277</v>
      </c>
      <c r="AG241" s="12" t="s">
        <v>277</v>
      </c>
      <c r="AH241" s="12" t="s">
        <v>277</v>
      </c>
      <c r="AI241" s="12" t="s">
        <v>277</v>
      </c>
      <c r="AJ241" s="12" t="s">
        <v>277</v>
      </c>
      <c r="AK241" s="12" t="s">
        <v>277</v>
      </c>
      <c r="AL241" s="12" t="s">
        <v>277</v>
      </c>
      <c r="AM241" s="12" t="s">
        <v>277</v>
      </c>
      <c r="AN241" s="12" t="s">
        <v>277</v>
      </c>
      <c r="AO241" s="12" t="s">
        <v>277</v>
      </c>
      <c r="AP241" s="12" t="s">
        <v>277</v>
      </c>
      <c r="AQ241" s="12" t="s">
        <v>277</v>
      </c>
      <c r="AR241" s="12" t="s">
        <v>277</v>
      </c>
      <c r="AS241" s="12" t="s">
        <v>277</v>
      </c>
      <c r="AT241" s="12" t="s">
        <v>277</v>
      </c>
      <c r="AU241" s="12" t="s">
        <v>277</v>
      </c>
      <c r="AV241" s="12" t="s">
        <v>277</v>
      </c>
      <c r="AW241" s="12" t="s">
        <v>277</v>
      </c>
      <c r="AX241" s="12" t="s">
        <v>277</v>
      </c>
      <c r="AY241" s="12" t="s">
        <v>277</v>
      </c>
      <c r="AZ241" s="12" t="s">
        <v>277</v>
      </c>
      <c r="BA241" s="12" t="s">
        <v>277</v>
      </c>
      <c r="BB241" s="12" t="s">
        <v>277</v>
      </c>
      <c r="BC241" s="12" t="s">
        <v>277</v>
      </c>
      <c r="BD241" s="12" t="s">
        <v>277</v>
      </c>
      <c r="BE241" s="12" t="s">
        <v>277</v>
      </c>
      <c r="BF241" s="12" t="s">
        <v>277</v>
      </c>
      <c r="BG241" s="12" t="s">
        <v>277</v>
      </c>
      <c r="BH241" s="12" t="s">
        <v>277</v>
      </c>
      <c r="BI241" s="12" t="s">
        <v>277</v>
      </c>
      <c r="BJ241" s="12" t="s">
        <v>277</v>
      </c>
      <c r="BK241" s="12" t="s">
        <v>277</v>
      </c>
      <c r="BL241" s="12" t="s">
        <v>277</v>
      </c>
      <c r="BM241" s="12" t="s">
        <v>277</v>
      </c>
      <c r="BN241" s="12" t="s">
        <v>277</v>
      </c>
      <c r="BO241" s="12" t="s">
        <v>277</v>
      </c>
      <c r="BP241" s="12" t="s">
        <v>277</v>
      </c>
      <c r="BQ241" s="12" t="s">
        <v>277</v>
      </c>
      <c r="BR241" s="12" t="s">
        <v>277</v>
      </c>
      <c r="BS241" s="12" t="s">
        <v>277</v>
      </c>
      <c r="BT241" s="12" t="s">
        <v>277</v>
      </c>
      <c r="BU241" s="12" t="s">
        <v>277</v>
      </c>
      <c r="BV241" s="12" t="s">
        <v>277</v>
      </c>
      <c r="BW241" s="12" t="s">
        <v>277</v>
      </c>
      <c r="BX241" s="12" t="s">
        <v>277</v>
      </c>
      <c r="BY241" s="12" t="s">
        <v>277</v>
      </c>
      <c r="BZ241" s="12" t="s">
        <v>277</v>
      </c>
      <c r="CA241" s="12" t="s">
        <v>277</v>
      </c>
      <c r="CB241" s="12" t="s">
        <v>277</v>
      </c>
      <c r="CC241" s="12" t="s">
        <v>277</v>
      </c>
      <c r="CD241" s="12" t="s">
        <v>277</v>
      </c>
      <c r="CE241" s="12" t="s">
        <v>277</v>
      </c>
      <c r="CF241" s="12" t="s">
        <v>277</v>
      </c>
      <c r="CG241" s="12" t="s">
        <v>277</v>
      </c>
      <c r="CH241" s="12" t="s">
        <v>277</v>
      </c>
      <c r="CI241" s="12" t="s">
        <v>277</v>
      </c>
      <c r="CJ241" s="12" t="s">
        <v>277</v>
      </c>
      <c r="CK241" s="12" t="s">
        <v>277</v>
      </c>
      <c r="CL241" s="12" t="s">
        <v>277</v>
      </c>
      <c r="CM241" s="12" t="s">
        <v>277</v>
      </c>
      <c r="CN241" s="12" t="s">
        <v>277</v>
      </c>
      <c r="CO241" s="12" t="s">
        <v>277</v>
      </c>
      <c r="CP241" s="12" t="s">
        <v>277</v>
      </c>
      <c r="CQ241" s="12" t="s">
        <v>277</v>
      </c>
      <c r="CR241" s="12" t="s">
        <v>277</v>
      </c>
      <c r="CS241" s="12" t="s">
        <v>277</v>
      </c>
      <c r="CT241" s="12" t="s">
        <v>277</v>
      </c>
      <c r="CU241" s="12" t="s">
        <v>277</v>
      </c>
      <c r="CV241" s="12" t="s">
        <v>277</v>
      </c>
      <c r="CW241" s="12" t="s">
        <v>277</v>
      </c>
      <c r="CX241" s="12" t="s">
        <v>277</v>
      </c>
    </row>
    <row r="242" spans="1:102" hidden="1" x14ac:dyDescent="0.3">
      <c r="A242" s="12" t="s">
        <v>12</v>
      </c>
      <c r="B242" s="12" t="s">
        <v>3939</v>
      </c>
      <c r="C242" s="12" t="s">
        <v>3940</v>
      </c>
      <c r="D242" s="12" t="s">
        <v>3941</v>
      </c>
      <c r="E242" s="12" t="s">
        <v>277</v>
      </c>
      <c r="F242" s="12" t="s">
        <v>277</v>
      </c>
      <c r="G242" s="12" t="s">
        <v>277</v>
      </c>
      <c r="H242" s="12" t="s">
        <v>277</v>
      </c>
      <c r="I242" s="12" t="s">
        <v>277</v>
      </c>
      <c r="J242" s="12" t="s">
        <v>277</v>
      </c>
      <c r="K242" s="12" t="s">
        <v>277</v>
      </c>
      <c r="L242" s="12" t="s">
        <v>277</v>
      </c>
      <c r="M242" s="12" t="s">
        <v>277</v>
      </c>
      <c r="N242" s="12" t="s">
        <v>277</v>
      </c>
      <c r="O242" s="12" t="s">
        <v>277</v>
      </c>
      <c r="P242" s="12" t="s">
        <v>277</v>
      </c>
      <c r="Q242" s="12" t="s">
        <v>277</v>
      </c>
      <c r="R242" s="12" t="s">
        <v>277</v>
      </c>
      <c r="S242" s="12" t="s">
        <v>277</v>
      </c>
      <c r="T242" s="12" t="s">
        <v>277</v>
      </c>
      <c r="U242" s="12" t="s">
        <v>277</v>
      </c>
      <c r="V242" s="12" t="s">
        <v>277</v>
      </c>
      <c r="W242" s="12" t="s">
        <v>277</v>
      </c>
      <c r="X242" s="12" t="s">
        <v>277</v>
      </c>
      <c r="Y242" s="12" t="s">
        <v>277</v>
      </c>
      <c r="Z242" s="12" t="s">
        <v>277</v>
      </c>
      <c r="AA242" s="12" t="s">
        <v>277</v>
      </c>
      <c r="AB242" s="12" t="s">
        <v>277</v>
      </c>
      <c r="AC242" s="12" t="s">
        <v>277</v>
      </c>
      <c r="AD242" s="12" t="s">
        <v>277</v>
      </c>
      <c r="AE242" s="12" t="s">
        <v>277</v>
      </c>
      <c r="AF242" s="12" t="s">
        <v>277</v>
      </c>
      <c r="AG242" s="12" t="s">
        <v>277</v>
      </c>
      <c r="AH242" s="12" t="s">
        <v>277</v>
      </c>
      <c r="AI242" s="12" t="s">
        <v>277</v>
      </c>
      <c r="AJ242" s="12" t="s">
        <v>277</v>
      </c>
      <c r="AK242" s="12" t="s">
        <v>277</v>
      </c>
      <c r="AL242" s="12" t="s">
        <v>277</v>
      </c>
      <c r="AM242" s="12" t="s">
        <v>277</v>
      </c>
      <c r="AN242" s="12" t="s">
        <v>277</v>
      </c>
      <c r="AO242" s="12" t="s">
        <v>277</v>
      </c>
      <c r="AP242" s="12" t="s">
        <v>277</v>
      </c>
      <c r="AQ242" s="12" t="s">
        <v>277</v>
      </c>
      <c r="AR242" s="12" t="s">
        <v>277</v>
      </c>
      <c r="AS242" s="12" t="s">
        <v>277</v>
      </c>
      <c r="AT242" s="12" t="s">
        <v>277</v>
      </c>
      <c r="AU242" s="12" t="s">
        <v>277</v>
      </c>
      <c r="AV242" s="12" t="s">
        <v>277</v>
      </c>
      <c r="AW242" s="12" t="s">
        <v>277</v>
      </c>
      <c r="AX242" s="12" t="s">
        <v>277</v>
      </c>
      <c r="AY242" s="12" t="s">
        <v>277</v>
      </c>
      <c r="AZ242" s="12" t="s">
        <v>277</v>
      </c>
      <c r="BA242" s="12" t="s">
        <v>277</v>
      </c>
      <c r="BB242" s="12" t="s">
        <v>277</v>
      </c>
      <c r="BC242" s="12" t="s">
        <v>277</v>
      </c>
      <c r="BD242" s="12" t="s">
        <v>277</v>
      </c>
      <c r="BE242" s="12" t="s">
        <v>277</v>
      </c>
      <c r="BF242" s="12" t="s">
        <v>277</v>
      </c>
      <c r="BG242" s="12" t="s">
        <v>277</v>
      </c>
      <c r="BH242" s="12" t="s">
        <v>277</v>
      </c>
      <c r="BI242" s="12" t="s">
        <v>277</v>
      </c>
      <c r="BJ242" s="12" t="s">
        <v>277</v>
      </c>
      <c r="BK242" s="12" t="s">
        <v>277</v>
      </c>
      <c r="BL242" s="12" t="s">
        <v>277</v>
      </c>
      <c r="BM242" s="12" t="s">
        <v>277</v>
      </c>
      <c r="BN242" s="12" t="s">
        <v>277</v>
      </c>
      <c r="BO242" s="12" t="s">
        <v>322</v>
      </c>
      <c r="BP242" s="12" t="s">
        <v>371</v>
      </c>
      <c r="BQ242" s="12" t="s">
        <v>550</v>
      </c>
      <c r="BR242" s="12" t="s">
        <v>550</v>
      </c>
      <c r="BS242" s="12" t="s">
        <v>454</v>
      </c>
      <c r="BT242" s="12" t="s">
        <v>454</v>
      </c>
      <c r="BU242" s="12" t="s">
        <v>454</v>
      </c>
      <c r="BV242" s="12" t="s">
        <v>460</v>
      </c>
      <c r="BW242" s="12" t="s">
        <v>323</v>
      </c>
      <c r="BX242" s="12" t="s">
        <v>323</v>
      </c>
      <c r="BY242" s="12" t="s">
        <v>323</v>
      </c>
      <c r="BZ242" s="12" t="s">
        <v>323</v>
      </c>
      <c r="CA242" s="12" t="s">
        <v>282</v>
      </c>
      <c r="CB242" s="12" t="s">
        <v>324</v>
      </c>
      <c r="CC242" s="12" t="s">
        <v>455</v>
      </c>
      <c r="CD242" s="12" t="s">
        <v>461</v>
      </c>
      <c r="CE242" s="12" t="s">
        <v>283</v>
      </c>
      <c r="CF242" s="12" t="s">
        <v>283</v>
      </c>
      <c r="CG242" s="12" t="s">
        <v>507</v>
      </c>
      <c r="CH242" s="12" t="s">
        <v>373</v>
      </c>
      <c r="CI242" s="12" t="s">
        <v>373</v>
      </c>
      <c r="CJ242" s="12" t="s">
        <v>373</v>
      </c>
      <c r="CK242" s="12" t="s">
        <v>373</v>
      </c>
      <c r="CL242" s="12" t="s">
        <v>373</v>
      </c>
      <c r="CM242" s="12" t="s">
        <v>373</v>
      </c>
      <c r="CN242" s="12" t="s">
        <v>373</v>
      </c>
      <c r="CO242" s="12" t="s">
        <v>373</v>
      </c>
      <c r="CP242" s="12" t="s">
        <v>373</v>
      </c>
      <c r="CQ242" s="12" t="s">
        <v>373</v>
      </c>
      <c r="CR242" s="12" t="s">
        <v>373</v>
      </c>
      <c r="CS242" s="12" t="s">
        <v>373</v>
      </c>
      <c r="CT242" s="12" t="s">
        <v>373</v>
      </c>
      <c r="CU242" s="12" t="s">
        <v>373</v>
      </c>
      <c r="CV242" s="12" t="s">
        <v>373</v>
      </c>
      <c r="CW242" s="12" t="s">
        <v>373</v>
      </c>
      <c r="CX242" s="12" t="s">
        <v>373</v>
      </c>
    </row>
    <row r="243" spans="1:102" hidden="1" x14ac:dyDescent="0.3">
      <c r="A243" s="12" t="s">
        <v>12</v>
      </c>
      <c r="B243" s="12" t="s">
        <v>3942</v>
      </c>
      <c r="C243" s="12" t="s">
        <v>3943</v>
      </c>
      <c r="D243" s="12" t="s">
        <v>3944</v>
      </c>
      <c r="E243" s="12" t="s">
        <v>277</v>
      </c>
      <c r="F243" s="12" t="s">
        <v>277</v>
      </c>
      <c r="G243" s="12" t="s">
        <v>277</v>
      </c>
      <c r="H243" s="12" t="s">
        <v>277</v>
      </c>
      <c r="I243" s="12" t="s">
        <v>277</v>
      </c>
      <c r="J243" s="12" t="s">
        <v>277</v>
      </c>
      <c r="K243" s="12" t="s">
        <v>277</v>
      </c>
      <c r="L243" s="12" t="s">
        <v>277</v>
      </c>
      <c r="M243" s="12" t="s">
        <v>277</v>
      </c>
      <c r="N243" s="12" t="s">
        <v>277</v>
      </c>
      <c r="O243" s="12" t="s">
        <v>277</v>
      </c>
      <c r="P243" s="12" t="s">
        <v>277</v>
      </c>
      <c r="Q243" s="12" t="s">
        <v>277</v>
      </c>
      <c r="R243" s="12" t="s">
        <v>277</v>
      </c>
      <c r="S243" s="12" t="s">
        <v>277</v>
      </c>
      <c r="T243" s="12" t="s">
        <v>277</v>
      </c>
      <c r="U243" s="12" t="s">
        <v>277</v>
      </c>
      <c r="V243" s="12" t="s">
        <v>277</v>
      </c>
      <c r="W243" s="12" t="s">
        <v>277</v>
      </c>
      <c r="X243" s="12" t="s">
        <v>277</v>
      </c>
      <c r="Y243" s="12" t="s">
        <v>277</v>
      </c>
      <c r="Z243" s="12" t="s">
        <v>277</v>
      </c>
      <c r="AA243" s="12" t="s">
        <v>277</v>
      </c>
      <c r="AB243" s="12" t="s">
        <v>277</v>
      </c>
      <c r="AC243" s="12" t="s">
        <v>277</v>
      </c>
      <c r="AD243" s="12" t="s">
        <v>277</v>
      </c>
      <c r="AE243" s="12" t="s">
        <v>277</v>
      </c>
      <c r="AF243" s="12" t="s">
        <v>277</v>
      </c>
      <c r="AG243" s="12" t="s">
        <v>277</v>
      </c>
      <c r="AH243" s="12" t="s">
        <v>277</v>
      </c>
      <c r="AI243" s="12" t="s">
        <v>277</v>
      </c>
      <c r="AJ243" s="12" t="s">
        <v>277</v>
      </c>
      <c r="AK243" s="12" t="s">
        <v>277</v>
      </c>
      <c r="AL243" s="12" t="s">
        <v>277</v>
      </c>
      <c r="AM243" s="12" t="s">
        <v>277</v>
      </c>
      <c r="AN243" s="12" t="s">
        <v>277</v>
      </c>
      <c r="AO243" s="12" t="s">
        <v>277</v>
      </c>
      <c r="AP243" s="12" t="s">
        <v>277</v>
      </c>
      <c r="AQ243" s="12" t="s">
        <v>277</v>
      </c>
      <c r="AR243" s="12" t="s">
        <v>277</v>
      </c>
      <c r="AS243" s="12" t="s">
        <v>277</v>
      </c>
      <c r="AT243" s="12" t="s">
        <v>277</v>
      </c>
      <c r="AU243" s="12" t="s">
        <v>277</v>
      </c>
      <c r="AV243" s="12" t="s">
        <v>277</v>
      </c>
      <c r="AW243" s="12" t="s">
        <v>277</v>
      </c>
      <c r="AX243" s="12" t="s">
        <v>277</v>
      </c>
      <c r="AY243" s="12" t="s">
        <v>277</v>
      </c>
      <c r="AZ243" s="12" t="s">
        <v>277</v>
      </c>
      <c r="BA243" s="12" t="s">
        <v>277</v>
      </c>
      <c r="BB243" s="12" t="s">
        <v>277</v>
      </c>
      <c r="BC243" s="12" t="s">
        <v>277</v>
      </c>
      <c r="BD243" s="12" t="s">
        <v>277</v>
      </c>
      <c r="BE243" s="12" t="s">
        <v>277</v>
      </c>
      <c r="BF243" s="12" t="s">
        <v>277</v>
      </c>
      <c r="BG243" s="12" t="s">
        <v>277</v>
      </c>
      <c r="BH243" s="12" t="s">
        <v>277</v>
      </c>
      <c r="BI243" s="12" t="s">
        <v>277</v>
      </c>
      <c r="BJ243" s="12" t="s">
        <v>277</v>
      </c>
      <c r="BK243" s="12" t="s">
        <v>277</v>
      </c>
      <c r="BL243" s="12" t="s">
        <v>277</v>
      </c>
      <c r="BM243" s="12" t="s">
        <v>277</v>
      </c>
      <c r="BN243" s="12" t="s">
        <v>277</v>
      </c>
      <c r="BO243" s="12" t="s">
        <v>278</v>
      </c>
      <c r="BP243" s="12" t="s">
        <v>278</v>
      </c>
      <c r="BQ243" s="12" t="s">
        <v>278</v>
      </c>
      <c r="BR243" s="12" t="s">
        <v>278</v>
      </c>
      <c r="BS243" s="12" t="s">
        <v>371</v>
      </c>
      <c r="BT243" s="12" t="s">
        <v>454</v>
      </c>
      <c r="BU243" s="12" t="s">
        <v>454</v>
      </c>
      <c r="BV243" s="12" t="s">
        <v>323</v>
      </c>
      <c r="BW243" s="12" t="s">
        <v>323</v>
      </c>
      <c r="BX243" s="12" t="s">
        <v>282</v>
      </c>
      <c r="BY243" s="12" t="s">
        <v>282</v>
      </c>
      <c r="BZ243" s="12" t="s">
        <v>507</v>
      </c>
      <c r="CA243" s="12" t="s">
        <v>507</v>
      </c>
      <c r="CB243" s="12" t="s">
        <v>373</v>
      </c>
      <c r="CC243" s="12" t="s">
        <v>374</v>
      </c>
      <c r="CD243" s="12" t="s">
        <v>284</v>
      </c>
      <c r="CE243" s="12" t="s">
        <v>286</v>
      </c>
      <c r="CF243" s="12" t="s">
        <v>286</v>
      </c>
      <c r="CG243" s="12" t="s">
        <v>286</v>
      </c>
      <c r="CH243" s="12" t="s">
        <v>456</v>
      </c>
      <c r="CI243" s="12" t="s">
        <v>375</v>
      </c>
      <c r="CJ243" s="12" t="s">
        <v>616</v>
      </c>
      <c r="CK243" s="12" t="s">
        <v>377</v>
      </c>
      <c r="CL243" s="12" t="s">
        <v>690</v>
      </c>
      <c r="CM243" s="12" t="s">
        <v>690</v>
      </c>
      <c r="CN243" s="12" t="s">
        <v>690</v>
      </c>
      <c r="CO243" s="12" t="s">
        <v>329</v>
      </c>
      <c r="CP243" s="12" t="s">
        <v>329</v>
      </c>
      <c r="CQ243" s="12" t="s">
        <v>329</v>
      </c>
      <c r="CR243" s="12" t="s">
        <v>331</v>
      </c>
      <c r="CS243" s="12" t="s">
        <v>379</v>
      </c>
      <c r="CT243" s="12" t="s">
        <v>618</v>
      </c>
      <c r="CU243" s="12" t="s">
        <v>618</v>
      </c>
      <c r="CV243" s="12" t="s">
        <v>618</v>
      </c>
      <c r="CW243" s="12" t="s">
        <v>618</v>
      </c>
      <c r="CX243" s="12" t="s">
        <v>618</v>
      </c>
    </row>
    <row r="244" spans="1:102" hidden="1" x14ac:dyDescent="0.3">
      <c r="A244" s="12" t="s">
        <v>12</v>
      </c>
      <c r="B244" s="12" t="s">
        <v>3945</v>
      </c>
      <c r="C244" s="12" t="s">
        <v>3946</v>
      </c>
      <c r="D244" s="12" t="s">
        <v>3947</v>
      </c>
      <c r="E244" s="12" t="s">
        <v>277</v>
      </c>
      <c r="F244" s="12" t="s">
        <v>277</v>
      </c>
      <c r="G244" s="12" t="s">
        <v>277</v>
      </c>
      <c r="H244" s="12" t="s">
        <v>277</v>
      </c>
      <c r="I244" s="12" t="s">
        <v>277</v>
      </c>
      <c r="J244" s="12" t="s">
        <v>277</v>
      </c>
      <c r="K244" s="12" t="s">
        <v>277</v>
      </c>
      <c r="L244" s="12" t="s">
        <v>277</v>
      </c>
      <c r="M244" s="12" t="s">
        <v>277</v>
      </c>
      <c r="N244" s="12" t="s">
        <v>277</v>
      </c>
      <c r="O244" s="12" t="s">
        <v>277</v>
      </c>
      <c r="P244" s="12" t="s">
        <v>277</v>
      </c>
      <c r="Q244" s="12" t="s">
        <v>277</v>
      </c>
      <c r="R244" s="12" t="s">
        <v>277</v>
      </c>
      <c r="S244" s="12" t="s">
        <v>277</v>
      </c>
      <c r="T244" s="12" t="s">
        <v>277</v>
      </c>
      <c r="U244" s="12" t="s">
        <v>277</v>
      </c>
      <c r="V244" s="12" t="s">
        <v>277</v>
      </c>
      <c r="W244" s="12" t="s">
        <v>277</v>
      </c>
      <c r="X244" s="12" t="s">
        <v>277</v>
      </c>
      <c r="Y244" s="12" t="s">
        <v>277</v>
      </c>
      <c r="Z244" s="12" t="s">
        <v>277</v>
      </c>
      <c r="AA244" s="12" t="s">
        <v>277</v>
      </c>
      <c r="AB244" s="12" t="s">
        <v>277</v>
      </c>
      <c r="AC244" s="12" t="s">
        <v>277</v>
      </c>
      <c r="AD244" s="12" t="s">
        <v>277</v>
      </c>
      <c r="AE244" s="12" t="s">
        <v>277</v>
      </c>
      <c r="AF244" s="12" t="s">
        <v>277</v>
      </c>
      <c r="AG244" s="12" t="s">
        <v>277</v>
      </c>
      <c r="AH244" s="12" t="s">
        <v>277</v>
      </c>
      <c r="AI244" s="12" t="s">
        <v>277</v>
      </c>
      <c r="AJ244" s="12" t="s">
        <v>277</v>
      </c>
      <c r="AK244" s="12" t="s">
        <v>277</v>
      </c>
      <c r="AL244" s="12" t="s">
        <v>277</v>
      </c>
      <c r="AM244" s="12" t="s">
        <v>277</v>
      </c>
      <c r="AN244" s="12" t="s">
        <v>277</v>
      </c>
      <c r="AO244" s="12" t="s">
        <v>277</v>
      </c>
      <c r="AP244" s="12" t="s">
        <v>277</v>
      </c>
      <c r="AQ244" s="12" t="s">
        <v>277</v>
      </c>
      <c r="AR244" s="12" t="s">
        <v>277</v>
      </c>
      <c r="AS244" s="12" t="s">
        <v>277</v>
      </c>
      <c r="AT244" s="12" t="s">
        <v>277</v>
      </c>
      <c r="AU244" s="12" t="s">
        <v>277</v>
      </c>
      <c r="AV244" s="12" t="s">
        <v>279</v>
      </c>
      <c r="AW244" s="12" t="s">
        <v>281</v>
      </c>
      <c r="AX244" s="12" t="s">
        <v>283</v>
      </c>
      <c r="AY244" s="12" t="s">
        <v>283</v>
      </c>
      <c r="AZ244" s="12" t="s">
        <v>373</v>
      </c>
      <c r="BA244" s="12" t="s">
        <v>375</v>
      </c>
      <c r="BB244" s="12" t="s">
        <v>1716</v>
      </c>
      <c r="BC244" s="12" t="s">
        <v>1716</v>
      </c>
      <c r="BD244" s="12" t="s">
        <v>465</v>
      </c>
      <c r="BE244" s="12" t="s">
        <v>616</v>
      </c>
      <c r="BF244" s="12" t="s">
        <v>327</v>
      </c>
      <c r="BG244" s="12" t="s">
        <v>327</v>
      </c>
      <c r="BH244" s="12" t="s">
        <v>417</v>
      </c>
      <c r="BI244" s="12" t="s">
        <v>745</v>
      </c>
      <c r="BJ244" s="12" t="s">
        <v>795</v>
      </c>
      <c r="BK244" s="12" t="s">
        <v>671</v>
      </c>
      <c r="BL244" s="12" t="s">
        <v>377</v>
      </c>
      <c r="BM244" s="12" t="s">
        <v>508</v>
      </c>
      <c r="BN244" s="12" t="s">
        <v>331</v>
      </c>
      <c r="BO244" s="12" t="s">
        <v>331</v>
      </c>
      <c r="BP244" s="12" t="s">
        <v>331</v>
      </c>
      <c r="BQ244" s="12" t="s">
        <v>289</v>
      </c>
      <c r="BR244" s="12" t="s">
        <v>556</v>
      </c>
      <c r="BS244" s="12" t="s">
        <v>677</v>
      </c>
      <c r="BT244" s="12" t="s">
        <v>907</v>
      </c>
      <c r="BU244" s="12" t="s">
        <v>1198</v>
      </c>
      <c r="BV244" s="12" t="s">
        <v>1117</v>
      </c>
      <c r="BW244" s="12" t="s">
        <v>572</v>
      </c>
      <c r="BX244" s="12" t="s">
        <v>1787</v>
      </c>
      <c r="BY244" s="12" t="s">
        <v>513</v>
      </c>
      <c r="BZ244" s="12" t="s">
        <v>1187</v>
      </c>
      <c r="CA244" s="12" t="s">
        <v>295</v>
      </c>
      <c r="CB244" s="12" t="s">
        <v>1190</v>
      </c>
      <c r="CC244" s="12" t="s">
        <v>1092</v>
      </c>
      <c r="CD244" s="12" t="s">
        <v>1193</v>
      </c>
      <c r="CE244" s="12" t="s">
        <v>1193</v>
      </c>
      <c r="CF244" s="12" t="s">
        <v>426</v>
      </c>
      <c r="CG244" s="12" t="s">
        <v>963</v>
      </c>
      <c r="CH244" s="12" t="s">
        <v>517</v>
      </c>
      <c r="CI244" s="12" t="s">
        <v>427</v>
      </c>
      <c r="CJ244" s="12" t="s">
        <v>427</v>
      </c>
      <c r="CK244" s="12" t="s">
        <v>3630</v>
      </c>
      <c r="CL244" s="12" t="s">
        <v>3630</v>
      </c>
      <c r="CM244" s="12" t="s">
        <v>2093</v>
      </c>
      <c r="CN244" s="12" t="s">
        <v>1395</v>
      </c>
      <c r="CO244" s="12" t="s">
        <v>665</v>
      </c>
      <c r="CP244" s="12" t="s">
        <v>2820</v>
      </c>
      <c r="CQ244" s="12" t="s">
        <v>434</v>
      </c>
      <c r="CR244" s="12" t="s">
        <v>1219</v>
      </c>
      <c r="CS244" s="12" t="s">
        <v>1366</v>
      </c>
      <c r="CT244" s="12" t="s">
        <v>303</v>
      </c>
      <c r="CU244" s="12" t="s">
        <v>1217</v>
      </c>
      <c r="CV244" s="12" t="s">
        <v>1217</v>
      </c>
      <c r="CW244" s="12" t="s">
        <v>1217</v>
      </c>
      <c r="CX244" s="12" t="s">
        <v>1443</v>
      </c>
    </row>
    <row r="245" spans="1:102" hidden="1" x14ac:dyDescent="0.3">
      <c r="A245" s="12" t="s">
        <v>12</v>
      </c>
      <c r="B245" s="12" t="s">
        <v>3948</v>
      </c>
      <c r="C245" s="12" t="s">
        <v>3949</v>
      </c>
      <c r="D245" s="12" t="s">
        <v>3950</v>
      </c>
      <c r="E245" s="12" t="s">
        <v>277</v>
      </c>
      <c r="F245" s="12" t="s">
        <v>277</v>
      </c>
      <c r="G245" s="12" t="s">
        <v>277</v>
      </c>
      <c r="H245" s="12" t="s">
        <v>277</v>
      </c>
      <c r="I245" s="12" t="s">
        <v>277</v>
      </c>
      <c r="J245" s="12" t="s">
        <v>277</v>
      </c>
      <c r="K245" s="12" t="s">
        <v>277</v>
      </c>
      <c r="L245" s="12" t="s">
        <v>277</v>
      </c>
      <c r="M245" s="12" t="s">
        <v>277</v>
      </c>
      <c r="N245" s="12" t="s">
        <v>277</v>
      </c>
      <c r="O245" s="12" t="s">
        <v>277</v>
      </c>
      <c r="P245" s="12" t="s">
        <v>277</v>
      </c>
      <c r="Q245" s="12" t="s">
        <v>277</v>
      </c>
      <c r="R245" s="12" t="s">
        <v>277</v>
      </c>
      <c r="S245" s="12" t="s">
        <v>277</v>
      </c>
      <c r="T245" s="12" t="s">
        <v>277</v>
      </c>
      <c r="U245" s="12" t="s">
        <v>277</v>
      </c>
      <c r="V245" s="12" t="s">
        <v>277</v>
      </c>
      <c r="W245" s="12" t="s">
        <v>277</v>
      </c>
      <c r="X245" s="12" t="s">
        <v>277</v>
      </c>
      <c r="Y245" s="12" t="s">
        <v>277</v>
      </c>
      <c r="Z245" s="12" t="s">
        <v>277</v>
      </c>
      <c r="AA245" s="12" t="s">
        <v>277</v>
      </c>
      <c r="AB245" s="12" t="s">
        <v>277</v>
      </c>
      <c r="AC245" s="12" t="s">
        <v>277</v>
      </c>
      <c r="AD245" s="12" t="s">
        <v>277</v>
      </c>
      <c r="AE245" s="12" t="s">
        <v>277</v>
      </c>
      <c r="AF245" s="12" t="s">
        <v>277</v>
      </c>
      <c r="AG245" s="12" t="s">
        <v>277</v>
      </c>
      <c r="AH245" s="12" t="s">
        <v>277</v>
      </c>
      <c r="AI245" s="12" t="s">
        <v>277</v>
      </c>
      <c r="AJ245" s="12" t="s">
        <v>277</v>
      </c>
      <c r="AK245" s="12" t="s">
        <v>277</v>
      </c>
      <c r="AL245" s="12" t="s">
        <v>277</v>
      </c>
      <c r="AM245" s="12" t="s">
        <v>277</v>
      </c>
      <c r="AN245" s="12" t="s">
        <v>277</v>
      </c>
      <c r="AO245" s="12" t="s">
        <v>277</v>
      </c>
      <c r="AP245" s="12" t="s">
        <v>277</v>
      </c>
      <c r="AQ245" s="12" t="s">
        <v>277</v>
      </c>
      <c r="AR245" s="12" t="s">
        <v>277</v>
      </c>
      <c r="AS245" s="12" t="s">
        <v>277</v>
      </c>
      <c r="AT245" s="12" t="s">
        <v>277</v>
      </c>
      <c r="AU245" s="12" t="s">
        <v>277</v>
      </c>
      <c r="AV245" s="12" t="s">
        <v>277</v>
      </c>
      <c r="AW245" s="12" t="s">
        <v>277</v>
      </c>
      <c r="AX245" s="12" t="s">
        <v>277</v>
      </c>
      <c r="AY245" s="12" t="s">
        <v>277</v>
      </c>
      <c r="AZ245" s="12" t="s">
        <v>277</v>
      </c>
      <c r="BA245" s="12" t="s">
        <v>277</v>
      </c>
      <c r="BB245" s="12" t="s">
        <v>277</v>
      </c>
      <c r="BC245" s="12" t="s">
        <v>277</v>
      </c>
      <c r="BD245" s="12" t="s">
        <v>277</v>
      </c>
      <c r="BE245" s="12" t="s">
        <v>277</v>
      </c>
      <c r="BF245" s="12" t="s">
        <v>277</v>
      </c>
      <c r="BG245" s="12" t="s">
        <v>277</v>
      </c>
      <c r="BH245" s="12" t="s">
        <v>277</v>
      </c>
      <c r="BI245" s="12" t="s">
        <v>277</v>
      </c>
      <c r="BJ245" s="12" t="s">
        <v>277</v>
      </c>
      <c r="BK245" s="12" t="s">
        <v>277</v>
      </c>
      <c r="BL245" s="12" t="s">
        <v>277</v>
      </c>
      <c r="BM245" s="12" t="s">
        <v>277</v>
      </c>
      <c r="BN245" s="12" t="s">
        <v>277</v>
      </c>
      <c r="BO245" s="12" t="s">
        <v>277</v>
      </c>
      <c r="BP245" s="12" t="s">
        <v>322</v>
      </c>
      <c r="BQ245" s="12" t="s">
        <v>322</v>
      </c>
      <c r="BR245" s="12" t="s">
        <v>322</v>
      </c>
      <c r="BS245" s="12" t="s">
        <v>322</v>
      </c>
      <c r="BT245" s="12" t="s">
        <v>322</v>
      </c>
      <c r="BU245" s="12" t="s">
        <v>454</v>
      </c>
      <c r="BV245" s="12" t="s">
        <v>454</v>
      </c>
      <c r="BW245" s="12" t="s">
        <v>460</v>
      </c>
      <c r="BX245" s="12" t="s">
        <v>460</v>
      </c>
      <c r="BY245" s="12" t="s">
        <v>461</v>
      </c>
      <c r="BZ245" s="12" t="s">
        <v>507</v>
      </c>
      <c r="CA245" s="12" t="s">
        <v>507</v>
      </c>
      <c r="CB245" s="12" t="s">
        <v>507</v>
      </c>
      <c r="CC245" s="12" t="s">
        <v>326</v>
      </c>
      <c r="CD245" s="12" t="s">
        <v>326</v>
      </c>
      <c r="CE245" s="12" t="s">
        <v>670</v>
      </c>
      <c r="CF245" s="12" t="s">
        <v>670</v>
      </c>
      <c r="CG245" s="12" t="s">
        <v>327</v>
      </c>
      <c r="CH245" s="12" t="s">
        <v>327</v>
      </c>
      <c r="CI245" s="12" t="s">
        <v>327</v>
      </c>
      <c r="CJ245" s="12" t="s">
        <v>327</v>
      </c>
      <c r="CK245" s="12" t="s">
        <v>958</v>
      </c>
      <c r="CL245" s="12" t="s">
        <v>958</v>
      </c>
      <c r="CM245" s="12" t="s">
        <v>958</v>
      </c>
      <c r="CN245" s="12" t="s">
        <v>617</v>
      </c>
      <c r="CO245" s="12" t="s">
        <v>653</v>
      </c>
      <c r="CP245" s="12" t="s">
        <v>653</v>
      </c>
      <c r="CQ245" s="12" t="s">
        <v>653</v>
      </c>
      <c r="CR245" s="12" t="s">
        <v>653</v>
      </c>
      <c r="CS245" s="12" t="s">
        <v>653</v>
      </c>
      <c r="CT245" s="12" t="s">
        <v>508</v>
      </c>
      <c r="CU245" s="12" t="s">
        <v>508</v>
      </c>
      <c r="CV245" s="12" t="s">
        <v>418</v>
      </c>
      <c r="CW245" s="12" t="s">
        <v>819</v>
      </c>
      <c r="CX245" s="12" t="s">
        <v>819</v>
      </c>
    </row>
    <row r="246" spans="1:102" hidden="1" x14ac:dyDescent="0.3">
      <c r="A246" s="12" t="s">
        <v>12</v>
      </c>
      <c r="B246" s="12" t="s">
        <v>3951</v>
      </c>
      <c r="C246" s="12" t="s">
        <v>3952</v>
      </c>
      <c r="D246" s="12" t="s">
        <v>3953</v>
      </c>
      <c r="E246" s="12" t="s">
        <v>277</v>
      </c>
      <c r="F246" s="12" t="s">
        <v>277</v>
      </c>
      <c r="G246" s="12" t="s">
        <v>277</v>
      </c>
      <c r="H246" s="12" t="s">
        <v>277</v>
      </c>
      <c r="I246" s="12" t="s">
        <v>277</v>
      </c>
      <c r="J246" s="12" t="s">
        <v>277</v>
      </c>
      <c r="K246" s="12" t="s">
        <v>277</v>
      </c>
      <c r="L246" s="12" t="s">
        <v>277</v>
      </c>
      <c r="M246" s="12" t="s">
        <v>277</v>
      </c>
      <c r="N246" s="12" t="s">
        <v>277</v>
      </c>
      <c r="O246" s="12" t="s">
        <v>277</v>
      </c>
      <c r="P246" s="12" t="s">
        <v>277</v>
      </c>
      <c r="Q246" s="12" t="s">
        <v>277</v>
      </c>
      <c r="R246" s="12" t="s">
        <v>277</v>
      </c>
      <c r="S246" s="12" t="s">
        <v>277</v>
      </c>
      <c r="T246" s="12" t="s">
        <v>277</v>
      </c>
      <c r="U246" s="12" t="s">
        <v>277</v>
      </c>
      <c r="V246" s="12" t="s">
        <v>277</v>
      </c>
      <c r="W246" s="12" t="s">
        <v>277</v>
      </c>
      <c r="X246" s="12" t="s">
        <v>277</v>
      </c>
      <c r="Y246" s="12" t="s">
        <v>277</v>
      </c>
      <c r="Z246" s="12" t="s">
        <v>277</v>
      </c>
      <c r="AA246" s="12" t="s">
        <v>277</v>
      </c>
      <c r="AB246" s="12" t="s">
        <v>277</v>
      </c>
      <c r="AC246" s="12" t="s">
        <v>277</v>
      </c>
      <c r="AD246" s="12" t="s">
        <v>277</v>
      </c>
      <c r="AE246" s="12" t="s">
        <v>277</v>
      </c>
      <c r="AF246" s="12" t="s">
        <v>277</v>
      </c>
      <c r="AG246" s="12" t="s">
        <v>277</v>
      </c>
      <c r="AH246" s="12" t="s">
        <v>277</v>
      </c>
      <c r="AI246" s="12" t="s">
        <v>277</v>
      </c>
      <c r="AJ246" s="12" t="s">
        <v>277</v>
      </c>
      <c r="AK246" s="12" t="s">
        <v>277</v>
      </c>
      <c r="AL246" s="12" t="s">
        <v>277</v>
      </c>
      <c r="AM246" s="12" t="s">
        <v>277</v>
      </c>
      <c r="AN246" s="12" t="s">
        <v>277</v>
      </c>
      <c r="AO246" s="12" t="s">
        <v>277</v>
      </c>
      <c r="AP246" s="12" t="s">
        <v>277</v>
      </c>
      <c r="AQ246" s="12" t="s">
        <v>277</v>
      </c>
      <c r="AR246" s="12" t="s">
        <v>277</v>
      </c>
      <c r="AS246" s="12" t="s">
        <v>277</v>
      </c>
      <c r="AT246" s="12" t="s">
        <v>277</v>
      </c>
      <c r="AU246" s="12" t="s">
        <v>277</v>
      </c>
      <c r="AV246" s="12" t="s">
        <v>277</v>
      </c>
      <c r="AW246" s="12" t="s">
        <v>277</v>
      </c>
      <c r="AX246" s="12" t="s">
        <v>277</v>
      </c>
      <c r="AY246" s="12" t="s">
        <v>277</v>
      </c>
      <c r="AZ246" s="12" t="s">
        <v>277</v>
      </c>
      <c r="BA246" s="12" t="s">
        <v>277</v>
      </c>
      <c r="BB246" s="12" t="s">
        <v>277</v>
      </c>
      <c r="BC246" s="12" t="s">
        <v>277</v>
      </c>
      <c r="BD246" s="12" t="s">
        <v>277</v>
      </c>
      <c r="BE246" s="12" t="s">
        <v>277</v>
      </c>
      <c r="BF246" s="12" t="s">
        <v>277</v>
      </c>
      <c r="BG246" s="12" t="s">
        <v>277</v>
      </c>
      <c r="BH246" s="12" t="s">
        <v>277</v>
      </c>
      <c r="BI246" s="12" t="s">
        <v>277</v>
      </c>
      <c r="BJ246" s="12" t="s">
        <v>277</v>
      </c>
      <c r="BK246" s="12" t="s">
        <v>277</v>
      </c>
      <c r="BL246" s="12" t="s">
        <v>277</v>
      </c>
      <c r="BM246" s="12" t="s">
        <v>277</v>
      </c>
      <c r="BN246" s="12" t="s">
        <v>277</v>
      </c>
      <c r="BO246" s="12" t="s">
        <v>277</v>
      </c>
      <c r="BP246" s="12" t="s">
        <v>322</v>
      </c>
      <c r="BQ246" s="12" t="s">
        <v>279</v>
      </c>
      <c r="BR246" s="12" t="s">
        <v>282</v>
      </c>
      <c r="BS246" s="12" t="s">
        <v>507</v>
      </c>
      <c r="BT246" s="12" t="s">
        <v>507</v>
      </c>
      <c r="BU246" s="12" t="s">
        <v>456</v>
      </c>
      <c r="BV246" s="12" t="s">
        <v>568</v>
      </c>
      <c r="BW246" s="12" t="s">
        <v>465</v>
      </c>
      <c r="BX246" s="12" t="s">
        <v>670</v>
      </c>
      <c r="BY246" s="12" t="s">
        <v>417</v>
      </c>
      <c r="BZ246" s="12" t="s">
        <v>745</v>
      </c>
      <c r="CA246" s="12" t="s">
        <v>467</v>
      </c>
      <c r="CB246" s="12" t="s">
        <v>671</v>
      </c>
      <c r="CC246" s="12" t="s">
        <v>468</v>
      </c>
      <c r="CD246" s="12" t="s">
        <v>331</v>
      </c>
      <c r="CE246" s="12" t="s">
        <v>288</v>
      </c>
      <c r="CF246" s="12" t="s">
        <v>380</v>
      </c>
      <c r="CG246" s="12" t="s">
        <v>380</v>
      </c>
      <c r="CH246" s="12" t="s">
        <v>563</v>
      </c>
      <c r="CI246" s="12" t="s">
        <v>337</v>
      </c>
      <c r="CJ246" s="12" t="s">
        <v>619</v>
      </c>
      <c r="CK246" s="12" t="s">
        <v>1203</v>
      </c>
      <c r="CL246" s="12" t="s">
        <v>573</v>
      </c>
      <c r="CM246" s="12" t="s">
        <v>573</v>
      </c>
      <c r="CN246" s="12" t="s">
        <v>2741</v>
      </c>
      <c r="CO246" s="12" t="s">
        <v>425</v>
      </c>
      <c r="CP246" s="12" t="s">
        <v>748</v>
      </c>
      <c r="CQ246" s="12" t="s">
        <v>979</v>
      </c>
      <c r="CR246" s="12" t="s">
        <v>1063</v>
      </c>
      <c r="CS246" s="12" t="s">
        <v>1528</v>
      </c>
      <c r="CT246" s="12" t="s">
        <v>1531</v>
      </c>
      <c r="CU246" s="12" t="s">
        <v>429</v>
      </c>
      <c r="CV246" s="12" t="s">
        <v>1417</v>
      </c>
      <c r="CW246" s="12" t="s">
        <v>1365</v>
      </c>
      <c r="CX246" s="12" t="s">
        <v>520</v>
      </c>
    </row>
    <row r="247" spans="1:102" hidden="1" x14ac:dyDescent="0.3">
      <c r="A247" s="12" t="s">
        <v>12</v>
      </c>
      <c r="B247" s="12" t="s">
        <v>3954</v>
      </c>
      <c r="C247" s="12" t="s">
        <v>3955</v>
      </c>
      <c r="D247" s="12" t="s">
        <v>3956</v>
      </c>
      <c r="E247" s="12" t="s">
        <v>277</v>
      </c>
      <c r="F247" s="12" t="s">
        <v>277</v>
      </c>
      <c r="G247" s="12" t="s">
        <v>277</v>
      </c>
      <c r="H247" s="12" t="s">
        <v>277</v>
      </c>
      <c r="I247" s="12" t="s">
        <v>277</v>
      </c>
      <c r="J247" s="12" t="s">
        <v>277</v>
      </c>
      <c r="K247" s="12" t="s">
        <v>277</v>
      </c>
      <c r="L247" s="12" t="s">
        <v>277</v>
      </c>
      <c r="M247" s="12" t="s">
        <v>277</v>
      </c>
      <c r="N247" s="12" t="s">
        <v>277</v>
      </c>
      <c r="O247" s="12" t="s">
        <v>277</v>
      </c>
      <c r="P247" s="12" t="s">
        <v>277</v>
      </c>
      <c r="Q247" s="12" t="s">
        <v>277</v>
      </c>
      <c r="R247" s="12" t="s">
        <v>277</v>
      </c>
      <c r="S247" s="12" t="s">
        <v>277</v>
      </c>
      <c r="T247" s="12" t="s">
        <v>277</v>
      </c>
      <c r="U247" s="12" t="s">
        <v>277</v>
      </c>
      <c r="V247" s="12" t="s">
        <v>277</v>
      </c>
      <c r="W247" s="12" t="s">
        <v>277</v>
      </c>
      <c r="X247" s="12" t="s">
        <v>277</v>
      </c>
      <c r="Y247" s="12" t="s">
        <v>277</v>
      </c>
      <c r="Z247" s="12" t="s">
        <v>277</v>
      </c>
      <c r="AA247" s="12" t="s">
        <v>277</v>
      </c>
      <c r="AB247" s="12" t="s">
        <v>277</v>
      </c>
      <c r="AC247" s="12" t="s">
        <v>277</v>
      </c>
      <c r="AD247" s="12" t="s">
        <v>277</v>
      </c>
      <c r="AE247" s="12" t="s">
        <v>277</v>
      </c>
      <c r="AF247" s="12" t="s">
        <v>277</v>
      </c>
      <c r="AG247" s="12" t="s">
        <v>277</v>
      </c>
      <c r="AH247" s="12" t="s">
        <v>277</v>
      </c>
      <c r="AI247" s="12" t="s">
        <v>277</v>
      </c>
      <c r="AJ247" s="12" t="s">
        <v>277</v>
      </c>
      <c r="AK247" s="12" t="s">
        <v>277</v>
      </c>
      <c r="AL247" s="12" t="s">
        <v>277</v>
      </c>
      <c r="AM247" s="12" t="s">
        <v>277</v>
      </c>
      <c r="AN247" s="12" t="s">
        <v>277</v>
      </c>
      <c r="AO247" s="12" t="s">
        <v>277</v>
      </c>
      <c r="AP247" s="12" t="s">
        <v>277</v>
      </c>
      <c r="AQ247" s="12" t="s">
        <v>277</v>
      </c>
      <c r="AR247" s="12" t="s">
        <v>277</v>
      </c>
      <c r="AS247" s="12" t="s">
        <v>277</v>
      </c>
      <c r="AT247" s="12" t="s">
        <v>277</v>
      </c>
      <c r="AU247" s="12" t="s">
        <v>277</v>
      </c>
      <c r="AV247" s="12" t="s">
        <v>277</v>
      </c>
      <c r="AW247" s="12" t="s">
        <v>277</v>
      </c>
      <c r="AX247" s="12" t="s">
        <v>277</v>
      </c>
      <c r="AY247" s="12" t="s">
        <v>277</v>
      </c>
      <c r="AZ247" s="12" t="s">
        <v>277</v>
      </c>
      <c r="BA247" s="12" t="s">
        <v>277</v>
      </c>
      <c r="BB247" s="12" t="s">
        <v>277</v>
      </c>
      <c r="BC247" s="12" t="s">
        <v>277</v>
      </c>
      <c r="BD247" s="12" t="s">
        <v>277</v>
      </c>
      <c r="BE247" s="12" t="s">
        <v>277</v>
      </c>
      <c r="BF247" s="12" t="s">
        <v>277</v>
      </c>
      <c r="BG247" s="12" t="s">
        <v>277</v>
      </c>
      <c r="BH247" s="12" t="s">
        <v>277</v>
      </c>
      <c r="BI247" s="12" t="s">
        <v>277</v>
      </c>
      <c r="BJ247" s="12" t="s">
        <v>277</v>
      </c>
      <c r="BK247" s="12" t="s">
        <v>277</v>
      </c>
      <c r="BL247" s="12" t="s">
        <v>277</v>
      </c>
      <c r="BM247" s="12" t="s">
        <v>277</v>
      </c>
      <c r="BN247" s="12" t="s">
        <v>277</v>
      </c>
      <c r="BO247" s="12" t="s">
        <v>277</v>
      </c>
      <c r="BP247" s="12" t="s">
        <v>322</v>
      </c>
      <c r="BQ247" s="12" t="s">
        <v>322</v>
      </c>
      <c r="BR247" s="12" t="s">
        <v>322</v>
      </c>
      <c r="BS247" s="12" t="s">
        <v>322</v>
      </c>
      <c r="BT247" s="12" t="s">
        <v>322</v>
      </c>
      <c r="BU247" s="12" t="s">
        <v>281</v>
      </c>
      <c r="BV247" s="12" t="s">
        <v>454</v>
      </c>
      <c r="BW247" s="12" t="s">
        <v>454</v>
      </c>
      <c r="BX247" s="12" t="s">
        <v>460</v>
      </c>
      <c r="BY247" s="12" t="s">
        <v>460</v>
      </c>
      <c r="BZ247" s="12" t="s">
        <v>460</v>
      </c>
      <c r="CA247" s="12" t="s">
        <v>323</v>
      </c>
      <c r="CB247" s="12" t="s">
        <v>323</v>
      </c>
      <c r="CC247" s="12" t="s">
        <v>282</v>
      </c>
      <c r="CD247" s="12" t="s">
        <v>282</v>
      </c>
      <c r="CE247" s="12" t="s">
        <v>282</v>
      </c>
      <c r="CF247" s="12" t="s">
        <v>324</v>
      </c>
      <c r="CG247" s="12" t="s">
        <v>324</v>
      </c>
      <c r="CH247" s="12" t="s">
        <v>324</v>
      </c>
      <c r="CI247" s="12" t="s">
        <v>324</v>
      </c>
      <c r="CJ247" s="12" t="s">
        <v>455</v>
      </c>
      <c r="CK247" s="12" t="s">
        <v>455</v>
      </c>
      <c r="CL247" s="12" t="s">
        <v>455</v>
      </c>
      <c r="CM247" s="12" t="s">
        <v>455</v>
      </c>
      <c r="CN247" s="12" t="s">
        <v>455</v>
      </c>
      <c r="CO247" s="12" t="s">
        <v>455</v>
      </c>
      <c r="CP247" s="12" t="s">
        <v>461</v>
      </c>
      <c r="CQ247" s="12" t="s">
        <v>461</v>
      </c>
      <c r="CR247" s="12" t="s">
        <v>461</v>
      </c>
      <c r="CS247" s="12" t="s">
        <v>461</v>
      </c>
      <c r="CT247" s="12" t="s">
        <v>461</v>
      </c>
      <c r="CU247" s="12" t="s">
        <v>461</v>
      </c>
      <c r="CV247" s="12" t="s">
        <v>461</v>
      </c>
      <c r="CW247" s="12" t="s">
        <v>461</v>
      </c>
      <c r="CX247" s="12" t="s">
        <v>461</v>
      </c>
    </row>
    <row r="248" spans="1:102" hidden="1" x14ac:dyDescent="0.3">
      <c r="A248" s="12" t="s">
        <v>3957</v>
      </c>
      <c r="B248" s="12" t="s">
        <v>1134</v>
      </c>
      <c r="C248" s="12" t="s">
        <v>3958</v>
      </c>
      <c r="D248" s="12" t="s">
        <v>3959</v>
      </c>
      <c r="E248" s="12" t="s">
        <v>277</v>
      </c>
      <c r="F248" s="12" t="s">
        <v>277</v>
      </c>
      <c r="G248" s="12" t="s">
        <v>277</v>
      </c>
      <c r="H248" s="12" t="s">
        <v>277</v>
      </c>
      <c r="I248" s="12" t="s">
        <v>277</v>
      </c>
      <c r="J248" s="12" t="s">
        <v>277</v>
      </c>
      <c r="K248" s="12" t="s">
        <v>277</v>
      </c>
      <c r="L248" s="12" t="s">
        <v>277</v>
      </c>
      <c r="M248" s="12" t="s">
        <v>277</v>
      </c>
      <c r="N248" s="12" t="s">
        <v>277</v>
      </c>
      <c r="O248" s="12" t="s">
        <v>277</v>
      </c>
      <c r="P248" s="12" t="s">
        <v>277</v>
      </c>
      <c r="Q248" s="12" t="s">
        <v>277</v>
      </c>
      <c r="R248" s="12" t="s">
        <v>277</v>
      </c>
      <c r="S248" s="12" t="s">
        <v>277</v>
      </c>
      <c r="T248" s="12" t="s">
        <v>277</v>
      </c>
      <c r="U248" s="12" t="s">
        <v>277</v>
      </c>
      <c r="V248" s="12" t="s">
        <v>277</v>
      </c>
      <c r="W248" s="12" t="s">
        <v>277</v>
      </c>
      <c r="X248" s="12" t="s">
        <v>277</v>
      </c>
      <c r="Y248" s="12" t="s">
        <v>277</v>
      </c>
      <c r="Z248" s="12" t="s">
        <v>277</v>
      </c>
      <c r="AA248" s="12" t="s">
        <v>277</v>
      </c>
      <c r="AB248" s="12" t="s">
        <v>277</v>
      </c>
      <c r="AC248" s="12" t="s">
        <v>277</v>
      </c>
      <c r="AD248" s="12" t="s">
        <v>277</v>
      </c>
      <c r="AE248" s="12" t="s">
        <v>277</v>
      </c>
      <c r="AF248" s="12" t="s">
        <v>277</v>
      </c>
      <c r="AG248" s="12" t="s">
        <v>277</v>
      </c>
      <c r="AH248" s="12" t="s">
        <v>277</v>
      </c>
      <c r="AI248" s="12" t="s">
        <v>277</v>
      </c>
      <c r="AJ248" s="12" t="s">
        <v>277</v>
      </c>
      <c r="AK248" s="12" t="s">
        <v>277</v>
      </c>
      <c r="AL248" s="12" t="s">
        <v>277</v>
      </c>
      <c r="AM248" s="12" t="s">
        <v>277</v>
      </c>
      <c r="AN248" s="12" t="s">
        <v>277</v>
      </c>
      <c r="AO248" s="12" t="s">
        <v>277</v>
      </c>
      <c r="AP248" s="12" t="s">
        <v>277</v>
      </c>
      <c r="AQ248" s="12" t="s">
        <v>277</v>
      </c>
      <c r="AR248" s="12" t="s">
        <v>277</v>
      </c>
      <c r="AS248" s="12" t="s">
        <v>277</v>
      </c>
      <c r="AT248" s="12" t="s">
        <v>277</v>
      </c>
      <c r="AU248" s="12" t="s">
        <v>277</v>
      </c>
      <c r="AV248" s="12" t="s">
        <v>277</v>
      </c>
      <c r="AW248" s="12" t="s">
        <v>277</v>
      </c>
      <c r="AX248" s="12" t="s">
        <v>277</v>
      </c>
      <c r="AY248" s="12" t="s">
        <v>277</v>
      </c>
      <c r="AZ248" s="12" t="s">
        <v>277</v>
      </c>
      <c r="BA248" s="12" t="s">
        <v>277</v>
      </c>
      <c r="BB248" s="12" t="s">
        <v>277</v>
      </c>
      <c r="BC248" s="12" t="s">
        <v>277</v>
      </c>
      <c r="BD248" s="12" t="s">
        <v>277</v>
      </c>
      <c r="BE248" s="12" t="s">
        <v>277</v>
      </c>
      <c r="BF248" s="12" t="s">
        <v>277</v>
      </c>
      <c r="BG248" s="12" t="s">
        <v>277</v>
      </c>
      <c r="BH248" s="12" t="s">
        <v>277</v>
      </c>
      <c r="BI248" s="12" t="s">
        <v>277</v>
      </c>
      <c r="BJ248" s="12" t="s">
        <v>277</v>
      </c>
      <c r="BK248" s="12" t="s">
        <v>277</v>
      </c>
      <c r="BL248" s="12" t="s">
        <v>277</v>
      </c>
      <c r="BM248" s="12" t="s">
        <v>277</v>
      </c>
      <c r="BN248" s="12" t="s">
        <v>277</v>
      </c>
      <c r="BO248" s="12" t="s">
        <v>277</v>
      </c>
      <c r="BP248" s="12" t="s">
        <v>277</v>
      </c>
      <c r="BQ248" s="12" t="s">
        <v>278</v>
      </c>
      <c r="BR248" s="12" t="s">
        <v>278</v>
      </c>
      <c r="BS248" s="12" t="s">
        <v>278</v>
      </c>
      <c r="BT248" s="12" t="s">
        <v>278</v>
      </c>
      <c r="BU248" s="12" t="s">
        <v>278</v>
      </c>
      <c r="BV248" s="12" t="s">
        <v>278</v>
      </c>
      <c r="BW248" s="12" t="s">
        <v>322</v>
      </c>
      <c r="BX248" s="12" t="s">
        <v>322</v>
      </c>
      <c r="BY248" s="12" t="s">
        <v>322</v>
      </c>
      <c r="BZ248" s="12" t="s">
        <v>279</v>
      </c>
      <c r="CA248" s="12" t="s">
        <v>279</v>
      </c>
      <c r="CB248" s="12" t="s">
        <v>280</v>
      </c>
      <c r="CC248" s="12" t="s">
        <v>280</v>
      </c>
      <c r="CD248" s="12" t="s">
        <v>280</v>
      </c>
      <c r="CE248" s="12" t="s">
        <v>280</v>
      </c>
      <c r="CF248" s="12" t="s">
        <v>280</v>
      </c>
      <c r="CG248" s="12" t="s">
        <v>280</v>
      </c>
      <c r="CH248" s="12" t="s">
        <v>280</v>
      </c>
      <c r="CI248" s="12" t="s">
        <v>280</v>
      </c>
      <c r="CJ248" s="12" t="s">
        <v>280</v>
      </c>
      <c r="CK248" s="12" t="s">
        <v>280</v>
      </c>
      <c r="CL248" s="12" t="s">
        <v>280</v>
      </c>
      <c r="CM248" s="12" t="s">
        <v>280</v>
      </c>
      <c r="CN248" s="12" t="s">
        <v>280</v>
      </c>
      <c r="CO248" s="12" t="s">
        <v>280</v>
      </c>
      <c r="CP248" s="12" t="s">
        <v>280</v>
      </c>
      <c r="CQ248" s="12" t="s">
        <v>280</v>
      </c>
      <c r="CR248" s="12" t="s">
        <v>280</v>
      </c>
      <c r="CS248" s="12" t="s">
        <v>280</v>
      </c>
      <c r="CT248" s="12" t="s">
        <v>280</v>
      </c>
      <c r="CU248" s="12" t="s">
        <v>280</v>
      </c>
      <c r="CV248" s="12" t="s">
        <v>280</v>
      </c>
      <c r="CW248" s="12" t="s">
        <v>280</v>
      </c>
      <c r="CX248" s="12" t="s">
        <v>280</v>
      </c>
    </row>
    <row r="249" spans="1:102" hidden="1" x14ac:dyDescent="0.3">
      <c r="A249" s="12" t="s">
        <v>3960</v>
      </c>
      <c r="B249" s="12" t="s">
        <v>1134</v>
      </c>
      <c r="C249" s="12" t="s">
        <v>3961</v>
      </c>
      <c r="D249" s="12" t="s">
        <v>3962</v>
      </c>
      <c r="E249" s="12" t="s">
        <v>277</v>
      </c>
      <c r="F249" s="12" t="s">
        <v>277</v>
      </c>
      <c r="G249" s="12" t="s">
        <v>277</v>
      </c>
      <c r="H249" s="12" t="s">
        <v>277</v>
      </c>
      <c r="I249" s="12" t="s">
        <v>277</v>
      </c>
      <c r="J249" s="12" t="s">
        <v>277</v>
      </c>
      <c r="K249" s="12" t="s">
        <v>277</v>
      </c>
      <c r="L249" s="12" t="s">
        <v>277</v>
      </c>
      <c r="M249" s="12" t="s">
        <v>277</v>
      </c>
      <c r="N249" s="12" t="s">
        <v>277</v>
      </c>
      <c r="O249" s="12" t="s">
        <v>277</v>
      </c>
      <c r="P249" s="12" t="s">
        <v>277</v>
      </c>
      <c r="Q249" s="12" t="s">
        <v>277</v>
      </c>
      <c r="R249" s="12" t="s">
        <v>277</v>
      </c>
      <c r="S249" s="12" t="s">
        <v>277</v>
      </c>
      <c r="T249" s="12" t="s">
        <v>277</v>
      </c>
      <c r="U249" s="12" t="s">
        <v>277</v>
      </c>
      <c r="V249" s="12" t="s">
        <v>277</v>
      </c>
      <c r="W249" s="12" t="s">
        <v>277</v>
      </c>
      <c r="X249" s="12" t="s">
        <v>277</v>
      </c>
      <c r="Y249" s="12" t="s">
        <v>277</v>
      </c>
      <c r="Z249" s="12" t="s">
        <v>277</v>
      </c>
      <c r="AA249" s="12" t="s">
        <v>277</v>
      </c>
      <c r="AB249" s="12" t="s">
        <v>277</v>
      </c>
      <c r="AC249" s="12" t="s">
        <v>277</v>
      </c>
      <c r="AD249" s="12" t="s">
        <v>277</v>
      </c>
      <c r="AE249" s="12" t="s">
        <v>277</v>
      </c>
      <c r="AF249" s="12" t="s">
        <v>277</v>
      </c>
      <c r="AG249" s="12" t="s">
        <v>277</v>
      </c>
      <c r="AH249" s="12" t="s">
        <v>277</v>
      </c>
      <c r="AI249" s="12" t="s">
        <v>277</v>
      </c>
      <c r="AJ249" s="12" t="s">
        <v>277</v>
      </c>
      <c r="AK249" s="12" t="s">
        <v>277</v>
      </c>
      <c r="AL249" s="12" t="s">
        <v>277</v>
      </c>
      <c r="AM249" s="12" t="s">
        <v>277</v>
      </c>
      <c r="AN249" s="12" t="s">
        <v>277</v>
      </c>
      <c r="AO249" s="12" t="s">
        <v>277</v>
      </c>
      <c r="AP249" s="12" t="s">
        <v>277</v>
      </c>
      <c r="AQ249" s="12" t="s">
        <v>277</v>
      </c>
      <c r="AR249" s="12" t="s">
        <v>277</v>
      </c>
      <c r="AS249" s="12" t="s">
        <v>277</v>
      </c>
      <c r="AT249" s="12" t="s">
        <v>277</v>
      </c>
      <c r="AU249" s="12" t="s">
        <v>277</v>
      </c>
      <c r="AV249" s="12" t="s">
        <v>277</v>
      </c>
      <c r="AW249" s="12" t="s">
        <v>277</v>
      </c>
      <c r="AX249" s="12" t="s">
        <v>277</v>
      </c>
      <c r="AY249" s="12" t="s">
        <v>277</v>
      </c>
      <c r="AZ249" s="12" t="s">
        <v>277</v>
      </c>
      <c r="BA249" s="12" t="s">
        <v>277</v>
      </c>
      <c r="BB249" s="12" t="s">
        <v>277</v>
      </c>
      <c r="BC249" s="12" t="s">
        <v>277</v>
      </c>
      <c r="BD249" s="12" t="s">
        <v>277</v>
      </c>
      <c r="BE249" s="12" t="s">
        <v>277</v>
      </c>
      <c r="BF249" s="12" t="s">
        <v>277</v>
      </c>
      <c r="BG249" s="12" t="s">
        <v>277</v>
      </c>
      <c r="BH249" s="12" t="s">
        <v>277</v>
      </c>
      <c r="BI249" s="12" t="s">
        <v>277</v>
      </c>
      <c r="BJ249" s="12" t="s">
        <v>277</v>
      </c>
      <c r="BK249" s="12" t="s">
        <v>277</v>
      </c>
      <c r="BL249" s="12" t="s">
        <v>277</v>
      </c>
      <c r="BM249" s="12" t="s">
        <v>277</v>
      </c>
      <c r="BN249" s="12" t="s">
        <v>277</v>
      </c>
      <c r="BO249" s="12" t="s">
        <v>277</v>
      </c>
      <c r="BP249" s="12" t="s">
        <v>277</v>
      </c>
      <c r="BQ249" s="12" t="s">
        <v>371</v>
      </c>
      <c r="BR249" s="12" t="s">
        <v>371</v>
      </c>
      <c r="BS249" s="12" t="s">
        <v>279</v>
      </c>
      <c r="BT249" s="12" t="s">
        <v>279</v>
      </c>
      <c r="BU249" s="12" t="s">
        <v>279</v>
      </c>
      <c r="BV249" s="12" t="s">
        <v>280</v>
      </c>
      <c r="BW249" s="12" t="s">
        <v>280</v>
      </c>
      <c r="BX249" s="12" t="s">
        <v>550</v>
      </c>
      <c r="BY249" s="12" t="s">
        <v>550</v>
      </c>
      <c r="BZ249" s="12" t="s">
        <v>550</v>
      </c>
      <c r="CA249" s="12" t="s">
        <v>550</v>
      </c>
      <c r="CB249" s="12" t="s">
        <v>550</v>
      </c>
      <c r="CC249" s="12" t="s">
        <v>281</v>
      </c>
      <c r="CD249" s="12" t="s">
        <v>281</v>
      </c>
      <c r="CE249" s="12" t="s">
        <v>281</v>
      </c>
      <c r="CF249" s="12" t="s">
        <v>454</v>
      </c>
      <c r="CG249" s="12" t="s">
        <v>454</v>
      </c>
      <c r="CH249" s="12" t="s">
        <v>454</v>
      </c>
      <c r="CI249" s="12" t="s">
        <v>454</v>
      </c>
      <c r="CJ249" s="12" t="s">
        <v>454</v>
      </c>
      <c r="CK249" s="12" t="s">
        <v>454</v>
      </c>
      <c r="CL249" s="12" t="s">
        <v>454</v>
      </c>
      <c r="CM249" s="12" t="s">
        <v>454</v>
      </c>
      <c r="CN249" s="12" t="s">
        <v>460</v>
      </c>
      <c r="CO249" s="12" t="s">
        <v>460</v>
      </c>
      <c r="CP249" s="12" t="s">
        <v>282</v>
      </c>
      <c r="CQ249" s="12" t="s">
        <v>282</v>
      </c>
      <c r="CR249" s="12" t="s">
        <v>282</v>
      </c>
      <c r="CS249" s="12" t="s">
        <v>282</v>
      </c>
      <c r="CT249" s="12" t="s">
        <v>282</v>
      </c>
      <c r="CU249" s="12" t="s">
        <v>282</v>
      </c>
      <c r="CV249" s="12" t="s">
        <v>282</v>
      </c>
      <c r="CW249" s="12" t="s">
        <v>282</v>
      </c>
      <c r="CX249" s="12" t="s">
        <v>282</v>
      </c>
    </row>
    <row r="250" spans="1:102" hidden="1" x14ac:dyDescent="0.3">
      <c r="A250" s="12" t="s">
        <v>12</v>
      </c>
      <c r="B250" s="12" t="s">
        <v>3963</v>
      </c>
      <c r="C250" s="12" t="s">
        <v>3964</v>
      </c>
      <c r="D250" s="12" t="s">
        <v>3965</v>
      </c>
      <c r="E250" s="12" t="s">
        <v>277</v>
      </c>
      <c r="F250" s="12" t="s">
        <v>277</v>
      </c>
      <c r="G250" s="12" t="s">
        <v>277</v>
      </c>
      <c r="H250" s="12" t="s">
        <v>277</v>
      </c>
      <c r="I250" s="12" t="s">
        <v>277</v>
      </c>
      <c r="J250" s="12" t="s">
        <v>277</v>
      </c>
      <c r="K250" s="12" t="s">
        <v>277</v>
      </c>
      <c r="L250" s="12" t="s">
        <v>277</v>
      </c>
      <c r="M250" s="12" t="s">
        <v>277</v>
      </c>
      <c r="N250" s="12" t="s">
        <v>277</v>
      </c>
      <c r="O250" s="12" t="s">
        <v>277</v>
      </c>
      <c r="P250" s="12" t="s">
        <v>277</v>
      </c>
      <c r="Q250" s="12" t="s">
        <v>277</v>
      </c>
      <c r="R250" s="12" t="s">
        <v>277</v>
      </c>
      <c r="S250" s="12" t="s">
        <v>277</v>
      </c>
      <c r="T250" s="12" t="s">
        <v>277</v>
      </c>
      <c r="U250" s="12" t="s">
        <v>277</v>
      </c>
      <c r="V250" s="12" t="s">
        <v>277</v>
      </c>
      <c r="W250" s="12" t="s">
        <v>277</v>
      </c>
      <c r="X250" s="12" t="s">
        <v>277</v>
      </c>
      <c r="Y250" s="12" t="s">
        <v>277</v>
      </c>
      <c r="Z250" s="12" t="s">
        <v>277</v>
      </c>
      <c r="AA250" s="12" t="s">
        <v>277</v>
      </c>
      <c r="AB250" s="12" t="s">
        <v>277</v>
      </c>
      <c r="AC250" s="12" t="s">
        <v>277</v>
      </c>
      <c r="AD250" s="12" t="s">
        <v>277</v>
      </c>
      <c r="AE250" s="12" t="s">
        <v>277</v>
      </c>
      <c r="AF250" s="12" t="s">
        <v>277</v>
      </c>
      <c r="AG250" s="12" t="s">
        <v>277</v>
      </c>
      <c r="AH250" s="12" t="s">
        <v>277</v>
      </c>
      <c r="AI250" s="12" t="s">
        <v>277</v>
      </c>
      <c r="AJ250" s="12" t="s">
        <v>277</v>
      </c>
      <c r="AK250" s="12" t="s">
        <v>277</v>
      </c>
      <c r="AL250" s="12" t="s">
        <v>277</v>
      </c>
      <c r="AM250" s="12" t="s">
        <v>277</v>
      </c>
      <c r="AN250" s="12" t="s">
        <v>277</v>
      </c>
      <c r="AO250" s="12" t="s">
        <v>277</v>
      </c>
      <c r="AP250" s="12" t="s">
        <v>277</v>
      </c>
      <c r="AQ250" s="12" t="s">
        <v>277</v>
      </c>
      <c r="AR250" s="12" t="s">
        <v>277</v>
      </c>
      <c r="AS250" s="12" t="s">
        <v>277</v>
      </c>
      <c r="AT250" s="12" t="s">
        <v>277</v>
      </c>
      <c r="AU250" s="12" t="s">
        <v>277</v>
      </c>
      <c r="AV250" s="12" t="s">
        <v>277</v>
      </c>
      <c r="AW250" s="12" t="s">
        <v>277</v>
      </c>
      <c r="AX250" s="12" t="s">
        <v>277</v>
      </c>
      <c r="AY250" s="12" t="s">
        <v>277</v>
      </c>
      <c r="AZ250" s="12" t="s">
        <v>277</v>
      </c>
      <c r="BA250" s="12" t="s">
        <v>277</v>
      </c>
      <c r="BB250" s="12" t="s">
        <v>277</v>
      </c>
      <c r="BC250" s="12" t="s">
        <v>277</v>
      </c>
      <c r="BD250" s="12" t="s">
        <v>277</v>
      </c>
      <c r="BE250" s="12" t="s">
        <v>277</v>
      </c>
      <c r="BF250" s="12" t="s">
        <v>277</v>
      </c>
      <c r="BG250" s="12" t="s">
        <v>277</v>
      </c>
      <c r="BH250" s="12" t="s">
        <v>277</v>
      </c>
      <c r="BI250" s="12" t="s">
        <v>277</v>
      </c>
      <c r="BJ250" s="12" t="s">
        <v>277</v>
      </c>
      <c r="BK250" s="12" t="s">
        <v>277</v>
      </c>
      <c r="BL250" s="12" t="s">
        <v>277</v>
      </c>
      <c r="BM250" s="12" t="s">
        <v>277</v>
      </c>
      <c r="BN250" s="12" t="s">
        <v>277</v>
      </c>
      <c r="BO250" s="12" t="s">
        <v>277</v>
      </c>
      <c r="BP250" s="12" t="s">
        <v>277</v>
      </c>
      <c r="BQ250" s="12" t="s">
        <v>553</v>
      </c>
      <c r="BR250" s="12" t="s">
        <v>676</v>
      </c>
      <c r="BS250" s="12" t="s">
        <v>556</v>
      </c>
      <c r="BT250" s="12" t="s">
        <v>290</v>
      </c>
      <c r="BU250" s="12" t="s">
        <v>290</v>
      </c>
      <c r="BV250" s="12" t="s">
        <v>571</v>
      </c>
      <c r="BW250" s="12" t="s">
        <v>1449</v>
      </c>
      <c r="BX250" s="12" t="s">
        <v>1449</v>
      </c>
      <c r="BY250" s="12" t="s">
        <v>975</v>
      </c>
      <c r="BZ250" s="12" t="s">
        <v>1055</v>
      </c>
      <c r="CA250" s="12" t="s">
        <v>1584</v>
      </c>
      <c r="CB250" s="12" t="s">
        <v>1584</v>
      </c>
      <c r="CC250" s="12" t="s">
        <v>293</v>
      </c>
      <c r="CD250" s="12" t="s">
        <v>620</v>
      </c>
      <c r="CE250" s="12" t="s">
        <v>620</v>
      </c>
      <c r="CF250" s="12" t="s">
        <v>1188</v>
      </c>
      <c r="CG250" s="12" t="s">
        <v>1526</v>
      </c>
      <c r="CH250" s="12" t="s">
        <v>1526</v>
      </c>
      <c r="CI250" s="12" t="s">
        <v>1526</v>
      </c>
      <c r="CJ250" s="12" t="s">
        <v>476</v>
      </c>
      <c r="CK250" s="12" t="s">
        <v>476</v>
      </c>
      <c r="CL250" s="12" t="s">
        <v>2820</v>
      </c>
      <c r="CM250" s="12" t="s">
        <v>1366</v>
      </c>
      <c r="CN250" s="12" t="s">
        <v>2373</v>
      </c>
      <c r="CO250" s="12" t="s">
        <v>2373</v>
      </c>
      <c r="CP250" s="12" t="s">
        <v>2373</v>
      </c>
      <c r="CQ250" s="12" t="s">
        <v>2373</v>
      </c>
      <c r="CR250" s="12" t="s">
        <v>2373</v>
      </c>
      <c r="CS250" s="12" t="s">
        <v>2373</v>
      </c>
      <c r="CT250" s="12" t="s">
        <v>2373</v>
      </c>
      <c r="CU250" s="12" t="s">
        <v>2373</v>
      </c>
      <c r="CV250" s="12" t="s">
        <v>2373</v>
      </c>
      <c r="CW250" s="12" t="s">
        <v>2373</v>
      </c>
      <c r="CX250" s="12" t="s">
        <v>2373</v>
      </c>
    </row>
    <row r="251" spans="1:102" hidden="1" x14ac:dyDescent="0.3">
      <c r="A251" s="12" t="s">
        <v>12</v>
      </c>
      <c r="B251" s="12" t="s">
        <v>3966</v>
      </c>
      <c r="C251" s="12" t="s">
        <v>3967</v>
      </c>
      <c r="D251" s="12" t="s">
        <v>3968</v>
      </c>
      <c r="E251" s="12" t="s">
        <v>277</v>
      </c>
      <c r="F251" s="12" t="s">
        <v>277</v>
      </c>
      <c r="G251" s="12" t="s">
        <v>277</v>
      </c>
      <c r="H251" s="12" t="s">
        <v>277</v>
      </c>
      <c r="I251" s="12" t="s">
        <v>277</v>
      </c>
      <c r="J251" s="12" t="s">
        <v>277</v>
      </c>
      <c r="K251" s="12" t="s">
        <v>277</v>
      </c>
      <c r="L251" s="12" t="s">
        <v>277</v>
      </c>
      <c r="M251" s="12" t="s">
        <v>277</v>
      </c>
      <c r="N251" s="12" t="s">
        <v>277</v>
      </c>
      <c r="O251" s="12" t="s">
        <v>277</v>
      </c>
      <c r="P251" s="12" t="s">
        <v>277</v>
      </c>
      <c r="Q251" s="12" t="s">
        <v>277</v>
      </c>
      <c r="R251" s="12" t="s">
        <v>277</v>
      </c>
      <c r="S251" s="12" t="s">
        <v>277</v>
      </c>
      <c r="T251" s="12" t="s">
        <v>277</v>
      </c>
      <c r="U251" s="12" t="s">
        <v>277</v>
      </c>
      <c r="V251" s="12" t="s">
        <v>277</v>
      </c>
      <c r="W251" s="12" t="s">
        <v>277</v>
      </c>
      <c r="X251" s="12" t="s">
        <v>277</v>
      </c>
      <c r="Y251" s="12" t="s">
        <v>277</v>
      </c>
      <c r="Z251" s="12" t="s">
        <v>277</v>
      </c>
      <c r="AA251" s="12" t="s">
        <v>277</v>
      </c>
      <c r="AB251" s="12" t="s">
        <v>277</v>
      </c>
      <c r="AC251" s="12" t="s">
        <v>277</v>
      </c>
      <c r="AD251" s="12" t="s">
        <v>277</v>
      </c>
      <c r="AE251" s="12" t="s">
        <v>277</v>
      </c>
      <c r="AF251" s="12" t="s">
        <v>277</v>
      </c>
      <c r="AG251" s="12" t="s">
        <v>277</v>
      </c>
      <c r="AH251" s="12" t="s">
        <v>277</v>
      </c>
      <c r="AI251" s="12" t="s">
        <v>277</v>
      </c>
      <c r="AJ251" s="12" t="s">
        <v>277</v>
      </c>
      <c r="AK251" s="12" t="s">
        <v>277</v>
      </c>
      <c r="AL251" s="12" t="s">
        <v>277</v>
      </c>
      <c r="AM251" s="12" t="s">
        <v>277</v>
      </c>
      <c r="AN251" s="12" t="s">
        <v>277</v>
      </c>
      <c r="AO251" s="12" t="s">
        <v>277</v>
      </c>
      <c r="AP251" s="12" t="s">
        <v>277</v>
      </c>
      <c r="AQ251" s="12" t="s">
        <v>277</v>
      </c>
      <c r="AR251" s="12" t="s">
        <v>277</v>
      </c>
      <c r="AS251" s="12" t="s">
        <v>277</v>
      </c>
      <c r="AT251" s="12" t="s">
        <v>277</v>
      </c>
      <c r="AU251" s="12" t="s">
        <v>277</v>
      </c>
      <c r="AV251" s="12" t="s">
        <v>277</v>
      </c>
      <c r="AW251" s="12" t="s">
        <v>277</v>
      </c>
      <c r="AX251" s="12" t="s">
        <v>277</v>
      </c>
      <c r="AY251" s="12" t="s">
        <v>277</v>
      </c>
      <c r="AZ251" s="12" t="s">
        <v>277</v>
      </c>
      <c r="BA251" s="12" t="s">
        <v>277</v>
      </c>
      <c r="BB251" s="12" t="s">
        <v>277</v>
      </c>
      <c r="BC251" s="12" t="s">
        <v>277</v>
      </c>
      <c r="BD251" s="12" t="s">
        <v>277</v>
      </c>
      <c r="BE251" s="12" t="s">
        <v>277</v>
      </c>
      <c r="BF251" s="12" t="s">
        <v>277</v>
      </c>
      <c r="BG251" s="12" t="s">
        <v>277</v>
      </c>
      <c r="BH251" s="12" t="s">
        <v>277</v>
      </c>
      <c r="BI251" s="12" t="s">
        <v>277</v>
      </c>
      <c r="BJ251" s="12" t="s">
        <v>277</v>
      </c>
      <c r="BK251" s="12" t="s">
        <v>277</v>
      </c>
      <c r="BL251" s="12" t="s">
        <v>277</v>
      </c>
      <c r="BM251" s="12" t="s">
        <v>277</v>
      </c>
      <c r="BN251" s="12" t="s">
        <v>277</v>
      </c>
      <c r="BO251" s="12" t="s">
        <v>277</v>
      </c>
      <c r="BP251" s="12" t="s">
        <v>277</v>
      </c>
      <c r="BQ251" s="12" t="s">
        <v>277</v>
      </c>
      <c r="BR251" s="12" t="s">
        <v>454</v>
      </c>
      <c r="BS251" s="12" t="s">
        <v>454</v>
      </c>
      <c r="BT251" s="12" t="s">
        <v>323</v>
      </c>
      <c r="BU251" s="12" t="s">
        <v>455</v>
      </c>
      <c r="BV251" s="12" t="s">
        <v>461</v>
      </c>
      <c r="BW251" s="12" t="s">
        <v>461</v>
      </c>
      <c r="BX251" s="12" t="s">
        <v>374</v>
      </c>
      <c r="BY251" s="12" t="s">
        <v>374</v>
      </c>
      <c r="BZ251" s="12" t="s">
        <v>284</v>
      </c>
      <c r="CA251" s="12" t="s">
        <v>284</v>
      </c>
      <c r="CB251" s="12" t="s">
        <v>285</v>
      </c>
      <c r="CC251" s="12" t="s">
        <v>285</v>
      </c>
      <c r="CD251" s="12" t="s">
        <v>285</v>
      </c>
      <c r="CE251" s="12" t="s">
        <v>325</v>
      </c>
      <c r="CF251" s="12" t="s">
        <v>612</v>
      </c>
      <c r="CG251" s="12" t="s">
        <v>327</v>
      </c>
      <c r="CH251" s="12" t="s">
        <v>745</v>
      </c>
      <c r="CI251" s="12" t="s">
        <v>552</v>
      </c>
      <c r="CJ251" s="12" t="s">
        <v>879</v>
      </c>
      <c r="CK251" s="12" t="s">
        <v>288</v>
      </c>
      <c r="CL251" s="12" t="s">
        <v>823</v>
      </c>
      <c r="CM251" s="12" t="s">
        <v>420</v>
      </c>
      <c r="CN251" s="12" t="s">
        <v>677</v>
      </c>
      <c r="CO251" s="12" t="s">
        <v>678</v>
      </c>
      <c r="CP251" s="12" t="s">
        <v>1117</v>
      </c>
      <c r="CQ251" s="12" t="s">
        <v>692</v>
      </c>
      <c r="CR251" s="12" t="s">
        <v>337</v>
      </c>
      <c r="CS251" s="12" t="s">
        <v>382</v>
      </c>
      <c r="CT251" s="12" t="s">
        <v>619</v>
      </c>
      <c r="CU251" s="12" t="s">
        <v>338</v>
      </c>
      <c r="CV251" s="12" t="s">
        <v>338</v>
      </c>
      <c r="CW251" s="12" t="s">
        <v>338</v>
      </c>
      <c r="CX251" s="12" t="s">
        <v>1512</v>
      </c>
    </row>
    <row r="252" spans="1:102" hidden="1" x14ac:dyDescent="0.3">
      <c r="A252" s="12" t="s">
        <v>3969</v>
      </c>
      <c r="B252" s="12" t="s">
        <v>3792</v>
      </c>
      <c r="C252" s="12" t="s">
        <v>3970</v>
      </c>
      <c r="D252" s="12" t="s">
        <v>3971</v>
      </c>
      <c r="E252" s="12" t="s">
        <v>277</v>
      </c>
      <c r="F252" s="12" t="s">
        <v>277</v>
      </c>
      <c r="G252" s="12" t="s">
        <v>277</v>
      </c>
      <c r="H252" s="12" t="s">
        <v>277</v>
      </c>
      <c r="I252" s="12" t="s">
        <v>277</v>
      </c>
      <c r="J252" s="12" t="s">
        <v>277</v>
      </c>
      <c r="K252" s="12" t="s">
        <v>277</v>
      </c>
      <c r="L252" s="12" t="s">
        <v>277</v>
      </c>
      <c r="M252" s="12" t="s">
        <v>277</v>
      </c>
      <c r="N252" s="12" t="s">
        <v>277</v>
      </c>
      <c r="O252" s="12" t="s">
        <v>277</v>
      </c>
      <c r="P252" s="12" t="s">
        <v>277</v>
      </c>
      <c r="Q252" s="12" t="s">
        <v>277</v>
      </c>
      <c r="R252" s="12" t="s">
        <v>277</v>
      </c>
      <c r="S252" s="12" t="s">
        <v>277</v>
      </c>
      <c r="T252" s="12" t="s">
        <v>277</v>
      </c>
      <c r="U252" s="12" t="s">
        <v>277</v>
      </c>
      <c r="V252" s="12" t="s">
        <v>277</v>
      </c>
      <c r="W252" s="12" t="s">
        <v>277</v>
      </c>
      <c r="X252" s="12" t="s">
        <v>277</v>
      </c>
      <c r="Y252" s="12" t="s">
        <v>277</v>
      </c>
      <c r="Z252" s="12" t="s">
        <v>277</v>
      </c>
      <c r="AA252" s="12" t="s">
        <v>277</v>
      </c>
      <c r="AB252" s="12" t="s">
        <v>277</v>
      </c>
      <c r="AC252" s="12" t="s">
        <v>277</v>
      </c>
      <c r="AD252" s="12" t="s">
        <v>277</v>
      </c>
      <c r="AE252" s="12" t="s">
        <v>277</v>
      </c>
      <c r="AF252" s="12" t="s">
        <v>277</v>
      </c>
      <c r="AG252" s="12" t="s">
        <v>277</v>
      </c>
      <c r="AH252" s="12" t="s">
        <v>277</v>
      </c>
      <c r="AI252" s="12" t="s">
        <v>277</v>
      </c>
      <c r="AJ252" s="12" t="s">
        <v>277</v>
      </c>
      <c r="AK252" s="12" t="s">
        <v>277</v>
      </c>
      <c r="AL252" s="12" t="s">
        <v>277</v>
      </c>
      <c r="AM252" s="12" t="s">
        <v>277</v>
      </c>
      <c r="AN252" s="12" t="s">
        <v>277</v>
      </c>
      <c r="AO252" s="12" t="s">
        <v>277</v>
      </c>
      <c r="AP252" s="12" t="s">
        <v>277</v>
      </c>
      <c r="AQ252" s="12" t="s">
        <v>277</v>
      </c>
      <c r="AR252" s="12" t="s">
        <v>277</v>
      </c>
      <c r="AS252" s="12" t="s">
        <v>277</v>
      </c>
      <c r="AT252" s="12" t="s">
        <v>277</v>
      </c>
      <c r="AU252" s="12" t="s">
        <v>277</v>
      </c>
      <c r="AV252" s="12" t="s">
        <v>277</v>
      </c>
      <c r="AW252" s="12" t="s">
        <v>277</v>
      </c>
      <c r="AX252" s="12" t="s">
        <v>277</v>
      </c>
      <c r="AY252" s="12" t="s">
        <v>277</v>
      </c>
      <c r="AZ252" s="12" t="s">
        <v>277</v>
      </c>
      <c r="BA252" s="12" t="s">
        <v>277</v>
      </c>
      <c r="BB252" s="12" t="s">
        <v>277</v>
      </c>
      <c r="BC252" s="12" t="s">
        <v>277</v>
      </c>
      <c r="BD252" s="12" t="s">
        <v>277</v>
      </c>
      <c r="BE252" s="12" t="s">
        <v>277</v>
      </c>
      <c r="BF252" s="12" t="s">
        <v>277</v>
      </c>
      <c r="BG252" s="12" t="s">
        <v>277</v>
      </c>
      <c r="BH252" s="12" t="s">
        <v>277</v>
      </c>
      <c r="BI252" s="12" t="s">
        <v>277</v>
      </c>
      <c r="BJ252" s="12" t="s">
        <v>277</v>
      </c>
      <c r="BK252" s="12" t="s">
        <v>277</v>
      </c>
      <c r="BL252" s="12" t="s">
        <v>277</v>
      </c>
      <c r="BM252" s="12" t="s">
        <v>277</v>
      </c>
      <c r="BN252" s="12" t="s">
        <v>277</v>
      </c>
      <c r="BO252" s="12" t="s">
        <v>277</v>
      </c>
      <c r="BP252" s="12" t="s">
        <v>277</v>
      </c>
      <c r="BQ252" s="12" t="s">
        <v>277</v>
      </c>
      <c r="BR252" s="12" t="s">
        <v>277</v>
      </c>
      <c r="BS252" s="12" t="s">
        <v>322</v>
      </c>
      <c r="BT252" s="12" t="s">
        <v>322</v>
      </c>
      <c r="BU252" s="12" t="s">
        <v>322</v>
      </c>
      <c r="BV252" s="12" t="s">
        <v>322</v>
      </c>
      <c r="BW252" s="12" t="s">
        <v>322</v>
      </c>
      <c r="BX252" s="12" t="s">
        <v>371</v>
      </c>
      <c r="BY252" s="12" t="s">
        <v>371</v>
      </c>
      <c r="BZ252" s="12" t="s">
        <v>371</v>
      </c>
      <c r="CA252" s="12" t="s">
        <v>371</v>
      </c>
      <c r="CB252" s="12" t="s">
        <v>371</v>
      </c>
      <c r="CC252" s="12" t="s">
        <v>371</v>
      </c>
      <c r="CD252" s="12" t="s">
        <v>371</v>
      </c>
      <c r="CE252" s="12" t="s">
        <v>371</v>
      </c>
      <c r="CF252" s="12" t="s">
        <v>371</v>
      </c>
      <c r="CG252" s="12" t="s">
        <v>371</v>
      </c>
      <c r="CH252" s="12" t="s">
        <v>371</v>
      </c>
      <c r="CI252" s="12" t="s">
        <v>371</v>
      </c>
      <c r="CJ252" s="12" t="s">
        <v>371</v>
      </c>
      <c r="CK252" s="12" t="s">
        <v>371</v>
      </c>
      <c r="CL252" s="12" t="s">
        <v>371</v>
      </c>
      <c r="CM252" s="12" t="s">
        <v>371</v>
      </c>
      <c r="CN252" s="12" t="s">
        <v>371</v>
      </c>
      <c r="CO252" s="12" t="s">
        <v>371</v>
      </c>
      <c r="CP252" s="12" t="s">
        <v>371</v>
      </c>
      <c r="CQ252" s="12" t="s">
        <v>371</v>
      </c>
      <c r="CR252" s="12" t="s">
        <v>371</v>
      </c>
      <c r="CS252" s="12" t="s">
        <v>371</v>
      </c>
      <c r="CT252" s="12" t="s">
        <v>371</v>
      </c>
      <c r="CU252" s="12" t="s">
        <v>371</v>
      </c>
      <c r="CV252" s="12" t="s">
        <v>371</v>
      </c>
      <c r="CW252" s="12" t="s">
        <v>371</v>
      </c>
      <c r="CX252" s="12" t="s">
        <v>371</v>
      </c>
    </row>
    <row r="253" spans="1:102" hidden="1" x14ac:dyDescent="0.3">
      <c r="A253" s="12" t="s">
        <v>3972</v>
      </c>
      <c r="B253" s="12" t="s">
        <v>3792</v>
      </c>
      <c r="C253" s="12" t="s">
        <v>3973</v>
      </c>
      <c r="D253" s="12" t="s">
        <v>3974</v>
      </c>
      <c r="E253" s="12" t="s">
        <v>277</v>
      </c>
      <c r="F253" s="12" t="s">
        <v>277</v>
      </c>
      <c r="G253" s="12" t="s">
        <v>277</v>
      </c>
      <c r="H253" s="12" t="s">
        <v>277</v>
      </c>
      <c r="I253" s="12" t="s">
        <v>277</v>
      </c>
      <c r="J253" s="12" t="s">
        <v>277</v>
      </c>
      <c r="K253" s="12" t="s">
        <v>277</v>
      </c>
      <c r="L253" s="12" t="s">
        <v>277</v>
      </c>
      <c r="M253" s="12" t="s">
        <v>277</v>
      </c>
      <c r="N253" s="12" t="s">
        <v>277</v>
      </c>
      <c r="O253" s="12" t="s">
        <v>277</v>
      </c>
      <c r="P253" s="12" t="s">
        <v>277</v>
      </c>
      <c r="Q253" s="12" t="s">
        <v>277</v>
      </c>
      <c r="R253" s="12" t="s">
        <v>277</v>
      </c>
      <c r="S253" s="12" t="s">
        <v>277</v>
      </c>
      <c r="T253" s="12" t="s">
        <v>277</v>
      </c>
      <c r="U253" s="12" t="s">
        <v>277</v>
      </c>
      <c r="V253" s="12" t="s">
        <v>277</v>
      </c>
      <c r="W253" s="12" t="s">
        <v>277</v>
      </c>
      <c r="X253" s="12" t="s">
        <v>277</v>
      </c>
      <c r="Y253" s="12" t="s">
        <v>277</v>
      </c>
      <c r="Z253" s="12" t="s">
        <v>277</v>
      </c>
      <c r="AA253" s="12" t="s">
        <v>277</v>
      </c>
      <c r="AB253" s="12" t="s">
        <v>277</v>
      </c>
      <c r="AC253" s="12" t="s">
        <v>277</v>
      </c>
      <c r="AD253" s="12" t="s">
        <v>277</v>
      </c>
      <c r="AE253" s="12" t="s">
        <v>277</v>
      </c>
      <c r="AF253" s="12" t="s">
        <v>277</v>
      </c>
      <c r="AG253" s="12" t="s">
        <v>277</v>
      </c>
      <c r="AH253" s="12" t="s">
        <v>277</v>
      </c>
      <c r="AI253" s="12" t="s">
        <v>277</v>
      </c>
      <c r="AJ253" s="12" t="s">
        <v>277</v>
      </c>
      <c r="AK253" s="12" t="s">
        <v>277</v>
      </c>
      <c r="AL253" s="12" t="s">
        <v>277</v>
      </c>
      <c r="AM253" s="12" t="s">
        <v>277</v>
      </c>
      <c r="AN253" s="12" t="s">
        <v>277</v>
      </c>
      <c r="AO253" s="12" t="s">
        <v>277</v>
      </c>
      <c r="AP253" s="12" t="s">
        <v>277</v>
      </c>
      <c r="AQ253" s="12" t="s">
        <v>277</v>
      </c>
      <c r="AR253" s="12" t="s">
        <v>277</v>
      </c>
      <c r="AS253" s="12" t="s">
        <v>277</v>
      </c>
      <c r="AT253" s="12" t="s">
        <v>277</v>
      </c>
      <c r="AU253" s="12" t="s">
        <v>277</v>
      </c>
      <c r="AV253" s="12" t="s">
        <v>277</v>
      </c>
      <c r="AW253" s="12" t="s">
        <v>277</v>
      </c>
      <c r="AX253" s="12" t="s">
        <v>277</v>
      </c>
      <c r="AY253" s="12" t="s">
        <v>277</v>
      </c>
      <c r="AZ253" s="12" t="s">
        <v>277</v>
      </c>
      <c r="BA253" s="12" t="s">
        <v>277</v>
      </c>
      <c r="BB253" s="12" t="s">
        <v>277</v>
      </c>
      <c r="BC253" s="12" t="s">
        <v>277</v>
      </c>
      <c r="BD253" s="12" t="s">
        <v>277</v>
      </c>
      <c r="BE253" s="12" t="s">
        <v>277</v>
      </c>
      <c r="BF253" s="12" t="s">
        <v>277</v>
      </c>
      <c r="BG253" s="12" t="s">
        <v>277</v>
      </c>
      <c r="BH253" s="12" t="s">
        <v>277</v>
      </c>
      <c r="BI253" s="12" t="s">
        <v>277</v>
      </c>
      <c r="BJ253" s="12" t="s">
        <v>277</v>
      </c>
      <c r="BK253" s="12" t="s">
        <v>277</v>
      </c>
      <c r="BL253" s="12" t="s">
        <v>277</v>
      </c>
      <c r="BM253" s="12" t="s">
        <v>277</v>
      </c>
      <c r="BN253" s="12" t="s">
        <v>277</v>
      </c>
      <c r="BO253" s="12" t="s">
        <v>277</v>
      </c>
      <c r="BP253" s="12" t="s">
        <v>277</v>
      </c>
      <c r="BQ253" s="12" t="s">
        <v>277</v>
      </c>
      <c r="BR253" s="12" t="s">
        <v>277</v>
      </c>
      <c r="BS253" s="12" t="s">
        <v>322</v>
      </c>
      <c r="BT253" s="12" t="s">
        <v>322</v>
      </c>
      <c r="BU253" s="12" t="s">
        <v>322</v>
      </c>
      <c r="BV253" s="12" t="s">
        <v>371</v>
      </c>
      <c r="BW253" s="12" t="s">
        <v>371</v>
      </c>
      <c r="BX253" s="12" t="s">
        <v>371</v>
      </c>
      <c r="BY253" s="12" t="s">
        <v>371</v>
      </c>
      <c r="BZ253" s="12" t="s">
        <v>371</v>
      </c>
      <c r="CA253" s="12" t="s">
        <v>371</v>
      </c>
      <c r="CB253" s="12" t="s">
        <v>371</v>
      </c>
      <c r="CC253" s="12" t="s">
        <v>371</v>
      </c>
      <c r="CD253" s="12" t="s">
        <v>371</v>
      </c>
      <c r="CE253" s="12" t="s">
        <v>371</v>
      </c>
      <c r="CF253" s="12" t="s">
        <v>371</v>
      </c>
      <c r="CG253" s="12" t="s">
        <v>371</v>
      </c>
      <c r="CH253" s="12" t="s">
        <v>371</v>
      </c>
      <c r="CI253" s="12" t="s">
        <v>371</v>
      </c>
      <c r="CJ253" s="12" t="s">
        <v>371</v>
      </c>
      <c r="CK253" s="12" t="s">
        <v>371</v>
      </c>
      <c r="CL253" s="12" t="s">
        <v>371</v>
      </c>
      <c r="CM253" s="12" t="s">
        <v>279</v>
      </c>
      <c r="CN253" s="12" t="s">
        <v>279</v>
      </c>
      <c r="CO253" s="12" t="s">
        <v>279</v>
      </c>
      <c r="CP253" s="12" t="s">
        <v>280</v>
      </c>
      <c r="CQ253" s="12" t="s">
        <v>280</v>
      </c>
      <c r="CR253" s="12" t="s">
        <v>280</v>
      </c>
      <c r="CS253" s="12" t="s">
        <v>280</v>
      </c>
      <c r="CT253" s="12" t="s">
        <v>280</v>
      </c>
      <c r="CU253" s="12" t="s">
        <v>550</v>
      </c>
      <c r="CV253" s="12" t="s">
        <v>550</v>
      </c>
      <c r="CW253" s="12" t="s">
        <v>550</v>
      </c>
      <c r="CX253" s="12" t="s">
        <v>550</v>
      </c>
    </row>
    <row r="254" spans="1:102" hidden="1" x14ac:dyDescent="0.3">
      <c r="A254" s="12" t="s">
        <v>3975</v>
      </c>
      <c r="B254" s="12" t="s">
        <v>3792</v>
      </c>
      <c r="C254" s="12" t="s">
        <v>3976</v>
      </c>
      <c r="D254" s="12" t="s">
        <v>3977</v>
      </c>
      <c r="E254" s="12" t="s">
        <v>277</v>
      </c>
      <c r="F254" s="12" t="s">
        <v>277</v>
      </c>
      <c r="G254" s="12" t="s">
        <v>277</v>
      </c>
      <c r="H254" s="12" t="s">
        <v>277</v>
      </c>
      <c r="I254" s="12" t="s">
        <v>277</v>
      </c>
      <c r="J254" s="12" t="s">
        <v>277</v>
      </c>
      <c r="K254" s="12" t="s">
        <v>277</v>
      </c>
      <c r="L254" s="12" t="s">
        <v>277</v>
      </c>
      <c r="M254" s="12" t="s">
        <v>277</v>
      </c>
      <c r="N254" s="12" t="s">
        <v>277</v>
      </c>
      <c r="O254" s="12" t="s">
        <v>277</v>
      </c>
      <c r="P254" s="12" t="s">
        <v>277</v>
      </c>
      <c r="Q254" s="12" t="s">
        <v>277</v>
      </c>
      <c r="R254" s="12" t="s">
        <v>277</v>
      </c>
      <c r="S254" s="12" t="s">
        <v>277</v>
      </c>
      <c r="T254" s="12" t="s">
        <v>277</v>
      </c>
      <c r="U254" s="12" t="s">
        <v>277</v>
      </c>
      <c r="V254" s="12" t="s">
        <v>277</v>
      </c>
      <c r="W254" s="12" t="s">
        <v>277</v>
      </c>
      <c r="X254" s="12" t="s">
        <v>277</v>
      </c>
      <c r="Y254" s="12" t="s">
        <v>277</v>
      </c>
      <c r="Z254" s="12" t="s">
        <v>277</v>
      </c>
      <c r="AA254" s="12" t="s">
        <v>277</v>
      </c>
      <c r="AB254" s="12" t="s">
        <v>277</v>
      </c>
      <c r="AC254" s="12" t="s">
        <v>277</v>
      </c>
      <c r="AD254" s="12" t="s">
        <v>277</v>
      </c>
      <c r="AE254" s="12" t="s">
        <v>277</v>
      </c>
      <c r="AF254" s="12" t="s">
        <v>277</v>
      </c>
      <c r="AG254" s="12" t="s">
        <v>277</v>
      </c>
      <c r="AH254" s="12" t="s">
        <v>277</v>
      </c>
      <c r="AI254" s="12" t="s">
        <v>277</v>
      </c>
      <c r="AJ254" s="12" t="s">
        <v>277</v>
      </c>
      <c r="AK254" s="12" t="s">
        <v>277</v>
      </c>
      <c r="AL254" s="12" t="s">
        <v>277</v>
      </c>
      <c r="AM254" s="12" t="s">
        <v>277</v>
      </c>
      <c r="AN254" s="12" t="s">
        <v>277</v>
      </c>
      <c r="AO254" s="12" t="s">
        <v>277</v>
      </c>
      <c r="AP254" s="12" t="s">
        <v>277</v>
      </c>
      <c r="AQ254" s="12" t="s">
        <v>277</v>
      </c>
      <c r="AR254" s="12" t="s">
        <v>277</v>
      </c>
      <c r="AS254" s="12" t="s">
        <v>277</v>
      </c>
      <c r="AT254" s="12" t="s">
        <v>277</v>
      </c>
      <c r="AU254" s="12" t="s">
        <v>277</v>
      </c>
      <c r="AV254" s="12" t="s">
        <v>277</v>
      </c>
      <c r="AW254" s="12" t="s">
        <v>277</v>
      </c>
      <c r="AX254" s="12" t="s">
        <v>277</v>
      </c>
      <c r="AY254" s="12" t="s">
        <v>277</v>
      </c>
      <c r="AZ254" s="12" t="s">
        <v>277</v>
      </c>
      <c r="BA254" s="12" t="s">
        <v>277</v>
      </c>
      <c r="BB254" s="12" t="s">
        <v>277</v>
      </c>
      <c r="BC254" s="12" t="s">
        <v>277</v>
      </c>
      <c r="BD254" s="12" t="s">
        <v>277</v>
      </c>
      <c r="BE254" s="12" t="s">
        <v>277</v>
      </c>
      <c r="BF254" s="12" t="s">
        <v>277</v>
      </c>
      <c r="BG254" s="12" t="s">
        <v>277</v>
      </c>
      <c r="BH254" s="12" t="s">
        <v>277</v>
      </c>
      <c r="BI254" s="12" t="s">
        <v>277</v>
      </c>
      <c r="BJ254" s="12" t="s">
        <v>277</v>
      </c>
      <c r="BK254" s="12" t="s">
        <v>277</v>
      </c>
      <c r="BL254" s="12" t="s">
        <v>277</v>
      </c>
      <c r="BM254" s="12" t="s">
        <v>277</v>
      </c>
      <c r="BN254" s="12" t="s">
        <v>277</v>
      </c>
      <c r="BO254" s="12" t="s">
        <v>277</v>
      </c>
      <c r="BP254" s="12" t="s">
        <v>277</v>
      </c>
      <c r="BQ254" s="12" t="s">
        <v>277</v>
      </c>
      <c r="BR254" s="12" t="s">
        <v>277</v>
      </c>
      <c r="BS254" s="12" t="s">
        <v>279</v>
      </c>
      <c r="BT254" s="12" t="s">
        <v>279</v>
      </c>
      <c r="BU254" s="12" t="s">
        <v>280</v>
      </c>
      <c r="BV254" s="12" t="s">
        <v>280</v>
      </c>
      <c r="BW254" s="12" t="s">
        <v>550</v>
      </c>
      <c r="BX254" s="12" t="s">
        <v>280</v>
      </c>
      <c r="BY254" s="12" t="s">
        <v>280</v>
      </c>
      <c r="BZ254" s="12" t="s">
        <v>280</v>
      </c>
      <c r="CA254" s="12" t="s">
        <v>280</v>
      </c>
      <c r="CB254" s="12" t="s">
        <v>454</v>
      </c>
      <c r="CC254" s="12" t="s">
        <v>454</v>
      </c>
      <c r="CD254" s="12" t="s">
        <v>454</v>
      </c>
      <c r="CE254" s="12" t="s">
        <v>454</v>
      </c>
      <c r="CF254" s="12" t="s">
        <v>454</v>
      </c>
      <c r="CG254" s="12" t="s">
        <v>454</v>
      </c>
      <c r="CH254" s="12" t="s">
        <v>460</v>
      </c>
      <c r="CI254" s="12" t="s">
        <v>323</v>
      </c>
      <c r="CJ254" s="12" t="s">
        <v>323</v>
      </c>
      <c r="CK254" s="12" t="s">
        <v>323</v>
      </c>
      <c r="CL254" s="12" t="s">
        <v>282</v>
      </c>
      <c r="CM254" s="12" t="s">
        <v>282</v>
      </c>
      <c r="CN254" s="12" t="s">
        <v>282</v>
      </c>
      <c r="CO254" s="12" t="s">
        <v>282</v>
      </c>
      <c r="CP254" s="12" t="s">
        <v>282</v>
      </c>
      <c r="CQ254" s="12" t="s">
        <v>282</v>
      </c>
      <c r="CR254" s="12" t="s">
        <v>282</v>
      </c>
      <c r="CS254" s="12" t="s">
        <v>282</v>
      </c>
      <c r="CT254" s="12" t="s">
        <v>282</v>
      </c>
      <c r="CU254" s="12" t="s">
        <v>282</v>
      </c>
      <c r="CV254" s="12" t="s">
        <v>282</v>
      </c>
      <c r="CW254" s="12" t="s">
        <v>324</v>
      </c>
      <c r="CX254" s="12" t="s">
        <v>324</v>
      </c>
    </row>
    <row r="255" spans="1:102" hidden="1" x14ac:dyDescent="0.3">
      <c r="A255" s="12" t="s">
        <v>12</v>
      </c>
      <c r="B255" s="12" t="s">
        <v>3978</v>
      </c>
      <c r="C255" s="12" t="s">
        <v>1911</v>
      </c>
      <c r="D255" s="12" t="s">
        <v>1911</v>
      </c>
      <c r="E255" s="12" t="s">
        <v>277</v>
      </c>
      <c r="F255" s="12" t="s">
        <v>277</v>
      </c>
      <c r="G255" s="12" t="s">
        <v>277</v>
      </c>
      <c r="H255" s="12" t="s">
        <v>277</v>
      </c>
      <c r="I255" s="12" t="s">
        <v>277</v>
      </c>
      <c r="J255" s="12" t="s">
        <v>277</v>
      </c>
      <c r="K255" s="12" t="s">
        <v>277</v>
      </c>
      <c r="L255" s="12" t="s">
        <v>277</v>
      </c>
      <c r="M255" s="12" t="s">
        <v>277</v>
      </c>
      <c r="N255" s="12" t="s">
        <v>277</v>
      </c>
      <c r="O255" s="12" t="s">
        <v>277</v>
      </c>
      <c r="P255" s="12" t="s">
        <v>277</v>
      </c>
      <c r="Q255" s="12" t="s">
        <v>277</v>
      </c>
      <c r="R255" s="12" t="s">
        <v>277</v>
      </c>
      <c r="S255" s="12" t="s">
        <v>277</v>
      </c>
      <c r="T255" s="12" t="s">
        <v>277</v>
      </c>
      <c r="U255" s="12" t="s">
        <v>277</v>
      </c>
      <c r="V255" s="12" t="s">
        <v>277</v>
      </c>
      <c r="W255" s="12" t="s">
        <v>277</v>
      </c>
      <c r="X255" s="12" t="s">
        <v>277</v>
      </c>
      <c r="Y255" s="12" t="s">
        <v>277</v>
      </c>
      <c r="Z255" s="12" t="s">
        <v>277</v>
      </c>
      <c r="AA255" s="12" t="s">
        <v>277</v>
      </c>
      <c r="AB255" s="12" t="s">
        <v>277</v>
      </c>
      <c r="AC255" s="12" t="s">
        <v>277</v>
      </c>
      <c r="AD255" s="12" t="s">
        <v>277</v>
      </c>
      <c r="AE255" s="12" t="s">
        <v>277</v>
      </c>
      <c r="AF255" s="12" t="s">
        <v>277</v>
      </c>
      <c r="AG255" s="12" t="s">
        <v>277</v>
      </c>
      <c r="AH255" s="12" t="s">
        <v>277</v>
      </c>
      <c r="AI255" s="12" t="s">
        <v>277</v>
      </c>
      <c r="AJ255" s="12" t="s">
        <v>277</v>
      </c>
      <c r="AK255" s="12" t="s">
        <v>277</v>
      </c>
      <c r="AL255" s="12" t="s">
        <v>277</v>
      </c>
      <c r="AM255" s="12" t="s">
        <v>277</v>
      </c>
      <c r="AN255" s="12" t="s">
        <v>277</v>
      </c>
      <c r="AO255" s="12" t="s">
        <v>277</v>
      </c>
      <c r="AP255" s="12" t="s">
        <v>277</v>
      </c>
      <c r="AQ255" s="12" t="s">
        <v>277</v>
      </c>
      <c r="AR255" s="12" t="s">
        <v>277</v>
      </c>
      <c r="AS255" s="12" t="s">
        <v>277</v>
      </c>
      <c r="AT255" s="12" t="s">
        <v>277</v>
      </c>
      <c r="AU255" s="12" t="s">
        <v>277</v>
      </c>
      <c r="AV255" s="12" t="s">
        <v>277</v>
      </c>
      <c r="AW255" s="12" t="s">
        <v>277</v>
      </c>
      <c r="AX255" s="12" t="s">
        <v>277</v>
      </c>
      <c r="AY255" s="12" t="s">
        <v>277</v>
      </c>
      <c r="AZ255" s="12" t="s">
        <v>277</v>
      </c>
      <c r="BA255" s="12" t="s">
        <v>277</v>
      </c>
      <c r="BB255" s="12" t="s">
        <v>277</v>
      </c>
      <c r="BC255" s="12" t="s">
        <v>277</v>
      </c>
      <c r="BD255" s="12" t="s">
        <v>277</v>
      </c>
      <c r="BE255" s="12" t="s">
        <v>277</v>
      </c>
      <c r="BF255" s="12" t="s">
        <v>277</v>
      </c>
      <c r="BG255" s="12" t="s">
        <v>277</v>
      </c>
      <c r="BH255" s="12" t="s">
        <v>277</v>
      </c>
      <c r="BI255" s="12" t="s">
        <v>277</v>
      </c>
      <c r="BJ255" s="12" t="s">
        <v>277</v>
      </c>
      <c r="BK255" s="12" t="s">
        <v>277</v>
      </c>
      <c r="BL255" s="12" t="s">
        <v>277</v>
      </c>
      <c r="BM255" s="12" t="s">
        <v>277</v>
      </c>
      <c r="BN255" s="12" t="s">
        <v>277</v>
      </c>
      <c r="BO255" s="12" t="s">
        <v>277</v>
      </c>
      <c r="BP255" s="12" t="s">
        <v>277</v>
      </c>
      <c r="BQ255" s="12" t="s">
        <v>277</v>
      </c>
      <c r="BR255" s="12" t="s">
        <v>277</v>
      </c>
      <c r="BS255" s="12" t="s">
        <v>322</v>
      </c>
      <c r="BT255" s="12" t="s">
        <v>322</v>
      </c>
      <c r="BU255" s="12" t="s">
        <v>322</v>
      </c>
      <c r="BV255" s="12" t="s">
        <v>322</v>
      </c>
      <c r="BW255" s="12" t="s">
        <v>460</v>
      </c>
      <c r="BX255" s="12" t="s">
        <v>460</v>
      </c>
      <c r="BY255" s="12" t="s">
        <v>460</v>
      </c>
      <c r="BZ255" s="12" t="s">
        <v>460</v>
      </c>
      <c r="CA255" s="12" t="s">
        <v>460</v>
      </c>
      <c r="CB255" s="12" t="s">
        <v>460</v>
      </c>
      <c r="CC255" s="12" t="s">
        <v>460</v>
      </c>
      <c r="CD255" s="12" t="s">
        <v>460</v>
      </c>
      <c r="CE255" s="12" t="s">
        <v>460</v>
      </c>
      <c r="CF255" s="12" t="s">
        <v>460</v>
      </c>
      <c r="CG255" s="12" t="s">
        <v>460</v>
      </c>
      <c r="CH255" s="12" t="s">
        <v>460</v>
      </c>
      <c r="CI255" s="12" t="s">
        <v>460</v>
      </c>
      <c r="CJ255" s="12" t="s">
        <v>460</v>
      </c>
      <c r="CK255" s="12" t="s">
        <v>460</v>
      </c>
      <c r="CL255" s="12" t="s">
        <v>460</v>
      </c>
      <c r="CM255" s="12" t="s">
        <v>460</v>
      </c>
      <c r="CN255" s="12" t="s">
        <v>460</v>
      </c>
      <c r="CO255" s="12" t="s">
        <v>460</v>
      </c>
      <c r="CP255" s="12" t="s">
        <v>460</v>
      </c>
      <c r="CQ255" s="12" t="s">
        <v>460</v>
      </c>
      <c r="CR255" s="12" t="s">
        <v>460</v>
      </c>
      <c r="CS255" s="12" t="s">
        <v>460</v>
      </c>
      <c r="CT255" s="12" t="s">
        <v>460</v>
      </c>
      <c r="CU255" s="12" t="s">
        <v>460</v>
      </c>
      <c r="CV255" s="12" t="s">
        <v>460</v>
      </c>
      <c r="CW255" s="12" t="s">
        <v>460</v>
      </c>
      <c r="CX255" s="12" t="s">
        <v>460</v>
      </c>
    </row>
    <row r="256" spans="1:102" hidden="1" x14ac:dyDescent="0.3">
      <c r="A256" s="12" t="s">
        <v>12</v>
      </c>
      <c r="B256" s="12" t="s">
        <v>3979</v>
      </c>
      <c r="C256" s="12" t="s">
        <v>3980</v>
      </c>
      <c r="D256" s="12" t="s">
        <v>3981</v>
      </c>
      <c r="E256" s="12" t="s">
        <v>277</v>
      </c>
      <c r="F256" s="12" t="s">
        <v>277</v>
      </c>
      <c r="G256" s="12" t="s">
        <v>277</v>
      </c>
      <c r="H256" s="12" t="s">
        <v>277</v>
      </c>
      <c r="I256" s="12" t="s">
        <v>277</v>
      </c>
      <c r="J256" s="12" t="s">
        <v>277</v>
      </c>
      <c r="K256" s="12" t="s">
        <v>277</v>
      </c>
      <c r="L256" s="12" t="s">
        <v>277</v>
      </c>
      <c r="M256" s="12" t="s">
        <v>277</v>
      </c>
      <c r="N256" s="12" t="s">
        <v>277</v>
      </c>
      <c r="O256" s="12" t="s">
        <v>277</v>
      </c>
      <c r="P256" s="12" t="s">
        <v>277</v>
      </c>
      <c r="Q256" s="12" t="s">
        <v>277</v>
      </c>
      <c r="R256" s="12" t="s">
        <v>277</v>
      </c>
      <c r="S256" s="12" t="s">
        <v>277</v>
      </c>
      <c r="T256" s="12" t="s">
        <v>277</v>
      </c>
      <c r="U256" s="12" t="s">
        <v>277</v>
      </c>
      <c r="V256" s="12" t="s">
        <v>277</v>
      </c>
      <c r="W256" s="12" t="s">
        <v>277</v>
      </c>
      <c r="X256" s="12" t="s">
        <v>277</v>
      </c>
      <c r="Y256" s="12" t="s">
        <v>277</v>
      </c>
      <c r="Z256" s="12" t="s">
        <v>277</v>
      </c>
      <c r="AA256" s="12" t="s">
        <v>277</v>
      </c>
      <c r="AB256" s="12" t="s">
        <v>277</v>
      </c>
      <c r="AC256" s="12" t="s">
        <v>277</v>
      </c>
      <c r="AD256" s="12" t="s">
        <v>277</v>
      </c>
      <c r="AE256" s="12" t="s">
        <v>277</v>
      </c>
      <c r="AF256" s="12" t="s">
        <v>277</v>
      </c>
      <c r="AG256" s="12" t="s">
        <v>277</v>
      </c>
      <c r="AH256" s="12" t="s">
        <v>277</v>
      </c>
      <c r="AI256" s="12" t="s">
        <v>277</v>
      </c>
      <c r="AJ256" s="12" t="s">
        <v>277</v>
      </c>
      <c r="AK256" s="12" t="s">
        <v>277</v>
      </c>
      <c r="AL256" s="12" t="s">
        <v>277</v>
      </c>
      <c r="AM256" s="12" t="s">
        <v>277</v>
      </c>
      <c r="AN256" s="12" t="s">
        <v>277</v>
      </c>
      <c r="AO256" s="12" t="s">
        <v>277</v>
      </c>
      <c r="AP256" s="12" t="s">
        <v>277</v>
      </c>
      <c r="AQ256" s="12" t="s">
        <v>277</v>
      </c>
      <c r="AR256" s="12" t="s">
        <v>277</v>
      </c>
      <c r="AS256" s="12" t="s">
        <v>277</v>
      </c>
      <c r="AT256" s="12" t="s">
        <v>277</v>
      </c>
      <c r="AU256" s="12" t="s">
        <v>277</v>
      </c>
      <c r="AV256" s="12" t="s">
        <v>277</v>
      </c>
      <c r="AW256" s="12" t="s">
        <v>277</v>
      </c>
      <c r="AX256" s="12" t="s">
        <v>277</v>
      </c>
      <c r="AY256" s="12" t="s">
        <v>277</v>
      </c>
      <c r="AZ256" s="12" t="s">
        <v>277</v>
      </c>
      <c r="BA256" s="12" t="s">
        <v>277</v>
      </c>
      <c r="BB256" s="12" t="s">
        <v>277</v>
      </c>
      <c r="BC256" s="12" t="s">
        <v>277</v>
      </c>
      <c r="BD256" s="12" t="s">
        <v>277</v>
      </c>
      <c r="BE256" s="12" t="s">
        <v>277</v>
      </c>
      <c r="BF256" s="12" t="s">
        <v>277</v>
      </c>
      <c r="BG256" s="12" t="s">
        <v>277</v>
      </c>
      <c r="BH256" s="12" t="s">
        <v>277</v>
      </c>
      <c r="BI256" s="12" t="s">
        <v>277</v>
      </c>
      <c r="BJ256" s="12" t="s">
        <v>277</v>
      </c>
      <c r="BK256" s="12" t="s">
        <v>277</v>
      </c>
      <c r="BL256" s="12" t="s">
        <v>277</v>
      </c>
      <c r="BM256" s="12" t="s">
        <v>277</v>
      </c>
      <c r="BN256" s="12" t="s">
        <v>277</v>
      </c>
      <c r="BO256" s="12" t="s">
        <v>277</v>
      </c>
      <c r="BP256" s="12" t="s">
        <v>277</v>
      </c>
      <c r="BQ256" s="12" t="s">
        <v>277</v>
      </c>
      <c r="BR256" s="12" t="s">
        <v>277</v>
      </c>
      <c r="BS256" s="12" t="s">
        <v>277</v>
      </c>
      <c r="BT256" s="12" t="s">
        <v>277</v>
      </c>
      <c r="BU256" s="12" t="s">
        <v>371</v>
      </c>
      <c r="BV256" s="12" t="s">
        <v>279</v>
      </c>
      <c r="BW256" s="12" t="s">
        <v>279</v>
      </c>
      <c r="BX256" s="12" t="s">
        <v>279</v>
      </c>
      <c r="BY256" s="12" t="s">
        <v>279</v>
      </c>
      <c r="BZ256" s="12" t="s">
        <v>279</v>
      </c>
      <c r="CA256" s="12" t="s">
        <v>550</v>
      </c>
      <c r="CB256" s="12" t="s">
        <v>550</v>
      </c>
      <c r="CC256" s="12" t="s">
        <v>550</v>
      </c>
      <c r="CD256" s="12" t="s">
        <v>550</v>
      </c>
      <c r="CE256" s="12" t="s">
        <v>567</v>
      </c>
      <c r="CF256" s="12" t="s">
        <v>567</v>
      </c>
      <c r="CG256" s="12" t="s">
        <v>567</v>
      </c>
      <c r="CH256" s="12" t="s">
        <v>567</v>
      </c>
      <c r="CI256" s="12" t="s">
        <v>567</v>
      </c>
      <c r="CJ256" s="12" t="s">
        <v>567</v>
      </c>
      <c r="CK256" s="12" t="s">
        <v>567</v>
      </c>
      <c r="CL256" s="12" t="s">
        <v>461</v>
      </c>
      <c r="CM256" s="12" t="s">
        <v>461</v>
      </c>
      <c r="CN256" s="12" t="s">
        <v>461</v>
      </c>
      <c r="CO256" s="12" t="s">
        <v>374</v>
      </c>
      <c r="CP256" s="12" t="s">
        <v>374</v>
      </c>
      <c r="CQ256" s="12" t="s">
        <v>374</v>
      </c>
      <c r="CR256" s="12" t="s">
        <v>285</v>
      </c>
      <c r="CS256" s="12" t="s">
        <v>285</v>
      </c>
      <c r="CT256" s="12" t="s">
        <v>285</v>
      </c>
      <c r="CU256" s="12" t="s">
        <v>285</v>
      </c>
      <c r="CV256" s="12" t="s">
        <v>285</v>
      </c>
      <c r="CW256" s="12" t="s">
        <v>285</v>
      </c>
      <c r="CX256" s="12" t="s">
        <v>325</v>
      </c>
    </row>
    <row r="257" spans="1:102" hidden="1" x14ac:dyDescent="0.3">
      <c r="A257" s="12" t="s">
        <v>12</v>
      </c>
      <c r="B257" s="12" t="s">
        <v>3982</v>
      </c>
      <c r="C257" s="12" t="s">
        <v>3983</v>
      </c>
      <c r="D257" s="12" t="s">
        <v>3984</v>
      </c>
      <c r="E257" s="12" t="s">
        <v>277</v>
      </c>
      <c r="F257" s="12" t="s">
        <v>277</v>
      </c>
      <c r="G257" s="12" t="s">
        <v>277</v>
      </c>
      <c r="H257" s="12" t="s">
        <v>277</v>
      </c>
      <c r="I257" s="12" t="s">
        <v>277</v>
      </c>
      <c r="J257" s="12" t="s">
        <v>277</v>
      </c>
      <c r="K257" s="12" t="s">
        <v>277</v>
      </c>
      <c r="L257" s="12" t="s">
        <v>277</v>
      </c>
      <c r="M257" s="12" t="s">
        <v>277</v>
      </c>
      <c r="N257" s="12" t="s">
        <v>277</v>
      </c>
      <c r="O257" s="12" t="s">
        <v>277</v>
      </c>
      <c r="P257" s="12" t="s">
        <v>277</v>
      </c>
      <c r="Q257" s="12" t="s">
        <v>277</v>
      </c>
      <c r="R257" s="12" t="s">
        <v>277</v>
      </c>
      <c r="S257" s="12" t="s">
        <v>277</v>
      </c>
      <c r="T257" s="12" t="s">
        <v>277</v>
      </c>
      <c r="U257" s="12" t="s">
        <v>277</v>
      </c>
      <c r="V257" s="12" t="s">
        <v>277</v>
      </c>
      <c r="W257" s="12" t="s">
        <v>277</v>
      </c>
      <c r="X257" s="12" t="s">
        <v>277</v>
      </c>
      <c r="Y257" s="12" t="s">
        <v>277</v>
      </c>
      <c r="Z257" s="12" t="s">
        <v>277</v>
      </c>
      <c r="AA257" s="12" t="s">
        <v>277</v>
      </c>
      <c r="AB257" s="12" t="s">
        <v>277</v>
      </c>
      <c r="AC257" s="12" t="s">
        <v>277</v>
      </c>
      <c r="AD257" s="12" t="s">
        <v>277</v>
      </c>
      <c r="AE257" s="12" t="s">
        <v>277</v>
      </c>
      <c r="AF257" s="12" t="s">
        <v>277</v>
      </c>
      <c r="AG257" s="12" t="s">
        <v>277</v>
      </c>
      <c r="AH257" s="12" t="s">
        <v>277</v>
      </c>
      <c r="AI257" s="12" t="s">
        <v>277</v>
      </c>
      <c r="AJ257" s="12" t="s">
        <v>277</v>
      </c>
      <c r="AK257" s="12" t="s">
        <v>277</v>
      </c>
      <c r="AL257" s="12" t="s">
        <v>277</v>
      </c>
      <c r="AM257" s="12" t="s">
        <v>277</v>
      </c>
      <c r="AN257" s="12" t="s">
        <v>277</v>
      </c>
      <c r="AO257" s="12" t="s">
        <v>277</v>
      </c>
      <c r="AP257" s="12" t="s">
        <v>277</v>
      </c>
      <c r="AQ257" s="12" t="s">
        <v>277</v>
      </c>
      <c r="AR257" s="12" t="s">
        <v>277</v>
      </c>
      <c r="AS257" s="12" t="s">
        <v>277</v>
      </c>
      <c r="AT257" s="12" t="s">
        <v>277</v>
      </c>
      <c r="AU257" s="12" t="s">
        <v>277</v>
      </c>
      <c r="AV257" s="12" t="s">
        <v>277</v>
      </c>
      <c r="AW257" s="12" t="s">
        <v>277</v>
      </c>
      <c r="AX257" s="12" t="s">
        <v>277</v>
      </c>
      <c r="AY257" s="12" t="s">
        <v>277</v>
      </c>
      <c r="AZ257" s="12" t="s">
        <v>277</v>
      </c>
      <c r="BA257" s="12" t="s">
        <v>277</v>
      </c>
      <c r="BB257" s="12" t="s">
        <v>277</v>
      </c>
      <c r="BC257" s="12" t="s">
        <v>277</v>
      </c>
      <c r="BD257" s="12" t="s">
        <v>277</v>
      </c>
      <c r="BE257" s="12" t="s">
        <v>277</v>
      </c>
      <c r="BF257" s="12" t="s">
        <v>277</v>
      </c>
      <c r="BG257" s="12" t="s">
        <v>277</v>
      </c>
      <c r="BH257" s="12" t="s">
        <v>277</v>
      </c>
      <c r="BI257" s="12" t="s">
        <v>277</v>
      </c>
      <c r="BJ257" s="12" t="s">
        <v>277</v>
      </c>
      <c r="BK257" s="12" t="s">
        <v>277</v>
      </c>
      <c r="BL257" s="12" t="s">
        <v>277</v>
      </c>
      <c r="BM257" s="12" t="s">
        <v>277</v>
      </c>
      <c r="BN257" s="12" t="s">
        <v>277</v>
      </c>
      <c r="BO257" s="12" t="s">
        <v>277</v>
      </c>
      <c r="BP257" s="12" t="s">
        <v>277</v>
      </c>
      <c r="BQ257" s="12" t="s">
        <v>277</v>
      </c>
      <c r="BR257" s="12" t="s">
        <v>277</v>
      </c>
      <c r="BS257" s="12" t="s">
        <v>277</v>
      </c>
      <c r="BT257" s="12" t="s">
        <v>277</v>
      </c>
      <c r="BU257" s="12" t="s">
        <v>277</v>
      </c>
      <c r="BV257" s="12" t="s">
        <v>322</v>
      </c>
      <c r="BW257" s="12" t="s">
        <v>322</v>
      </c>
      <c r="BX257" s="12" t="s">
        <v>371</v>
      </c>
      <c r="BY257" s="12" t="s">
        <v>371</v>
      </c>
      <c r="BZ257" s="12" t="s">
        <v>371</v>
      </c>
      <c r="CA257" s="12" t="s">
        <v>371</v>
      </c>
      <c r="CB257" s="12" t="s">
        <v>371</v>
      </c>
      <c r="CC257" s="12" t="s">
        <v>371</v>
      </c>
      <c r="CD257" s="12" t="s">
        <v>371</v>
      </c>
      <c r="CE257" s="12" t="s">
        <v>371</v>
      </c>
      <c r="CF257" s="12" t="s">
        <v>371</v>
      </c>
      <c r="CG257" s="12" t="s">
        <v>280</v>
      </c>
      <c r="CH257" s="12" t="s">
        <v>280</v>
      </c>
      <c r="CI257" s="12" t="s">
        <v>280</v>
      </c>
      <c r="CJ257" s="12" t="s">
        <v>280</v>
      </c>
      <c r="CK257" s="12" t="s">
        <v>280</v>
      </c>
      <c r="CL257" s="12" t="s">
        <v>280</v>
      </c>
      <c r="CM257" s="12" t="s">
        <v>280</v>
      </c>
      <c r="CN257" s="12" t="s">
        <v>280</v>
      </c>
      <c r="CO257" s="12" t="s">
        <v>280</v>
      </c>
      <c r="CP257" s="12" t="s">
        <v>280</v>
      </c>
      <c r="CQ257" s="12" t="s">
        <v>280</v>
      </c>
      <c r="CR257" s="12" t="s">
        <v>282</v>
      </c>
      <c r="CS257" s="12" t="s">
        <v>282</v>
      </c>
      <c r="CT257" s="12" t="s">
        <v>282</v>
      </c>
      <c r="CU257" s="12" t="s">
        <v>282</v>
      </c>
      <c r="CV257" s="12" t="s">
        <v>282</v>
      </c>
      <c r="CW257" s="12" t="s">
        <v>282</v>
      </c>
      <c r="CX257" s="12" t="s">
        <v>282</v>
      </c>
    </row>
    <row r="258" spans="1:102" hidden="1" x14ac:dyDescent="0.3">
      <c r="A258" s="12" t="s">
        <v>12</v>
      </c>
      <c r="B258" s="12" t="s">
        <v>3985</v>
      </c>
      <c r="C258" s="12" t="s">
        <v>3986</v>
      </c>
      <c r="D258" s="12" t="s">
        <v>3987</v>
      </c>
      <c r="E258" s="12" t="s">
        <v>277</v>
      </c>
      <c r="F258" s="12" t="s">
        <v>277</v>
      </c>
      <c r="G258" s="12" t="s">
        <v>277</v>
      </c>
      <c r="H258" s="12" t="s">
        <v>277</v>
      </c>
      <c r="I258" s="12" t="s">
        <v>277</v>
      </c>
      <c r="J258" s="12" t="s">
        <v>277</v>
      </c>
      <c r="K258" s="12" t="s">
        <v>277</v>
      </c>
      <c r="L258" s="12" t="s">
        <v>277</v>
      </c>
      <c r="M258" s="12" t="s">
        <v>277</v>
      </c>
      <c r="N258" s="12" t="s">
        <v>277</v>
      </c>
      <c r="O258" s="12" t="s">
        <v>277</v>
      </c>
      <c r="P258" s="12" t="s">
        <v>277</v>
      </c>
      <c r="Q258" s="12" t="s">
        <v>277</v>
      </c>
      <c r="R258" s="12" t="s">
        <v>277</v>
      </c>
      <c r="S258" s="12" t="s">
        <v>277</v>
      </c>
      <c r="T258" s="12" t="s">
        <v>277</v>
      </c>
      <c r="U258" s="12" t="s">
        <v>277</v>
      </c>
      <c r="V258" s="12" t="s">
        <v>277</v>
      </c>
      <c r="W258" s="12" t="s">
        <v>277</v>
      </c>
      <c r="X258" s="12" t="s">
        <v>277</v>
      </c>
      <c r="Y258" s="12" t="s">
        <v>277</v>
      </c>
      <c r="Z258" s="12" t="s">
        <v>277</v>
      </c>
      <c r="AA258" s="12" t="s">
        <v>277</v>
      </c>
      <c r="AB258" s="12" t="s">
        <v>277</v>
      </c>
      <c r="AC258" s="12" t="s">
        <v>277</v>
      </c>
      <c r="AD258" s="12" t="s">
        <v>277</v>
      </c>
      <c r="AE258" s="12" t="s">
        <v>277</v>
      </c>
      <c r="AF258" s="12" t="s">
        <v>277</v>
      </c>
      <c r="AG258" s="12" t="s">
        <v>277</v>
      </c>
      <c r="AH258" s="12" t="s">
        <v>277</v>
      </c>
      <c r="AI258" s="12" t="s">
        <v>277</v>
      </c>
      <c r="AJ258" s="12" t="s">
        <v>277</v>
      </c>
      <c r="AK258" s="12" t="s">
        <v>277</v>
      </c>
      <c r="AL258" s="12" t="s">
        <v>277</v>
      </c>
      <c r="AM258" s="12" t="s">
        <v>277</v>
      </c>
      <c r="AN258" s="12" t="s">
        <v>277</v>
      </c>
      <c r="AO258" s="12" t="s">
        <v>277</v>
      </c>
      <c r="AP258" s="12" t="s">
        <v>277</v>
      </c>
      <c r="AQ258" s="12" t="s">
        <v>277</v>
      </c>
      <c r="AR258" s="12" t="s">
        <v>277</v>
      </c>
      <c r="AS258" s="12" t="s">
        <v>277</v>
      </c>
      <c r="AT258" s="12" t="s">
        <v>277</v>
      </c>
      <c r="AU258" s="12" t="s">
        <v>277</v>
      </c>
      <c r="AV258" s="12" t="s">
        <v>277</v>
      </c>
      <c r="AW258" s="12" t="s">
        <v>277</v>
      </c>
      <c r="AX258" s="12" t="s">
        <v>277</v>
      </c>
      <c r="AY258" s="12" t="s">
        <v>277</v>
      </c>
      <c r="AZ258" s="12" t="s">
        <v>277</v>
      </c>
      <c r="BA258" s="12" t="s">
        <v>277</v>
      </c>
      <c r="BB258" s="12" t="s">
        <v>277</v>
      </c>
      <c r="BC258" s="12" t="s">
        <v>277</v>
      </c>
      <c r="BD258" s="12" t="s">
        <v>277</v>
      </c>
      <c r="BE258" s="12" t="s">
        <v>277</v>
      </c>
      <c r="BF258" s="12" t="s">
        <v>277</v>
      </c>
      <c r="BG258" s="12" t="s">
        <v>277</v>
      </c>
      <c r="BH258" s="12" t="s">
        <v>277</v>
      </c>
      <c r="BI258" s="12" t="s">
        <v>277</v>
      </c>
      <c r="BJ258" s="12" t="s">
        <v>277</v>
      </c>
      <c r="BK258" s="12" t="s">
        <v>277</v>
      </c>
      <c r="BL258" s="12" t="s">
        <v>277</v>
      </c>
      <c r="BM258" s="12" t="s">
        <v>277</v>
      </c>
      <c r="BN258" s="12" t="s">
        <v>277</v>
      </c>
      <c r="BO258" s="12" t="s">
        <v>277</v>
      </c>
      <c r="BP258" s="12" t="s">
        <v>277</v>
      </c>
      <c r="BQ258" s="12" t="s">
        <v>277</v>
      </c>
      <c r="BR258" s="12" t="s">
        <v>277</v>
      </c>
      <c r="BS258" s="12" t="s">
        <v>277</v>
      </c>
      <c r="BT258" s="12" t="s">
        <v>277</v>
      </c>
      <c r="BU258" s="12" t="s">
        <v>277</v>
      </c>
      <c r="BV258" s="12" t="s">
        <v>278</v>
      </c>
      <c r="BW258" s="12" t="s">
        <v>322</v>
      </c>
      <c r="BX258" s="12" t="s">
        <v>322</v>
      </c>
      <c r="BY258" s="12" t="s">
        <v>322</v>
      </c>
      <c r="BZ258" s="12" t="s">
        <v>279</v>
      </c>
      <c r="CA258" s="12" t="s">
        <v>550</v>
      </c>
      <c r="CB258" s="12" t="s">
        <v>550</v>
      </c>
      <c r="CC258" s="12" t="s">
        <v>550</v>
      </c>
      <c r="CD258" s="12" t="s">
        <v>281</v>
      </c>
      <c r="CE258" s="12" t="s">
        <v>281</v>
      </c>
      <c r="CF258" s="12" t="s">
        <v>454</v>
      </c>
      <c r="CG258" s="12" t="s">
        <v>454</v>
      </c>
      <c r="CH258" s="12" t="s">
        <v>323</v>
      </c>
      <c r="CI258" s="12" t="s">
        <v>323</v>
      </c>
      <c r="CJ258" s="12" t="s">
        <v>282</v>
      </c>
      <c r="CK258" s="12" t="s">
        <v>567</v>
      </c>
      <c r="CL258" s="12" t="s">
        <v>461</v>
      </c>
      <c r="CM258" s="12" t="s">
        <v>375</v>
      </c>
      <c r="CN258" s="12" t="s">
        <v>1716</v>
      </c>
      <c r="CO258" s="12" t="s">
        <v>616</v>
      </c>
      <c r="CP258" s="12" t="s">
        <v>958</v>
      </c>
      <c r="CQ258" s="12" t="s">
        <v>653</v>
      </c>
      <c r="CR258" s="12" t="s">
        <v>618</v>
      </c>
      <c r="CS258" s="12" t="s">
        <v>332</v>
      </c>
      <c r="CT258" s="12" t="s">
        <v>675</v>
      </c>
      <c r="CU258" s="12" t="s">
        <v>675</v>
      </c>
      <c r="CV258" s="12" t="s">
        <v>557</v>
      </c>
      <c r="CW258" s="12" t="s">
        <v>557</v>
      </c>
      <c r="CX258" s="12" t="s">
        <v>336</v>
      </c>
    </row>
    <row r="259" spans="1:102" hidden="1" x14ac:dyDescent="0.3">
      <c r="A259" s="12" t="s">
        <v>3988</v>
      </c>
      <c r="B259" s="12" t="s">
        <v>3008</v>
      </c>
      <c r="C259" s="12" t="s">
        <v>3989</v>
      </c>
      <c r="D259" s="12" t="s">
        <v>3990</v>
      </c>
      <c r="E259" s="12" t="s">
        <v>277</v>
      </c>
      <c r="F259" s="12" t="s">
        <v>277</v>
      </c>
      <c r="G259" s="12" t="s">
        <v>277</v>
      </c>
      <c r="H259" s="12" t="s">
        <v>277</v>
      </c>
      <c r="I259" s="12" t="s">
        <v>277</v>
      </c>
      <c r="J259" s="12" t="s">
        <v>277</v>
      </c>
      <c r="K259" s="12" t="s">
        <v>277</v>
      </c>
      <c r="L259" s="12" t="s">
        <v>277</v>
      </c>
      <c r="M259" s="12" t="s">
        <v>277</v>
      </c>
      <c r="N259" s="12" t="s">
        <v>277</v>
      </c>
      <c r="O259" s="12" t="s">
        <v>277</v>
      </c>
      <c r="P259" s="12" t="s">
        <v>277</v>
      </c>
      <c r="Q259" s="12" t="s">
        <v>277</v>
      </c>
      <c r="R259" s="12" t="s">
        <v>277</v>
      </c>
      <c r="S259" s="12" t="s">
        <v>277</v>
      </c>
      <c r="T259" s="12" t="s">
        <v>277</v>
      </c>
      <c r="U259" s="12" t="s">
        <v>277</v>
      </c>
      <c r="V259" s="12" t="s">
        <v>277</v>
      </c>
      <c r="W259" s="12" t="s">
        <v>277</v>
      </c>
      <c r="X259" s="12" t="s">
        <v>277</v>
      </c>
      <c r="Y259" s="12" t="s">
        <v>277</v>
      </c>
      <c r="Z259" s="12" t="s">
        <v>277</v>
      </c>
      <c r="AA259" s="12" t="s">
        <v>277</v>
      </c>
      <c r="AB259" s="12" t="s">
        <v>277</v>
      </c>
      <c r="AC259" s="12" t="s">
        <v>277</v>
      </c>
      <c r="AD259" s="12" t="s">
        <v>277</v>
      </c>
      <c r="AE259" s="12" t="s">
        <v>277</v>
      </c>
      <c r="AF259" s="12" t="s">
        <v>277</v>
      </c>
      <c r="AG259" s="12" t="s">
        <v>277</v>
      </c>
      <c r="AH259" s="12" t="s">
        <v>277</v>
      </c>
      <c r="AI259" s="12" t="s">
        <v>277</v>
      </c>
      <c r="AJ259" s="12" t="s">
        <v>277</v>
      </c>
      <c r="AK259" s="12" t="s">
        <v>277</v>
      </c>
      <c r="AL259" s="12" t="s">
        <v>277</v>
      </c>
      <c r="AM259" s="12" t="s">
        <v>277</v>
      </c>
      <c r="AN259" s="12" t="s">
        <v>277</v>
      </c>
      <c r="AO259" s="12" t="s">
        <v>277</v>
      </c>
      <c r="AP259" s="12" t="s">
        <v>277</v>
      </c>
      <c r="AQ259" s="12" t="s">
        <v>277</v>
      </c>
      <c r="AR259" s="12" t="s">
        <v>277</v>
      </c>
      <c r="AS259" s="12" t="s">
        <v>277</v>
      </c>
      <c r="AT259" s="12" t="s">
        <v>277</v>
      </c>
      <c r="AU259" s="12" t="s">
        <v>277</v>
      </c>
      <c r="AV259" s="12" t="s">
        <v>277</v>
      </c>
      <c r="AW259" s="12" t="s">
        <v>277</v>
      </c>
      <c r="AX259" s="12" t="s">
        <v>277</v>
      </c>
      <c r="AY259" s="12" t="s">
        <v>277</v>
      </c>
      <c r="AZ259" s="12" t="s">
        <v>277</v>
      </c>
      <c r="BA259" s="12" t="s">
        <v>277</v>
      </c>
      <c r="BB259" s="12" t="s">
        <v>277</v>
      </c>
      <c r="BC259" s="12" t="s">
        <v>277</v>
      </c>
      <c r="BD259" s="12" t="s">
        <v>277</v>
      </c>
      <c r="BE259" s="12" t="s">
        <v>277</v>
      </c>
      <c r="BF259" s="12" t="s">
        <v>277</v>
      </c>
      <c r="BG259" s="12" t="s">
        <v>277</v>
      </c>
      <c r="BH259" s="12" t="s">
        <v>277</v>
      </c>
      <c r="BI259" s="12" t="s">
        <v>277</v>
      </c>
      <c r="BJ259" s="12" t="s">
        <v>277</v>
      </c>
      <c r="BK259" s="12" t="s">
        <v>277</v>
      </c>
      <c r="BL259" s="12" t="s">
        <v>277</v>
      </c>
      <c r="BM259" s="12" t="s">
        <v>277</v>
      </c>
      <c r="BN259" s="12" t="s">
        <v>277</v>
      </c>
      <c r="BO259" s="12" t="s">
        <v>277</v>
      </c>
      <c r="BP259" s="12" t="s">
        <v>277</v>
      </c>
      <c r="BQ259" s="12" t="s">
        <v>277</v>
      </c>
      <c r="BR259" s="12" t="s">
        <v>277</v>
      </c>
      <c r="BS259" s="12" t="s">
        <v>277</v>
      </c>
      <c r="BT259" s="12" t="s">
        <v>277</v>
      </c>
      <c r="BU259" s="12" t="s">
        <v>277</v>
      </c>
      <c r="BV259" s="12" t="s">
        <v>277</v>
      </c>
      <c r="BW259" s="12" t="s">
        <v>277</v>
      </c>
      <c r="BX259" s="12" t="s">
        <v>322</v>
      </c>
      <c r="BY259" s="12" t="s">
        <v>322</v>
      </c>
      <c r="BZ259" s="12" t="s">
        <v>322</v>
      </c>
      <c r="CA259" s="12" t="s">
        <v>322</v>
      </c>
      <c r="CB259" s="12" t="s">
        <v>322</v>
      </c>
      <c r="CC259" s="12" t="s">
        <v>322</v>
      </c>
      <c r="CD259" s="12" t="s">
        <v>322</v>
      </c>
      <c r="CE259" s="12" t="s">
        <v>322</v>
      </c>
      <c r="CF259" s="12" t="s">
        <v>322</v>
      </c>
      <c r="CG259" s="12" t="s">
        <v>322</v>
      </c>
      <c r="CH259" s="12" t="s">
        <v>371</v>
      </c>
      <c r="CI259" s="12" t="s">
        <v>371</v>
      </c>
      <c r="CJ259" s="12" t="s">
        <v>371</v>
      </c>
      <c r="CK259" s="12" t="s">
        <v>371</v>
      </c>
      <c r="CL259" s="12" t="s">
        <v>371</v>
      </c>
      <c r="CM259" s="12" t="s">
        <v>371</v>
      </c>
      <c r="CN259" s="12" t="s">
        <v>371</v>
      </c>
      <c r="CO259" s="12" t="s">
        <v>280</v>
      </c>
      <c r="CP259" s="12" t="s">
        <v>280</v>
      </c>
      <c r="CQ259" s="12" t="s">
        <v>280</v>
      </c>
      <c r="CR259" s="12" t="s">
        <v>280</v>
      </c>
      <c r="CS259" s="12" t="s">
        <v>280</v>
      </c>
      <c r="CT259" s="12" t="s">
        <v>280</v>
      </c>
      <c r="CU259" s="12" t="s">
        <v>280</v>
      </c>
      <c r="CV259" s="12" t="s">
        <v>280</v>
      </c>
      <c r="CW259" s="12" t="s">
        <v>280</v>
      </c>
      <c r="CX259" s="12" t="s">
        <v>280</v>
      </c>
    </row>
    <row r="260" spans="1:102" hidden="1" x14ac:dyDescent="0.3">
      <c r="A260" s="12" t="s">
        <v>12</v>
      </c>
      <c r="B260" s="12" t="s">
        <v>3991</v>
      </c>
      <c r="C260" s="12" t="s">
        <v>3992</v>
      </c>
      <c r="D260" s="12" t="s">
        <v>3993</v>
      </c>
      <c r="E260" s="12" t="s">
        <v>277</v>
      </c>
      <c r="F260" s="12" t="s">
        <v>277</v>
      </c>
      <c r="G260" s="12" t="s">
        <v>277</v>
      </c>
      <c r="H260" s="12" t="s">
        <v>277</v>
      </c>
      <c r="I260" s="12" t="s">
        <v>277</v>
      </c>
      <c r="J260" s="12" t="s">
        <v>277</v>
      </c>
      <c r="K260" s="12" t="s">
        <v>277</v>
      </c>
      <c r="L260" s="12" t="s">
        <v>277</v>
      </c>
      <c r="M260" s="12" t="s">
        <v>277</v>
      </c>
      <c r="N260" s="12" t="s">
        <v>277</v>
      </c>
      <c r="O260" s="12" t="s">
        <v>277</v>
      </c>
      <c r="P260" s="12" t="s">
        <v>277</v>
      </c>
      <c r="Q260" s="12" t="s">
        <v>277</v>
      </c>
      <c r="R260" s="12" t="s">
        <v>277</v>
      </c>
      <c r="S260" s="12" t="s">
        <v>277</v>
      </c>
      <c r="T260" s="12" t="s">
        <v>277</v>
      </c>
      <c r="U260" s="12" t="s">
        <v>277</v>
      </c>
      <c r="V260" s="12" t="s">
        <v>277</v>
      </c>
      <c r="W260" s="12" t="s">
        <v>277</v>
      </c>
      <c r="X260" s="12" t="s">
        <v>277</v>
      </c>
      <c r="Y260" s="12" t="s">
        <v>277</v>
      </c>
      <c r="Z260" s="12" t="s">
        <v>277</v>
      </c>
      <c r="AA260" s="12" t="s">
        <v>277</v>
      </c>
      <c r="AB260" s="12" t="s">
        <v>277</v>
      </c>
      <c r="AC260" s="12" t="s">
        <v>277</v>
      </c>
      <c r="AD260" s="12" t="s">
        <v>277</v>
      </c>
      <c r="AE260" s="12" t="s">
        <v>277</v>
      </c>
      <c r="AF260" s="12" t="s">
        <v>277</v>
      </c>
      <c r="AG260" s="12" t="s">
        <v>277</v>
      </c>
      <c r="AH260" s="12" t="s">
        <v>277</v>
      </c>
      <c r="AI260" s="12" t="s">
        <v>277</v>
      </c>
      <c r="AJ260" s="12" t="s">
        <v>277</v>
      </c>
      <c r="AK260" s="12" t="s">
        <v>277</v>
      </c>
      <c r="AL260" s="12" t="s">
        <v>277</v>
      </c>
      <c r="AM260" s="12" t="s">
        <v>277</v>
      </c>
      <c r="AN260" s="12" t="s">
        <v>277</v>
      </c>
      <c r="AO260" s="12" t="s">
        <v>277</v>
      </c>
      <c r="AP260" s="12" t="s">
        <v>277</v>
      </c>
      <c r="AQ260" s="12" t="s">
        <v>277</v>
      </c>
      <c r="AR260" s="12" t="s">
        <v>277</v>
      </c>
      <c r="AS260" s="12" t="s">
        <v>277</v>
      </c>
      <c r="AT260" s="12" t="s">
        <v>277</v>
      </c>
      <c r="AU260" s="12" t="s">
        <v>277</v>
      </c>
      <c r="AV260" s="12" t="s">
        <v>277</v>
      </c>
      <c r="AW260" s="12" t="s">
        <v>277</v>
      </c>
      <c r="AX260" s="12" t="s">
        <v>277</v>
      </c>
      <c r="AY260" s="12" t="s">
        <v>277</v>
      </c>
      <c r="AZ260" s="12" t="s">
        <v>277</v>
      </c>
      <c r="BA260" s="12" t="s">
        <v>277</v>
      </c>
      <c r="BB260" s="12" t="s">
        <v>277</v>
      </c>
      <c r="BC260" s="12" t="s">
        <v>277</v>
      </c>
      <c r="BD260" s="12" t="s">
        <v>277</v>
      </c>
      <c r="BE260" s="12" t="s">
        <v>277</v>
      </c>
      <c r="BF260" s="12" t="s">
        <v>277</v>
      </c>
      <c r="BG260" s="12" t="s">
        <v>277</v>
      </c>
      <c r="BH260" s="12" t="s">
        <v>277</v>
      </c>
      <c r="BI260" s="12" t="s">
        <v>277</v>
      </c>
      <c r="BJ260" s="12" t="s">
        <v>277</v>
      </c>
      <c r="BK260" s="12" t="s">
        <v>277</v>
      </c>
      <c r="BL260" s="12" t="s">
        <v>277</v>
      </c>
      <c r="BM260" s="12" t="s">
        <v>277</v>
      </c>
      <c r="BN260" s="12" t="s">
        <v>277</v>
      </c>
      <c r="BO260" s="12" t="s">
        <v>277</v>
      </c>
      <c r="BP260" s="12" t="s">
        <v>277</v>
      </c>
      <c r="BQ260" s="12" t="s">
        <v>277</v>
      </c>
      <c r="BR260" s="12" t="s">
        <v>277</v>
      </c>
      <c r="BS260" s="12" t="s">
        <v>277</v>
      </c>
      <c r="BT260" s="12" t="s">
        <v>277</v>
      </c>
      <c r="BU260" s="12" t="s">
        <v>277</v>
      </c>
      <c r="BV260" s="12" t="s">
        <v>277</v>
      </c>
      <c r="BW260" s="12" t="s">
        <v>277</v>
      </c>
      <c r="BX260" s="12" t="s">
        <v>371</v>
      </c>
      <c r="BY260" s="12" t="s">
        <v>371</v>
      </c>
      <c r="BZ260" s="12" t="s">
        <v>279</v>
      </c>
      <c r="CA260" s="12" t="s">
        <v>279</v>
      </c>
      <c r="CB260" s="12" t="s">
        <v>280</v>
      </c>
      <c r="CC260" s="12" t="s">
        <v>454</v>
      </c>
      <c r="CD260" s="12" t="s">
        <v>454</v>
      </c>
      <c r="CE260" s="12" t="s">
        <v>454</v>
      </c>
      <c r="CF260" s="12" t="s">
        <v>460</v>
      </c>
      <c r="CG260" s="12" t="s">
        <v>324</v>
      </c>
      <c r="CH260" s="12" t="s">
        <v>567</v>
      </c>
      <c r="CI260" s="12" t="s">
        <v>283</v>
      </c>
      <c r="CJ260" s="12" t="s">
        <v>283</v>
      </c>
      <c r="CK260" s="12" t="s">
        <v>283</v>
      </c>
      <c r="CL260" s="12" t="s">
        <v>283</v>
      </c>
      <c r="CM260" s="12" t="s">
        <v>372</v>
      </c>
      <c r="CN260" s="12" t="s">
        <v>372</v>
      </c>
      <c r="CO260" s="12" t="s">
        <v>372</v>
      </c>
      <c r="CP260" s="12" t="s">
        <v>372</v>
      </c>
      <c r="CQ260" s="12" t="s">
        <v>507</v>
      </c>
      <c r="CR260" s="12" t="s">
        <v>325</v>
      </c>
      <c r="CS260" s="12" t="s">
        <v>326</v>
      </c>
      <c r="CT260" s="12" t="s">
        <v>326</v>
      </c>
      <c r="CU260" s="12" t="s">
        <v>326</v>
      </c>
      <c r="CV260" s="12" t="s">
        <v>466</v>
      </c>
      <c r="CW260" s="12" t="s">
        <v>670</v>
      </c>
      <c r="CX260" s="12" t="s">
        <v>670</v>
      </c>
    </row>
    <row r="261" spans="1:102" hidden="1" x14ac:dyDescent="0.3">
      <c r="A261" s="12" t="s">
        <v>3994</v>
      </c>
      <c r="B261" s="12" t="s">
        <v>3792</v>
      </c>
      <c r="C261" s="12" t="s">
        <v>3995</v>
      </c>
      <c r="D261" s="12" t="s">
        <v>3996</v>
      </c>
      <c r="E261" s="12" t="s">
        <v>277</v>
      </c>
      <c r="F261" s="12" t="s">
        <v>277</v>
      </c>
      <c r="G261" s="12" t="s">
        <v>277</v>
      </c>
      <c r="H261" s="12" t="s">
        <v>277</v>
      </c>
      <c r="I261" s="12" t="s">
        <v>277</v>
      </c>
      <c r="J261" s="12" t="s">
        <v>277</v>
      </c>
      <c r="K261" s="12" t="s">
        <v>277</v>
      </c>
      <c r="L261" s="12" t="s">
        <v>277</v>
      </c>
      <c r="M261" s="12" t="s">
        <v>277</v>
      </c>
      <c r="N261" s="12" t="s">
        <v>277</v>
      </c>
      <c r="O261" s="12" t="s">
        <v>277</v>
      </c>
      <c r="P261" s="12" t="s">
        <v>277</v>
      </c>
      <c r="Q261" s="12" t="s">
        <v>277</v>
      </c>
      <c r="R261" s="12" t="s">
        <v>277</v>
      </c>
      <c r="S261" s="12" t="s">
        <v>277</v>
      </c>
      <c r="T261" s="12" t="s">
        <v>277</v>
      </c>
      <c r="U261" s="12" t="s">
        <v>277</v>
      </c>
      <c r="V261" s="12" t="s">
        <v>277</v>
      </c>
      <c r="W261" s="12" t="s">
        <v>277</v>
      </c>
      <c r="X261" s="12" t="s">
        <v>277</v>
      </c>
      <c r="Y261" s="12" t="s">
        <v>277</v>
      </c>
      <c r="Z261" s="12" t="s">
        <v>277</v>
      </c>
      <c r="AA261" s="12" t="s">
        <v>277</v>
      </c>
      <c r="AB261" s="12" t="s">
        <v>277</v>
      </c>
      <c r="AC261" s="12" t="s">
        <v>277</v>
      </c>
      <c r="AD261" s="12" t="s">
        <v>277</v>
      </c>
      <c r="AE261" s="12" t="s">
        <v>277</v>
      </c>
      <c r="AF261" s="12" t="s">
        <v>277</v>
      </c>
      <c r="AG261" s="12" t="s">
        <v>277</v>
      </c>
      <c r="AH261" s="12" t="s">
        <v>277</v>
      </c>
      <c r="AI261" s="12" t="s">
        <v>277</v>
      </c>
      <c r="AJ261" s="12" t="s">
        <v>277</v>
      </c>
      <c r="AK261" s="12" t="s">
        <v>277</v>
      </c>
      <c r="AL261" s="12" t="s">
        <v>277</v>
      </c>
      <c r="AM261" s="12" t="s">
        <v>277</v>
      </c>
      <c r="AN261" s="12" t="s">
        <v>277</v>
      </c>
      <c r="AO261" s="12" t="s">
        <v>277</v>
      </c>
      <c r="AP261" s="12" t="s">
        <v>277</v>
      </c>
      <c r="AQ261" s="12" t="s">
        <v>277</v>
      </c>
      <c r="AR261" s="12" t="s">
        <v>277</v>
      </c>
      <c r="AS261" s="12" t="s">
        <v>277</v>
      </c>
      <c r="AT261" s="12" t="s">
        <v>277</v>
      </c>
      <c r="AU261" s="12" t="s">
        <v>277</v>
      </c>
      <c r="AV261" s="12" t="s">
        <v>277</v>
      </c>
      <c r="AW261" s="12" t="s">
        <v>277</v>
      </c>
      <c r="AX261" s="12" t="s">
        <v>277</v>
      </c>
      <c r="AY261" s="12" t="s">
        <v>277</v>
      </c>
      <c r="AZ261" s="12" t="s">
        <v>277</v>
      </c>
      <c r="BA261" s="12" t="s">
        <v>277</v>
      </c>
      <c r="BB261" s="12" t="s">
        <v>277</v>
      </c>
      <c r="BC261" s="12" t="s">
        <v>277</v>
      </c>
      <c r="BD261" s="12" t="s">
        <v>277</v>
      </c>
      <c r="BE261" s="12" t="s">
        <v>277</v>
      </c>
      <c r="BF261" s="12" t="s">
        <v>277</v>
      </c>
      <c r="BG261" s="12" t="s">
        <v>277</v>
      </c>
      <c r="BH261" s="12" t="s">
        <v>277</v>
      </c>
      <c r="BI261" s="12" t="s">
        <v>277</v>
      </c>
      <c r="BJ261" s="12" t="s">
        <v>277</v>
      </c>
      <c r="BK261" s="12" t="s">
        <v>277</v>
      </c>
      <c r="BL261" s="12" t="s">
        <v>277</v>
      </c>
      <c r="BM261" s="12" t="s">
        <v>277</v>
      </c>
      <c r="BN261" s="12" t="s">
        <v>277</v>
      </c>
      <c r="BO261" s="12" t="s">
        <v>277</v>
      </c>
      <c r="BP261" s="12" t="s">
        <v>277</v>
      </c>
      <c r="BQ261" s="12" t="s">
        <v>277</v>
      </c>
      <c r="BR261" s="12" t="s">
        <v>277</v>
      </c>
      <c r="BS261" s="12" t="s">
        <v>277</v>
      </c>
      <c r="BT261" s="12" t="s">
        <v>277</v>
      </c>
      <c r="BU261" s="12" t="s">
        <v>277</v>
      </c>
      <c r="BV261" s="12" t="s">
        <v>277</v>
      </c>
      <c r="BW261" s="12" t="s">
        <v>277</v>
      </c>
      <c r="BX261" s="12" t="s">
        <v>277</v>
      </c>
      <c r="BY261" s="12" t="s">
        <v>277</v>
      </c>
      <c r="BZ261" s="12" t="s">
        <v>278</v>
      </c>
      <c r="CA261" s="12" t="s">
        <v>322</v>
      </c>
      <c r="CB261" s="12" t="s">
        <v>322</v>
      </c>
      <c r="CC261" s="12" t="s">
        <v>322</v>
      </c>
      <c r="CD261" s="12" t="s">
        <v>280</v>
      </c>
      <c r="CE261" s="12" t="s">
        <v>280</v>
      </c>
      <c r="CF261" s="12" t="s">
        <v>280</v>
      </c>
      <c r="CG261" s="12" t="s">
        <v>280</v>
      </c>
      <c r="CH261" s="12" t="s">
        <v>280</v>
      </c>
      <c r="CI261" s="12" t="s">
        <v>280</v>
      </c>
      <c r="CJ261" s="12" t="s">
        <v>282</v>
      </c>
      <c r="CK261" s="12" t="s">
        <v>282</v>
      </c>
      <c r="CL261" s="12" t="s">
        <v>282</v>
      </c>
      <c r="CM261" s="12" t="s">
        <v>282</v>
      </c>
      <c r="CN261" s="12" t="s">
        <v>282</v>
      </c>
      <c r="CO261" s="12" t="s">
        <v>282</v>
      </c>
      <c r="CP261" s="12" t="s">
        <v>282</v>
      </c>
      <c r="CQ261" s="12" t="s">
        <v>282</v>
      </c>
      <c r="CR261" s="12" t="s">
        <v>282</v>
      </c>
      <c r="CS261" s="12" t="s">
        <v>324</v>
      </c>
      <c r="CT261" s="12" t="s">
        <v>567</v>
      </c>
      <c r="CU261" s="12" t="s">
        <v>567</v>
      </c>
      <c r="CV261" s="12" t="s">
        <v>567</v>
      </c>
      <c r="CW261" s="12" t="s">
        <v>567</v>
      </c>
      <c r="CX261" s="12" t="s">
        <v>567</v>
      </c>
    </row>
    <row r="262" spans="1:102" hidden="1" x14ac:dyDescent="0.3">
      <c r="A262" s="12" t="s">
        <v>3997</v>
      </c>
      <c r="B262" s="12" t="s">
        <v>2181</v>
      </c>
      <c r="C262" s="12" t="s">
        <v>3998</v>
      </c>
      <c r="D262" s="12" t="s">
        <v>3999</v>
      </c>
      <c r="E262" s="12" t="s">
        <v>277</v>
      </c>
      <c r="F262" s="12" t="s">
        <v>277</v>
      </c>
      <c r="G262" s="12" t="s">
        <v>277</v>
      </c>
      <c r="H262" s="12" t="s">
        <v>277</v>
      </c>
      <c r="I262" s="12" t="s">
        <v>277</v>
      </c>
      <c r="J262" s="12" t="s">
        <v>277</v>
      </c>
      <c r="K262" s="12" t="s">
        <v>277</v>
      </c>
      <c r="L262" s="12" t="s">
        <v>277</v>
      </c>
      <c r="M262" s="12" t="s">
        <v>277</v>
      </c>
      <c r="N262" s="12" t="s">
        <v>277</v>
      </c>
      <c r="O262" s="12" t="s">
        <v>277</v>
      </c>
      <c r="P262" s="12" t="s">
        <v>277</v>
      </c>
      <c r="Q262" s="12" t="s">
        <v>277</v>
      </c>
      <c r="R262" s="12" t="s">
        <v>277</v>
      </c>
      <c r="S262" s="12" t="s">
        <v>277</v>
      </c>
      <c r="T262" s="12" t="s">
        <v>277</v>
      </c>
      <c r="U262" s="12" t="s">
        <v>277</v>
      </c>
      <c r="V262" s="12" t="s">
        <v>277</v>
      </c>
      <c r="W262" s="12" t="s">
        <v>277</v>
      </c>
      <c r="X262" s="12" t="s">
        <v>277</v>
      </c>
      <c r="Y262" s="12" t="s">
        <v>277</v>
      </c>
      <c r="Z262" s="12" t="s">
        <v>277</v>
      </c>
      <c r="AA262" s="12" t="s">
        <v>277</v>
      </c>
      <c r="AB262" s="12" t="s">
        <v>277</v>
      </c>
      <c r="AC262" s="12" t="s">
        <v>277</v>
      </c>
      <c r="AD262" s="12" t="s">
        <v>277</v>
      </c>
      <c r="AE262" s="12" t="s">
        <v>277</v>
      </c>
      <c r="AF262" s="12" t="s">
        <v>277</v>
      </c>
      <c r="AG262" s="12" t="s">
        <v>277</v>
      </c>
      <c r="AH262" s="12" t="s">
        <v>277</v>
      </c>
      <c r="AI262" s="12" t="s">
        <v>277</v>
      </c>
      <c r="AJ262" s="12" t="s">
        <v>277</v>
      </c>
      <c r="AK262" s="12" t="s">
        <v>277</v>
      </c>
      <c r="AL262" s="12" t="s">
        <v>277</v>
      </c>
      <c r="AM262" s="12" t="s">
        <v>277</v>
      </c>
      <c r="AN262" s="12" t="s">
        <v>277</v>
      </c>
      <c r="AO262" s="12" t="s">
        <v>277</v>
      </c>
      <c r="AP262" s="12" t="s">
        <v>277</v>
      </c>
      <c r="AQ262" s="12" t="s">
        <v>277</v>
      </c>
      <c r="AR262" s="12" t="s">
        <v>277</v>
      </c>
      <c r="AS262" s="12" t="s">
        <v>277</v>
      </c>
      <c r="AT262" s="12" t="s">
        <v>277</v>
      </c>
      <c r="AU262" s="12" t="s">
        <v>277</v>
      </c>
      <c r="AV262" s="12" t="s">
        <v>277</v>
      </c>
      <c r="AW262" s="12" t="s">
        <v>277</v>
      </c>
      <c r="AX262" s="12" t="s">
        <v>277</v>
      </c>
      <c r="AY262" s="12" t="s">
        <v>277</v>
      </c>
      <c r="AZ262" s="12" t="s">
        <v>277</v>
      </c>
      <c r="BA262" s="12" t="s">
        <v>277</v>
      </c>
      <c r="BB262" s="12" t="s">
        <v>277</v>
      </c>
      <c r="BC262" s="12" t="s">
        <v>277</v>
      </c>
      <c r="BD262" s="12" t="s">
        <v>277</v>
      </c>
      <c r="BE262" s="12" t="s">
        <v>277</v>
      </c>
      <c r="BF262" s="12" t="s">
        <v>277</v>
      </c>
      <c r="BG262" s="12" t="s">
        <v>277</v>
      </c>
      <c r="BH262" s="12" t="s">
        <v>277</v>
      </c>
      <c r="BI262" s="12" t="s">
        <v>277</v>
      </c>
      <c r="BJ262" s="12" t="s">
        <v>277</v>
      </c>
      <c r="BK262" s="12" t="s">
        <v>277</v>
      </c>
      <c r="BL262" s="12" t="s">
        <v>277</v>
      </c>
      <c r="BM262" s="12" t="s">
        <v>277</v>
      </c>
      <c r="BN262" s="12" t="s">
        <v>277</v>
      </c>
      <c r="BO262" s="12" t="s">
        <v>277</v>
      </c>
      <c r="BP262" s="12" t="s">
        <v>277</v>
      </c>
      <c r="BQ262" s="12" t="s">
        <v>277</v>
      </c>
      <c r="BR262" s="12" t="s">
        <v>277</v>
      </c>
      <c r="BS262" s="12" t="s">
        <v>277</v>
      </c>
      <c r="BT262" s="12" t="s">
        <v>277</v>
      </c>
      <c r="BU262" s="12" t="s">
        <v>277</v>
      </c>
      <c r="BV262" s="12" t="s">
        <v>277</v>
      </c>
      <c r="BW262" s="12" t="s">
        <v>277</v>
      </c>
      <c r="BX262" s="12" t="s">
        <v>277</v>
      </c>
      <c r="BY262" s="12" t="s">
        <v>277</v>
      </c>
      <c r="BZ262" s="12" t="s">
        <v>277</v>
      </c>
      <c r="CA262" s="12" t="s">
        <v>278</v>
      </c>
      <c r="CB262" s="12" t="s">
        <v>278</v>
      </c>
      <c r="CC262" s="12" t="s">
        <v>278</v>
      </c>
      <c r="CD262" s="12" t="s">
        <v>278</v>
      </c>
      <c r="CE262" s="12" t="s">
        <v>278</v>
      </c>
      <c r="CF262" s="12" t="s">
        <v>278</v>
      </c>
      <c r="CG262" s="12" t="s">
        <v>278</v>
      </c>
      <c r="CH262" s="12" t="s">
        <v>278</v>
      </c>
      <c r="CI262" s="12" t="s">
        <v>278</v>
      </c>
      <c r="CJ262" s="12" t="s">
        <v>278</v>
      </c>
      <c r="CK262" s="12" t="s">
        <v>278</v>
      </c>
      <c r="CL262" s="12" t="s">
        <v>278</v>
      </c>
      <c r="CM262" s="12" t="s">
        <v>278</v>
      </c>
      <c r="CN262" s="12" t="s">
        <v>278</v>
      </c>
      <c r="CO262" s="12" t="s">
        <v>278</v>
      </c>
      <c r="CP262" s="12" t="s">
        <v>278</v>
      </c>
      <c r="CQ262" s="12" t="s">
        <v>278</v>
      </c>
      <c r="CR262" s="12" t="s">
        <v>278</v>
      </c>
      <c r="CS262" s="12" t="s">
        <v>278</v>
      </c>
      <c r="CT262" s="12" t="s">
        <v>278</v>
      </c>
      <c r="CU262" s="12" t="s">
        <v>278</v>
      </c>
      <c r="CV262" s="12" t="s">
        <v>278</v>
      </c>
      <c r="CW262" s="12" t="s">
        <v>278</v>
      </c>
      <c r="CX262" s="12" t="s">
        <v>278</v>
      </c>
    </row>
    <row r="263" spans="1:102" hidden="1" x14ac:dyDescent="0.3">
      <c r="A263" s="12" t="s">
        <v>12</v>
      </c>
      <c r="B263" s="12" t="s">
        <v>4000</v>
      </c>
      <c r="C263" s="12" t="s">
        <v>4001</v>
      </c>
      <c r="D263" s="12" t="s">
        <v>4002</v>
      </c>
      <c r="E263" s="12" t="s">
        <v>277</v>
      </c>
      <c r="F263" s="12" t="s">
        <v>277</v>
      </c>
      <c r="G263" s="12" t="s">
        <v>277</v>
      </c>
      <c r="H263" s="12" t="s">
        <v>277</v>
      </c>
      <c r="I263" s="12" t="s">
        <v>277</v>
      </c>
      <c r="J263" s="12" t="s">
        <v>277</v>
      </c>
      <c r="K263" s="12" t="s">
        <v>277</v>
      </c>
      <c r="L263" s="12" t="s">
        <v>277</v>
      </c>
      <c r="M263" s="12" t="s">
        <v>277</v>
      </c>
      <c r="N263" s="12" t="s">
        <v>277</v>
      </c>
      <c r="O263" s="12" t="s">
        <v>277</v>
      </c>
      <c r="P263" s="12" t="s">
        <v>277</v>
      </c>
      <c r="Q263" s="12" t="s">
        <v>277</v>
      </c>
      <c r="R263" s="12" t="s">
        <v>277</v>
      </c>
      <c r="S263" s="12" t="s">
        <v>277</v>
      </c>
      <c r="T263" s="12" t="s">
        <v>277</v>
      </c>
      <c r="U263" s="12" t="s">
        <v>277</v>
      </c>
      <c r="V263" s="12" t="s">
        <v>277</v>
      </c>
      <c r="W263" s="12" t="s">
        <v>277</v>
      </c>
      <c r="X263" s="12" t="s">
        <v>277</v>
      </c>
      <c r="Y263" s="12" t="s">
        <v>277</v>
      </c>
      <c r="Z263" s="12" t="s">
        <v>277</v>
      </c>
      <c r="AA263" s="12" t="s">
        <v>277</v>
      </c>
      <c r="AB263" s="12" t="s">
        <v>277</v>
      </c>
      <c r="AC263" s="12" t="s">
        <v>277</v>
      </c>
      <c r="AD263" s="12" t="s">
        <v>277</v>
      </c>
      <c r="AE263" s="12" t="s">
        <v>277</v>
      </c>
      <c r="AF263" s="12" t="s">
        <v>277</v>
      </c>
      <c r="AG263" s="12" t="s">
        <v>277</v>
      </c>
      <c r="AH263" s="12" t="s">
        <v>277</v>
      </c>
      <c r="AI263" s="12" t="s">
        <v>277</v>
      </c>
      <c r="AJ263" s="12" t="s">
        <v>277</v>
      </c>
      <c r="AK263" s="12" t="s">
        <v>277</v>
      </c>
      <c r="AL263" s="12" t="s">
        <v>277</v>
      </c>
      <c r="AM263" s="12" t="s">
        <v>277</v>
      </c>
      <c r="AN263" s="12" t="s">
        <v>277</v>
      </c>
      <c r="AO263" s="12" t="s">
        <v>277</v>
      </c>
      <c r="AP263" s="12" t="s">
        <v>277</v>
      </c>
      <c r="AQ263" s="12" t="s">
        <v>277</v>
      </c>
      <c r="AR263" s="12" t="s">
        <v>277</v>
      </c>
      <c r="AS263" s="12" t="s">
        <v>277</v>
      </c>
      <c r="AT263" s="12" t="s">
        <v>277</v>
      </c>
      <c r="AU263" s="12" t="s">
        <v>277</v>
      </c>
      <c r="AV263" s="12" t="s">
        <v>277</v>
      </c>
      <c r="AW263" s="12" t="s">
        <v>277</v>
      </c>
      <c r="AX263" s="12" t="s">
        <v>277</v>
      </c>
      <c r="AY263" s="12" t="s">
        <v>277</v>
      </c>
      <c r="AZ263" s="12" t="s">
        <v>277</v>
      </c>
      <c r="BA263" s="12" t="s">
        <v>277</v>
      </c>
      <c r="BB263" s="12" t="s">
        <v>277</v>
      </c>
      <c r="BC263" s="12" t="s">
        <v>277</v>
      </c>
      <c r="BD263" s="12" t="s">
        <v>277</v>
      </c>
      <c r="BE263" s="12" t="s">
        <v>277</v>
      </c>
      <c r="BF263" s="12" t="s">
        <v>277</v>
      </c>
      <c r="BG263" s="12" t="s">
        <v>277</v>
      </c>
      <c r="BH263" s="12" t="s">
        <v>277</v>
      </c>
      <c r="BI263" s="12" t="s">
        <v>277</v>
      </c>
      <c r="BJ263" s="12" t="s">
        <v>277</v>
      </c>
      <c r="BK263" s="12" t="s">
        <v>277</v>
      </c>
      <c r="BL263" s="12" t="s">
        <v>277</v>
      </c>
      <c r="BM263" s="12" t="s">
        <v>277</v>
      </c>
      <c r="BN263" s="12" t="s">
        <v>277</v>
      </c>
      <c r="BO263" s="12" t="s">
        <v>277</v>
      </c>
      <c r="BP263" s="12" t="s">
        <v>277</v>
      </c>
      <c r="BQ263" s="12" t="s">
        <v>277</v>
      </c>
      <c r="BR263" s="12" t="s">
        <v>277</v>
      </c>
      <c r="BS263" s="12" t="s">
        <v>277</v>
      </c>
      <c r="BT263" s="12" t="s">
        <v>277</v>
      </c>
      <c r="BU263" s="12" t="s">
        <v>277</v>
      </c>
      <c r="BV263" s="12" t="s">
        <v>277</v>
      </c>
      <c r="BW263" s="12" t="s">
        <v>277</v>
      </c>
      <c r="BX263" s="12" t="s">
        <v>277</v>
      </c>
      <c r="BY263" s="12" t="s">
        <v>277</v>
      </c>
      <c r="BZ263" s="12" t="s">
        <v>277</v>
      </c>
      <c r="CA263" s="12" t="s">
        <v>278</v>
      </c>
      <c r="CB263" s="12" t="s">
        <v>278</v>
      </c>
      <c r="CC263" s="12" t="s">
        <v>322</v>
      </c>
      <c r="CD263" s="12" t="s">
        <v>322</v>
      </c>
      <c r="CE263" s="12" t="s">
        <v>371</v>
      </c>
      <c r="CF263" s="12" t="s">
        <v>279</v>
      </c>
      <c r="CG263" s="12" t="s">
        <v>279</v>
      </c>
      <c r="CH263" s="12" t="s">
        <v>279</v>
      </c>
      <c r="CI263" s="12" t="s">
        <v>279</v>
      </c>
      <c r="CJ263" s="12" t="s">
        <v>279</v>
      </c>
      <c r="CK263" s="12" t="s">
        <v>279</v>
      </c>
      <c r="CL263" s="12" t="s">
        <v>279</v>
      </c>
      <c r="CM263" s="12" t="s">
        <v>279</v>
      </c>
      <c r="CN263" s="12" t="s">
        <v>279</v>
      </c>
      <c r="CO263" s="12" t="s">
        <v>279</v>
      </c>
      <c r="CP263" s="12" t="s">
        <v>279</v>
      </c>
      <c r="CQ263" s="12" t="s">
        <v>279</v>
      </c>
      <c r="CR263" s="12" t="s">
        <v>279</v>
      </c>
      <c r="CS263" s="12" t="s">
        <v>280</v>
      </c>
      <c r="CT263" s="12" t="s">
        <v>280</v>
      </c>
      <c r="CU263" s="12" t="s">
        <v>280</v>
      </c>
      <c r="CV263" s="12" t="s">
        <v>550</v>
      </c>
      <c r="CW263" s="12" t="s">
        <v>550</v>
      </c>
      <c r="CX263" s="12" t="s">
        <v>466</v>
      </c>
    </row>
    <row r="264" spans="1:102" hidden="1" x14ac:dyDescent="0.3">
      <c r="A264" s="12" t="s">
        <v>12</v>
      </c>
      <c r="B264" s="12" t="s">
        <v>4003</v>
      </c>
      <c r="C264" s="12" t="s">
        <v>4004</v>
      </c>
      <c r="D264" s="12" t="s">
        <v>4005</v>
      </c>
      <c r="E264" s="12" t="s">
        <v>277</v>
      </c>
      <c r="F264" s="12" t="s">
        <v>277</v>
      </c>
      <c r="G264" s="12" t="s">
        <v>277</v>
      </c>
      <c r="H264" s="12" t="s">
        <v>277</v>
      </c>
      <c r="I264" s="12" t="s">
        <v>277</v>
      </c>
      <c r="J264" s="12" t="s">
        <v>277</v>
      </c>
      <c r="K264" s="12" t="s">
        <v>277</v>
      </c>
      <c r="L264" s="12" t="s">
        <v>277</v>
      </c>
      <c r="M264" s="12" t="s">
        <v>277</v>
      </c>
      <c r="N264" s="12" t="s">
        <v>277</v>
      </c>
      <c r="O264" s="12" t="s">
        <v>277</v>
      </c>
      <c r="P264" s="12" t="s">
        <v>277</v>
      </c>
      <c r="Q264" s="12" t="s">
        <v>277</v>
      </c>
      <c r="R264" s="12" t="s">
        <v>277</v>
      </c>
      <c r="S264" s="12" t="s">
        <v>277</v>
      </c>
      <c r="T264" s="12" t="s">
        <v>277</v>
      </c>
      <c r="U264" s="12" t="s">
        <v>277</v>
      </c>
      <c r="V264" s="12" t="s">
        <v>277</v>
      </c>
      <c r="W264" s="12" t="s">
        <v>277</v>
      </c>
      <c r="X264" s="12" t="s">
        <v>277</v>
      </c>
      <c r="Y264" s="12" t="s">
        <v>277</v>
      </c>
      <c r="Z264" s="12" t="s">
        <v>277</v>
      </c>
      <c r="AA264" s="12" t="s">
        <v>277</v>
      </c>
      <c r="AB264" s="12" t="s">
        <v>277</v>
      </c>
      <c r="AC264" s="12" t="s">
        <v>277</v>
      </c>
      <c r="AD264" s="12" t="s">
        <v>277</v>
      </c>
      <c r="AE264" s="12" t="s">
        <v>277</v>
      </c>
      <c r="AF264" s="12" t="s">
        <v>277</v>
      </c>
      <c r="AG264" s="12" t="s">
        <v>277</v>
      </c>
      <c r="AH264" s="12" t="s">
        <v>277</v>
      </c>
      <c r="AI264" s="12" t="s">
        <v>277</v>
      </c>
      <c r="AJ264" s="12" t="s">
        <v>277</v>
      </c>
      <c r="AK264" s="12" t="s">
        <v>277</v>
      </c>
      <c r="AL264" s="12" t="s">
        <v>277</v>
      </c>
      <c r="AM264" s="12" t="s">
        <v>277</v>
      </c>
      <c r="AN264" s="12" t="s">
        <v>277</v>
      </c>
      <c r="AO264" s="12" t="s">
        <v>277</v>
      </c>
      <c r="AP264" s="12" t="s">
        <v>277</v>
      </c>
      <c r="AQ264" s="12" t="s">
        <v>277</v>
      </c>
      <c r="AR264" s="12" t="s">
        <v>277</v>
      </c>
      <c r="AS264" s="12" t="s">
        <v>277</v>
      </c>
      <c r="AT264" s="12" t="s">
        <v>277</v>
      </c>
      <c r="AU264" s="12" t="s">
        <v>277</v>
      </c>
      <c r="AV264" s="12" t="s">
        <v>277</v>
      </c>
      <c r="AW264" s="12" t="s">
        <v>277</v>
      </c>
      <c r="AX264" s="12" t="s">
        <v>277</v>
      </c>
      <c r="AY264" s="12" t="s">
        <v>277</v>
      </c>
      <c r="AZ264" s="12" t="s">
        <v>277</v>
      </c>
      <c r="BA264" s="12" t="s">
        <v>277</v>
      </c>
      <c r="BB264" s="12" t="s">
        <v>277</v>
      </c>
      <c r="BC264" s="12" t="s">
        <v>277</v>
      </c>
      <c r="BD264" s="12" t="s">
        <v>277</v>
      </c>
      <c r="BE264" s="12" t="s">
        <v>277</v>
      </c>
      <c r="BF264" s="12" t="s">
        <v>277</v>
      </c>
      <c r="BG264" s="12" t="s">
        <v>277</v>
      </c>
      <c r="BH264" s="12" t="s">
        <v>277</v>
      </c>
      <c r="BI264" s="12" t="s">
        <v>277</v>
      </c>
      <c r="BJ264" s="12" t="s">
        <v>277</v>
      </c>
      <c r="BK264" s="12" t="s">
        <v>277</v>
      </c>
      <c r="BL264" s="12" t="s">
        <v>277</v>
      </c>
      <c r="BM264" s="12" t="s">
        <v>277</v>
      </c>
      <c r="BN264" s="12" t="s">
        <v>277</v>
      </c>
      <c r="BO264" s="12" t="s">
        <v>277</v>
      </c>
      <c r="BP264" s="12" t="s">
        <v>277</v>
      </c>
      <c r="BQ264" s="12" t="s">
        <v>277</v>
      </c>
      <c r="BR264" s="12" t="s">
        <v>277</v>
      </c>
      <c r="BS264" s="12" t="s">
        <v>277</v>
      </c>
      <c r="BT264" s="12" t="s">
        <v>277</v>
      </c>
      <c r="BU264" s="12" t="s">
        <v>277</v>
      </c>
      <c r="BV264" s="12" t="s">
        <v>277</v>
      </c>
      <c r="BW264" s="12" t="s">
        <v>277</v>
      </c>
      <c r="BX264" s="12" t="s">
        <v>277</v>
      </c>
      <c r="BY264" s="12" t="s">
        <v>277</v>
      </c>
      <c r="BZ264" s="12" t="s">
        <v>277</v>
      </c>
      <c r="CA264" s="12" t="s">
        <v>279</v>
      </c>
      <c r="CB264" s="12" t="s">
        <v>279</v>
      </c>
      <c r="CC264" s="12" t="s">
        <v>279</v>
      </c>
      <c r="CD264" s="12" t="s">
        <v>279</v>
      </c>
      <c r="CE264" s="12" t="s">
        <v>279</v>
      </c>
      <c r="CF264" s="12" t="s">
        <v>279</v>
      </c>
      <c r="CG264" s="12" t="s">
        <v>279</v>
      </c>
      <c r="CH264" s="12" t="s">
        <v>550</v>
      </c>
      <c r="CI264" s="12" t="s">
        <v>550</v>
      </c>
      <c r="CJ264" s="12" t="s">
        <v>550</v>
      </c>
      <c r="CK264" s="12" t="s">
        <v>550</v>
      </c>
      <c r="CL264" s="12" t="s">
        <v>550</v>
      </c>
      <c r="CM264" s="12" t="s">
        <v>550</v>
      </c>
      <c r="CN264" s="12" t="s">
        <v>550</v>
      </c>
      <c r="CO264" s="12" t="s">
        <v>550</v>
      </c>
      <c r="CP264" s="12" t="s">
        <v>550</v>
      </c>
      <c r="CQ264" s="12" t="s">
        <v>550</v>
      </c>
      <c r="CR264" s="12" t="s">
        <v>550</v>
      </c>
      <c r="CS264" s="12" t="s">
        <v>550</v>
      </c>
      <c r="CT264" s="12" t="s">
        <v>550</v>
      </c>
      <c r="CU264" s="12" t="s">
        <v>550</v>
      </c>
      <c r="CV264" s="12" t="s">
        <v>550</v>
      </c>
      <c r="CW264" s="12" t="s">
        <v>550</v>
      </c>
      <c r="CX264" s="12" t="s">
        <v>550</v>
      </c>
    </row>
    <row r="265" spans="1:102" hidden="1" x14ac:dyDescent="0.3">
      <c r="A265" s="12" t="s">
        <v>12</v>
      </c>
      <c r="B265" s="12" t="s">
        <v>4006</v>
      </c>
      <c r="C265" s="12" t="s">
        <v>4007</v>
      </c>
      <c r="D265" s="12" t="s">
        <v>4008</v>
      </c>
      <c r="E265" s="12" t="s">
        <v>277</v>
      </c>
      <c r="F265" s="12" t="s">
        <v>277</v>
      </c>
      <c r="G265" s="12" t="s">
        <v>277</v>
      </c>
      <c r="H265" s="12" t="s">
        <v>277</v>
      </c>
      <c r="I265" s="12" t="s">
        <v>277</v>
      </c>
      <c r="J265" s="12" t="s">
        <v>277</v>
      </c>
      <c r="K265" s="12" t="s">
        <v>277</v>
      </c>
      <c r="L265" s="12" t="s">
        <v>277</v>
      </c>
      <c r="M265" s="12" t="s">
        <v>277</v>
      </c>
      <c r="N265" s="12" t="s">
        <v>277</v>
      </c>
      <c r="O265" s="12" t="s">
        <v>277</v>
      </c>
      <c r="P265" s="12" t="s">
        <v>277</v>
      </c>
      <c r="Q265" s="12" t="s">
        <v>277</v>
      </c>
      <c r="R265" s="12" t="s">
        <v>277</v>
      </c>
      <c r="S265" s="12" t="s">
        <v>277</v>
      </c>
      <c r="T265" s="12" t="s">
        <v>277</v>
      </c>
      <c r="U265" s="12" t="s">
        <v>277</v>
      </c>
      <c r="V265" s="12" t="s">
        <v>277</v>
      </c>
      <c r="W265" s="12" t="s">
        <v>277</v>
      </c>
      <c r="X265" s="12" t="s">
        <v>277</v>
      </c>
      <c r="Y265" s="12" t="s">
        <v>277</v>
      </c>
      <c r="Z265" s="12" t="s">
        <v>277</v>
      </c>
      <c r="AA265" s="12" t="s">
        <v>277</v>
      </c>
      <c r="AB265" s="12" t="s">
        <v>277</v>
      </c>
      <c r="AC265" s="12" t="s">
        <v>277</v>
      </c>
      <c r="AD265" s="12" t="s">
        <v>277</v>
      </c>
      <c r="AE265" s="12" t="s">
        <v>277</v>
      </c>
      <c r="AF265" s="12" t="s">
        <v>277</v>
      </c>
      <c r="AG265" s="12" t="s">
        <v>277</v>
      </c>
      <c r="AH265" s="12" t="s">
        <v>277</v>
      </c>
      <c r="AI265" s="12" t="s">
        <v>277</v>
      </c>
      <c r="AJ265" s="12" t="s">
        <v>277</v>
      </c>
      <c r="AK265" s="12" t="s">
        <v>277</v>
      </c>
      <c r="AL265" s="12" t="s">
        <v>277</v>
      </c>
      <c r="AM265" s="12" t="s">
        <v>277</v>
      </c>
      <c r="AN265" s="12" t="s">
        <v>277</v>
      </c>
      <c r="AO265" s="12" t="s">
        <v>277</v>
      </c>
      <c r="AP265" s="12" t="s">
        <v>277</v>
      </c>
      <c r="AQ265" s="12" t="s">
        <v>277</v>
      </c>
      <c r="AR265" s="12" t="s">
        <v>277</v>
      </c>
      <c r="AS265" s="12" t="s">
        <v>277</v>
      </c>
      <c r="AT265" s="12" t="s">
        <v>277</v>
      </c>
      <c r="AU265" s="12" t="s">
        <v>277</v>
      </c>
      <c r="AV265" s="12" t="s">
        <v>277</v>
      </c>
      <c r="AW265" s="12" t="s">
        <v>277</v>
      </c>
      <c r="AX265" s="12" t="s">
        <v>277</v>
      </c>
      <c r="AY265" s="12" t="s">
        <v>277</v>
      </c>
      <c r="AZ265" s="12" t="s">
        <v>277</v>
      </c>
      <c r="BA265" s="12" t="s">
        <v>277</v>
      </c>
      <c r="BB265" s="12" t="s">
        <v>277</v>
      </c>
      <c r="BC265" s="12" t="s">
        <v>277</v>
      </c>
      <c r="BD265" s="12" t="s">
        <v>277</v>
      </c>
      <c r="BE265" s="12" t="s">
        <v>277</v>
      </c>
      <c r="BF265" s="12" t="s">
        <v>277</v>
      </c>
      <c r="BG265" s="12" t="s">
        <v>277</v>
      </c>
      <c r="BH265" s="12" t="s">
        <v>277</v>
      </c>
      <c r="BI265" s="12" t="s">
        <v>277</v>
      </c>
      <c r="BJ265" s="12" t="s">
        <v>277</v>
      </c>
      <c r="BK265" s="12" t="s">
        <v>277</v>
      </c>
      <c r="BL265" s="12" t="s">
        <v>277</v>
      </c>
      <c r="BM265" s="12" t="s">
        <v>277</v>
      </c>
      <c r="BN265" s="12" t="s">
        <v>277</v>
      </c>
      <c r="BO265" s="12" t="s">
        <v>277</v>
      </c>
      <c r="BP265" s="12" t="s">
        <v>277</v>
      </c>
      <c r="BQ265" s="12" t="s">
        <v>277</v>
      </c>
      <c r="BR265" s="12" t="s">
        <v>277</v>
      </c>
      <c r="BS265" s="12" t="s">
        <v>277</v>
      </c>
      <c r="BT265" s="12" t="s">
        <v>277</v>
      </c>
      <c r="BU265" s="12" t="s">
        <v>277</v>
      </c>
      <c r="BV265" s="12" t="s">
        <v>277</v>
      </c>
      <c r="BW265" s="12" t="s">
        <v>277</v>
      </c>
      <c r="BX265" s="12" t="s">
        <v>277</v>
      </c>
      <c r="BY265" s="12" t="s">
        <v>277</v>
      </c>
      <c r="BZ265" s="12" t="s">
        <v>277</v>
      </c>
      <c r="CA265" s="12" t="s">
        <v>277</v>
      </c>
      <c r="CB265" s="12" t="s">
        <v>279</v>
      </c>
      <c r="CC265" s="12" t="s">
        <v>279</v>
      </c>
      <c r="CD265" s="12" t="s">
        <v>279</v>
      </c>
      <c r="CE265" s="12" t="s">
        <v>279</v>
      </c>
      <c r="CF265" s="12" t="s">
        <v>279</v>
      </c>
      <c r="CG265" s="12" t="s">
        <v>279</v>
      </c>
      <c r="CH265" s="12" t="s">
        <v>279</v>
      </c>
      <c r="CI265" s="12" t="s">
        <v>279</v>
      </c>
      <c r="CJ265" s="12" t="s">
        <v>279</v>
      </c>
      <c r="CK265" s="12" t="s">
        <v>279</v>
      </c>
      <c r="CL265" s="12" t="s">
        <v>279</v>
      </c>
      <c r="CM265" s="12" t="s">
        <v>279</v>
      </c>
      <c r="CN265" s="12" t="s">
        <v>279</v>
      </c>
      <c r="CO265" s="12" t="s">
        <v>279</v>
      </c>
      <c r="CP265" s="12" t="s">
        <v>279</v>
      </c>
      <c r="CQ265" s="12" t="s">
        <v>279</v>
      </c>
      <c r="CR265" s="12" t="s">
        <v>279</v>
      </c>
      <c r="CS265" s="12" t="s">
        <v>279</v>
      </c>
      <c r="CT265" s="12" t="s">
        <v>279</v>
      </c>
      <c r="CU265" s="12" t="s">
        <v>279</v>
      </c>
      <c r="CV265" s="12" t="s">
        <v>279</v>
      </c>
      <c r="CW265" s="12" t="s">
        <v>279</v>
      </c>
      <c r="CX265" s="12" t="s">
        <v>454</v>
      </c>
    </row>
    <row r="266" spans="1:102" hidden="1" x14ac:dyDescent="0.3">
      <c r="A266" s="12" t="s">
        <v>12</v>
      </c>
      <c r="B266" s="12" t="s">
        <v>4009</v>
      </c>
      <c r="C266" s="12" t="s">
        <v>4010</v>
      </c>
      <c r="D266" s="12" t="s">
        <v>4011</v>
      </c>
      <c r="E266" s="12" t="s">
        <v>277</v>
      </c>
      <c r="F266" s="12" t="s">
        <v>277</v>
      </c>
      <c r="G266" s="12" t="s">
        <v>277</v>
      </c>
      <c r="H266" s="12" t="s">
        <v>277</v>
      </c>
      <c r="I266" s="12" t="s">
        <v>277</v>
      </c>
      <c r="J266" s="12" t="s">
        <v>277</v>
      </c>
      <c r="K266" s="12" t="s">
        <v>277</v>
      </c>
      <c r="L266" s="12" t="s">
        <v>277</v>
      </c>
      <c r="M266" s="12" t="s">
        <v>277</v>
      </c>
      <c r="N266" s="12" t="s">
        <v>277</v>
      </c>
      <c r="O266" s="12" t="s">
        <v>277</v>
      </c>
      <c r="P266" s="12" t="s">
        <v>277</v>
      </c>
      <c r="Q266" s="12" t="s">
        <v>277</v>
      </c>
      <c r="R266" s="12" t="s">
        <v>277</v>
      </c>
      <c r="S266" s="12" t="s">
        <v>277</v>
      </c>
      <c r="T266" s="12" t="s">
        <v>277</v>
      </c>
      <c r="U266" s="12" t="s">
        <v>277</v>
      </c>
      <c r="V266" s="12" t="s">
        <v>277</v>
      </c>
      <c r="W266" s="12" t="s">
        <v>277</v>
      </c>
      <c r="X266" s="12" t="s">
        <v>277</v>
      </c>
      <c r="Y266" s="12" t="s">
        <v>277</v>
      </c>
      <c r="Z266" s="12" t="s">
        <v>277</v>
      </c>
      <c r="AA266" s="12" t="s">
        <v>277</v>
      </c>
      <c r="AB266" s="12" t="s">
        <v>277</v>
      </c>
      <c r="AC266" s="12" t="s">
        <v>277</v>
      </c>
      <c r="AD266" s="12" t="s">
        <v>277</v>
      </c>
      <c r="AE266" s="12" t="s">
        <v>277</v>
      </c>
      <c r="AF266" s="12" t="s">
        <v>277</v>
      </c>
      <c r="AG266" s="12" t="s">
        <v>277</v>
      </c>
      <c r="AH266" s="12" t="s">
        <v>277</v>
      </c>
      <c r="AI266" s="12" t="s">
        <v>277</v>
      </c>
      <c r="AJ266" s="12" t="s">
        <v>277</v>
      </c>
      <c r="AK266" s="12" t="s">
        <v>277</v>
      </c>
      <c r="AL266" s="12" t="s">
        <v>277</v>
      </c>
      <c r="AM266" s="12" t="s">
        <v>277</v>
      </c>
      <c r="AN266" s="12" t="s">
        <v>277</v>
      </c>
      <c r="AO266" s="12" t="s">
        <v>277</v>
      </c>
      <c r="AP266" s="12" t="s">
        <v>277</v>
      </c>
      <c r="AQ266" s="12" t="s">
        <v>277</v>
      </c>
      <c r="AR266" s="12" t="s">
        <v>277</v>
      </c>
      <c r="AS266" s="12" t="s">
        <v>277</v>
      </c>
      <c r="AT266" s="12" t="s">
        <v>277</v>
      </c>
      <c r="AU266" s="12" t="s">
        <v>277</v>
      </c>
      <c r="AV266" s="12" t="s">
        <v>277</v>
      </c>
      <c r="AW266" s="12" t="s">
        <v>277</v>
      </c>
      <c r="AX266" s="12" t="s">
        <v>277</v>
      </c>
      <c r="AY266" s="12" t="s">
        <v>277</v>
      </c>
      <c r="AZ266" s="12" t="s">
        <v>277</v>
      </c>
      <c r="BA266" s="12" t="s">
        <v>277</v>
      </c>
      <c r="BB266" s="12" t="s">
        <v>277</v>
      </c>
      <c r="BC266" s="12" t="s">
        <v>277</v>
      </c>
      <c r="BD266" s="12" t="s">
        <v>277</v>
      </c>
      <c r="BE266" s="12" t="s">
        <v>277</v>
      </c>
      <c r="BF266" s="12" t="s">
        <v>277</v>
      </c>
      <c r="BG266" s="12" t="s">
        <v>277</v>
      </c>
      <c r="BH266" s="12" t="s">
        <v>277</v>
      </c>
      <c r="BI266" s="12" t="s">
        <v>277</v>
      </c>
      <c r="BJ266" s="12" t="s">
        <v>277</v>
      </c>
      <c r="BK266" s="12" t="s">
        <v>277</v>
      </c>
      <c r="BL266" s="12" t="s">
        <v>277</v>
      </c>
      <c r="BM266" s="12" t="s">
        <v>277</v>
      </c>
      <c r="BN266" s="12" t="s">
        <v>277</v>
      </c>
      <c r="BO266" s="12" t="s">
        <v>277</v>
      </c>
      <c r="BP266" s="12" t="s">
        <v>277</v>
      </c>
      <c r="BQ266" s="12" t="s">
        <v>277</v>
      </c>
      <c r="BR266" s="12" t="s">
        <v>277</v>
      </c>
      <c r="BS266" s="12" t="s">
        <v>277</v>
      </c>
      <c r="BT266" s="12" t="s">
        <v>277</v>
      </c>
      <c r="BU266" s="12" t="s">
        <v>277</v>
      </c>
      <c r="BV266" s="12" t="s">
        <v>277</v>
      </c>
      <c r="BW266" s="12" t="s">
        <v>277</v>
      </c>
      <c r="BX266" s="12" t="s">
        <v>277</v>
      </c>
      <c r="BY266" s="12" t="s">
        <v>277</v>
      </c>
      <c r="BZ266" s="12" t="s">
        <v>277</v>
      </c>
      <c r="CA266" s="12" t="s">
        <v>277</v>
      </c>
      <c r="CB266" s="12" t="s">
        <v>277</v>
      </c>
      <c r="CC266" s="12" t="s">
        <v>277</v>
      </c>
      <c r="CD266" s="12" t="s">
        <v>277</v>
      </c>
      <c r="CE266" s="12" t="s">
        <v>277</v>
      </c>
      <c r="CF266" s="12" t="s">
        <v>278</v>
      </c>
      <c r="CG266" s="12" t="s">
        <v>278</v>
      </c>
      <c r="CH266" s="12" t="s">
        <v>278</v>
      </c>
      <c r="CI266" s="12" t="s">
        <v>278</v>
      </c>
      <c r="CJ266" s="12" t="s">
        <v>278</v>
      </c>
      <c r="CK266" s="12" t="s">
        <v>278</v>
      </c>
      <c r="CL266" s="12" t="s">
        <v>278</v>
      </c>
      <c r="CM266" s="12" t="s">
        <v>278</v>
      </c>
      <c r="CN266" s="12" t="s">
        <v>278</v>
      </c>
      <c r="CO266" s="12" t="s">
        <v>278</v>
      </c>
      <c r="CP266" s="12" t="s">
        <v>278</v>
      </c>
      <c r="CQ266" s="12" t="s">
        <v>278</v>
      </c>
      <c r="CR266" s="12" t="s">
        <v>278</v>
      </c>
      <c r="CS266" s="12" t="s">
        <v>278</v>
      </c>
      <c r="CT266" s="12" t="s">
        <v>278</v>
      </c>
      <c r="CU266" s="12" t="s">
        <v>278</v>
      </c>
      <c r="CV266" s="12" t="s">
        <v>278</v>
      </c>
      <c r="CW266" s="12" t="s">
        <v>278</v>
      </c>
      <c r="CX266" s="12" t="s">
        <v>278</v>
      </c>
    </row>
    <row r="267" spans="1:102" x14ac:dyDescent="0.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3BE1-A73A-4B3E-A39D-9FF5F0128F57}">
  <dimension ref="B1:NK186"/>
  <sheetViews>
    <sheetView topLeftCell="V29" zoomScale="70" zoomScaleNormal="70" workbookViewId="0">
      <selection activeCell="E64" sqref="E64"/>
    </sheetView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1.88671875" style="2" customWidth="1"/>
    <col min="5" max="5" width="15.5546875" style="2" bestFit="1" customWidth="1"/>
    <col min="6" max="6" width="14.44140625" style="2" bestFit="1" customWidth="1"/>
    <col min="7" max="7" width="10.5546875" style="102" customWidth="1"/>
    <col min="8" max="8" width="16.21875" style="2" bestFit="1" customWidth="1"/>
    <col min="9" max="9" width="9.33203125" style="2" customWidth="1"/>
    <col min="10" max="10" width="9.33203125" style="102" customWidth="1"/>
    <col min="11" max="11" width="16.21875" style="2" bestFit="1" customWidth="1"/>
    <col min="12" max="12" width="16.44140625" style="2" bestFit="1" customWidth="1"/>
    <col min="13" max="13" width="10.33203125" style="2" customWidth="1"/>
    <col min="14" max="14" width="11.5546875" style="2" customWidth="1"/>
    <col min="15" max="15" width="15.5546875" style="2" bestFit="1" customWidth="1"/>
    <col min="16" max="16" width="12.88671875" style="2" customWidth="1"/>
    <col min="17" max="17" width="12" style="102" customWidth="1"/>
    <col min="18" max="18" width="15.5546875" style="2" bestFit="1" customWidth="1"/>
    <col min="19" max="19" width="12.21875" style="2" customWidth="1"/>
    <col min="20" max="20" width="12.109375" style="2" customWidth="1"/>
    <col min="21" max="22" width="10" style="2" customWidth="1"/>
    <col min="23" max="23" width="13.6640625" style="2" customWidth="1"/>
    <col min="24" max="24" width="13.6640625" style="102" customWidth="1"/>
    <col min="25" max="25" width="16.109375" style="2" customWidth="1"/>
    <col min="26" max="26" width="13.77734375" style="2" customWidth="1"/>
    <col min="27" max="27" width="13.6640625" style="2" customWidth="1"/>
    <col min="28" max="28" width="1.77734375" style="2" customWidth="1"/>
    <col min="29" max="29" width="24.33203125" style="2" bestFit="1" customWidth="1"/>
    <col min="30" max="30" width="26" style="2" bestFit="1" customWidth="1"/>
    <col min="31" max="39" width="12.44140625" style="2" customWidth="1"/>
    <col min="40" max="40" width="3.5546875" style="2" customWidth="1"/>
    <col min="41" max="41" width="7" style="2" customWidth="1"/>
    <col min="42" max="42" width="3.77734375" style="2" customWidth="1"/>
    <col min="43" max="43" width="4.33203125" style="2" customWidth="1"/>
    <col min="44" max="44" width="12.44140625" style="2" customWidth="1"/>
    <col min="45" max="49" width="4.5546875" style="2" bestFit="1" customWidth="1"/>
    <col min="50" max="50" width="17.109375" style="2" customWidth="1"/>
    <col min="51" max="52" width="4.5546875" style="2" bestFit="1" customWidth="1"/>
    <col min="53" max="53" width="17.109375" style="76" customWidth="1"/>
    <col min="54" max="54" width="4.5546875" style="76" bestFit="1" customWidth="1"/>
    <col min="55" max="55" width="4.5546875" style="2" bestFit="1" customWidth="1"/>
    <col min="56" max="56" width="17.109375" style="76" customWidth="1"/>
    <col min="57" max="57" width="4.5546875" style="76" bestFit="1" customWidth="1"/>
    <col min="58" max="60" width="4.5546875" style="2" bestFit="1" customWidth="1"/>
    <col min="61" max="61" width="2.109375" style="2" customWidth="1"/>
    <col min="62" max="64" width="4.5546875" style="2" hidden="1" customWidth="1"/>
    <col min="65" max="65" width="37.33203125" style="2" customWidth="1"/>
    <col min="66" max="120" width="4.5546875" style="2" bestFit="1" customWidth="1"/>
    <col min="121" max="315" width="6" style="2" bestFit="1" customWidth="1"/>
    <col min="316" max="371" width="7.33203125" style="2" bestFit="1" customWidth="1"/>
    <col min="372" max="376" width="8.77734375" style="2" bestFit="1" customWidth="1"/>
    <col min="377" max="377" width="9.5546875" style="2" bestFit="1" customWidth="1"/>
    <col min="378" max="378" width="23.5546875" style="2" bestFit="1" customWidth="1"/>
    <col min="379" max="16384" width="8.88671875" style="2"/>
  </cols>
  <sheetData>
    <row r="1" spans="2:65" x14ac:dyDescent="0.3">
      <c r="P1" s="145"/>
      <c r="W1" s="145"/>
      <c r="AX1" s="299"/>
      <c r="AY1" s="299"/>
      <c r="BA1" s="296"/>
      <c r="BB1" s="296"/>
      <c r="BD1" s="284"/>
      <c r="BE1" s="284"/>
    </row>
    <row r="2" spans="2:65" ht="24" thickBot="1" x14ac:dyDescent="0.5">
      <c r="B2" s="285" t="s">
        <v>11</v>
      </c>
      <c r="C2" s="285"/>
      <c r="D2" s="285"/>
      <c r="E2" s="285"/>
      <c r="F2" s="285"/>
      <c r="G2" s="285"/>
      <c r="H2" s="285"/>
      <c r="I2" s="285"/>
      <c r="J2" s="285"/>
      <c r="K2" s="285"/>
      <c r="P2" s="145"/>
      <c r="S2" s="70"/>
      <c r="W2" s="145"/>
      <c r="AE2" s="73"/>
      <c r="AF2" s="289"/>
      <c r="AG2" s="289"/>
      <c r="AH2" s="289"/>
      <c r="AI2" s="289"/>
      <c r="AJ2" s="289"/>
      <c r="AX2" s="299"/>
      <c r="AY2" s="299"/>
      <c r="BA2" s="296"/>
      <c r="BB2" s="296"/>
      <c r="BD2" s="284"/>
      <c r="BE2" s="284"/>
    </row>
    <row r="3" spans="2:65" ht="17.399999999999999" customHeight="1" thickBot="1" x14ac:dyDescent="0.65">
      <c r="B3" s="11"/>
      <c r="I3" s="290"/>
      <c r="J3" s="290"/>
      <c r="K3" s="290"/>
      <c r="L3" s="290"/>
      <c r="O3" s="88"/>
      <c r="P3" s="145"/>
      <c r="Q3" s="87"/>
      <c r="S3" s="70"/>
      <c r="W3" s="145"/>
      <c r="Y3" s="19"/>
      <c r="AC3" s="19"/>
      <c r="AD3" s="29"/>
      <c r="AE3" s="100" t="s">
        <v>0</v>
      </c>
      <c r="AF3" s="286" t="s">
        <v>30</v>
      </c>
      <c r="AG3" s="286"/>
      <c r="AH3" s="286"/>
      <c r="AI3" s="286"/>
      <c r="AJ3" s="286"/>
      <c r="AX3" s="302"/>
      <c r="AY3" s="302"/>
      <c r="BA3" s="300"/>
      <c r="BB3" s="300"/>
      <c r="BD3" s="303"/>
      <c r="BE3" s="303"/>
    </row>
    <row r="4" spans="2:65" ht="20.399999999999999" thickBot="1" x14ac:dyDescent="0.45">
      <c r="B4" s="287" t="s">
        <v>66</v>
      </c>
      <c r="C4" s="287"/>
      <c r="D4" s="287"/>
      <c r="E4" s="287"/>
      <c r="F4" s="287"/>
      <c r="G4" s="287"/>
      <c r="H4" s="287"/>
      <c r="I4" s="290"/>
      <c r="J4" s="290"/>
      <c r="K4" s="290"/>
      <c r="L4" s="290"/>
      <c r="P4" s="145"/>
      <c r="S4" s="70"/>
      <c r="W4" s="145"/>
      <c r="Y4" s="37"/>
      <c r="AC4" s="37"/>
      <c r="AD4" s="81"/>
      <c r="AE4" s="100" t="s">
        <v>63</v>
      </c>
      <c r="AF4" s="286" t="s">
        <v>30</v>
      </c>
      <c r="AG4" s="286"/>
      <c r="AH4" s="286"/>
      <c r="AI4" s="286"/>
      <c r="AJ4" s="286"/>
      <c r="AX4" s="299"/>
      <c r="AY4" s="299"/>
      <c r="BA4" s="296"/>
      <c r="BB4" s="296"/>
      <c r="BD4" s="284"/>
      <c r="BE4" s="284"/>
    </row>
    <row r="5" spans="2:65" ht="18.600000000000001" thickTop="1" thickBot="1" x14ac:dyDescent="0.4">
      <c r="B5" s="292" t="s">
        <v>47</v>
      </c>
      <c r="C5" s="292"/>
      <c r="D5" s="292"/>
      <c r="E5" s="292"/>
      <c r="F5" s="292"/>
      <c r="G5" s="292"/>
      <c r="H5" s="133">
        <f>Start_data+pt</f>
        <v>43865.333377297291</v>
      </c>
      <c r="I5" s="290"/>
      <c r="J5" s="290"/>
      <c r="K5" s="290"/>
      <c r="L5" s="290"/>
      <c r="M5" s="293" t="s">
        <v>75</v>
      </c>
      <c r="N5" s="293"/>
      <c r="O5" s="293"/>
      <c r="P5" s="293"/>
      <c r="Q5" s="294"/>
      <c r="R5" s="133">
        <f>Start_data+pr</f>
        <v>43862.222215734975</v>
      </c>
      <c r="S5" s="295" t="s">
        <v>75</v>
      </c>
      <c r="T5" s="293"/>
      <c r="U5" s="293"/>
      <c r="V5" s="293"/>
      <c r="W5" s="293"/>
      <c r="X5" s="294"/>
      <c r="Y5" s="133">
        <f>Start_data+po</f>
        <v>43868.717425443399</v>
      </c>
      <c r="AC5" s="79"/>
      <c r="AD5" s="80"/>
      <c r="AE5" s="100" t="s">
        <v>64</v>
      </c>
      <c r="AF5" s="288" t="s">
        <v>30</v>
      </c>
      <c r="AG5" s="288"/>
      <c r="AH5" s="288"/>
      <c r="AI5" s="288"/>
      <c r="AJ5" s="288"/>
      <c r="AX5" s="299"/>
      <c r="AY5" s="299"/>
      <c r="BA5" s="296"/>
      <c r="BB5" s="296"/>
      <c r="BD5" s="284"/>
      <c r="BE5" s="284"/>
    </row>
    <row r="6" spans="2:65" ht="19.2" thickTop="1" thickBot="1" x14ac:dyDescent="0.4">
      <c r="B6" s="126">
        <f ca="1">TODAY()</f>
        <v>43951</v>
      </c>
      <c r="C6" s="127">
        <f ca="1">Oggi-Start_data+1</f>
        <v>121</v>
      </c>
      <c r="D6" s="291" t="s">
        <v>69</v>
      </c>
      <c r="E6" s="291"/>
      <c r="F6" s="127">
        <v>0</v>
      </c>
      <c r="G6" s="127">
        <v>1</v>
      </c>
      <c r="H6" s="134">
        <f>pt</f>
        <v>34.333377297288806</v>
      </c>
      <c r="I6" s="290"/>
      <c r="J6" s="290"/>
      <c r="K6" s="290"/>
      <c r="L6" s="290"/>
      <c r="M6" s="293" t="s">
        <v>76</v>
      </c>
      <c r="N6" s="293"/>
      <c r="O6" s="293"/>
      <c r="P6" s="293"/>
      <c r="Q6" s="293"/>
      <c r="R6" s="134">
        <f>pr</f>
        <v>31.22221573497708</v>
      </c>
      <c r="S6" s="293" t="s">
        <v>76</v>
      </c>
      <c r="T6" s="293"/>
      <c r="U6" s="293"/>
      <c r="V6" s="293"/>
      <c r="W6" s="293"/>
      <c r="X6" s="293"/>
      <c r="Y6" s="134">
        <f>po</f>
        <v>37.717425443399762</v>
      </c>
      <c r="AE6" s="13" t="s">
        <v>74</v>
      </c>
      <c r="AF6" s="288" t="s">
        <v>73</v>
      </c>
      <c r="AG6" s="288"/>
      <c r="AH6" s="288"/>
      <c r="AI6" s="288"/>
      <c r="AJ6" s="288"/>
      <c r="AX6" s="301"/>
      <c r="AY6" s="301"/>
      <c r="BA6" s="297"/>
      <c r="BB6" s="297"/>
      <c r="BD6" s="298"/>
      <c r="BE6" s="298"/>
      <c r="BM6" s="98"/>
    </row>
    <row r="7" spans="2:65" ht="86.4" x14ac:dyDescent="0.3">
      <c r="B7" s="4" t="s">
        <v>9</v>
      </c>
      <c r="C7" s="4" t="s">
        <v>10</v>
      </c>
      <c r="D7" s="4" t="s">
        <v>4344</v>
      </c>
      <c r="E7" s="4" t="s">
        <v>23</v>
      </c>
      <c r="F7" s="8" t="s">
        <v>4362</v>
      </c>
      <c r="G7" s="8" t="s">
        <v>4363</v>
      </c>
      <c r="H7" s="8" t="s">
        <v>25</v>
      </c>
      <c r="I7" s="8" t="s">
        <v>7</v>
      </c>
      <c r="J7" s="8" t="s">
        <v>8</v>
      </c>
      <c r="K7" s="4" t="s">
        <v>19</v>
      </c>
      <c r="L7" s="4" t="s">
        <v>26</v>
      </c>
      <c r="M7" s="8" t="s">
        <v>32</v>
      </c>
      <c r="N7" s="8" t="s">
        <v>67</v>
      </c>
      <c r="O7" s="8" t="s">
        <v>27</v>
      </c>
      <c r="P7" s="8" t="s">
        <v>14</v>
      </c>
      <c r="Q7" s="8" t="s">
        <v>15</v>
      </c>
      <c r="R7" s="4" t="s">
        <v>33</v>
      </c>
      <c r="S7" s="4" t="s">
        <v>28</v>
      </c>
      <c r="T7" s="8" t="s">
        <v>34</v>
      </c>
      <c r="U7" s="8" t="s">
        <v>68</v>
      </c>
      <c r="V7" s="8" t="s">
        <v>29</v>
      </c>
      <c r="W7" s="8" t="s">
        <v>16</v>
      </c>
      <c r="X7" s="8" t="s">
        <v>17</v>
      </c>
      <c r="Y7" s="8"/>
      <c r="Z7" s="20" t="s">
        <v>35</v>
      </c>
      <c r="AA7" s="21" t="s">
        <v>31</v>
      </c>
      <c r="AB7" s="3"/>
      <c r="AO7" s="40" t="s">
        <v>22</v>
      </c>
      <c r="AU7" s="82"/>
      <c r="AV7" s="82"/>
      <c r="AX7" s="84"/>
      <c r="AY7" s="84"/>
      <c r="BA7" s="85"/>
      <c r="BB7" s="85"/>
      <c r="BD7" s="2"/>
      <c r="BE7" s="2"/>
      <c r="BJ7" s="98"/>
    </row>
    <row r="8" spans="2:65" x14ac:dyDescent="0.3">
      <c r="B8" s="149">
        <v>43831</v>
      </c>
      <c r="C8" s="4">
        <v>1</v>
      </c>
      <c r="D8" s="311"/>
      <c r="E8" s="10">
        <f>Tabella8[[#This Row],[Spain cum. Cases]]*NOT(ISBLANK(Tabella8[[#This Row],[Spain cum. Cases]]))</f>
        <v>0</v>
      </c>
      <c r="F8" s="146">
        <f>IFERROR(Kt*_xlfn.LOGNORM.DIST((Tabella8[[#This Row],[Day]]-Days_back),mu_t,sigma_t,TRUE),0)</f>
        <v>0</v>
      </c>
      <c r="G8" s="147">
        <f>Tabella8[[#This Row],[Spain cum. fit]]/Kt</f>
        <v>0</v>
      </c>
      <c r="H8" s="324">
        <f>Tabella8[[#This Row],[Spain cum. fit]]*NOT(ISBLANK(Tabella8[[#This Row],[Spain cum. Cases]]))</f>
        <v>0</v>
      </c>
      <c r="I8" s="10">
        <f>Tabella8[[#This Row],[Spain cum. fit]]+CIt</f>
        <v>8706.1787626415862</v>
      </c>
      <c r="J8" s="10">
        <f>MAX(Tabella8[[#This Row],[Spain cum. fit]]-CIt,0)</f>
        <v>0</v>
      </c>
      <c r="K8" s="153"/>
      <c r="L8" s="10">
        <f>Tabella8[[#This Row],[Lombardy]]*NOT(ISBLANK(Tabella8[[#This Row],[Lombardy]]))</f>
        <v>0</v>
      </c>
      <c r="M8" s="123">
        <f>IFERROR(Kr*_xlfn.LOGNORM.DIST((Tabella8[[#This Row],[Day]]-pr),mu_r,sigma_r,TRUE),0)</f>
        <v>0</v>
      </c>
      <c r="N8" s="123">
        <f>Tabella8[[#This Row],[Lombardy fit]]/Kr</f>
        <v>0</v>
      </c>
      <c r="O8" s="10">
        <f>Tabella8[[#This Row],[Lombardy fit]]*NOT(ISBLANK(Tabella8[[#This Row],[Lombardy]]))</f>
        <v>0</v>
      </c>
      <c r="P8" s="10" t="e">
        <f>Tabella8[[#This Row],[Lombardy fit]]+CIr</f>
        <v>#NUM!</v>
      </c>
      <c r="Q8" s="10" t="e">
        <f>MAX(Tabella8[[#This Row],[Lombardy fit]]-CIr,0)</f>
        <v>#NUM!</v>
      </c>
      <c r="R8" s="155"/>
      <c r="S8" s="10">
        <f>Tabella8[[#This Row],[rest of Italy ]]*NOT(ISBLANK(Tabella8[[#This Row],[rest of Italy ]]))</f>
        <v>0</v>
      </c>
      <c r="T8" s="124">
        <f>IFERROR(Ko*_xlfn.LOGNORM.DIST((Tabella8[[#This Row],[Day]]-po),mu_o,sigma_o,TRUE),0)</f>
        <v>0</v>
      </c>
      <c r="U8" s="124">
        <f>Tabella8[[#This Row],[rest of Italy fit]]/Ko</f>
        <v>0</v>
      </c>
      <c r="V8" s="22">
        <f>Tabella8[[#This Row],[rest of Italy fit]]*NOT(ISBLANK(Tabella8[[#This Row],[rest of Italy ]]))</f>
        <v>0</v>
      </c>
      <c r="W8" s="10">
        <f>Tabella8[[#This Row],[rest of Italy fit]]+CIo</f>
        <v>104195.92689792225</v>
      </c>
      <c r="X8" s="10">
        <f>MAX(Tabella8[[#This Row],[rest of Italy fit]]-CIo,0)</f>
        <v>0</v>
      </c>
      <c r="Y8" s="1"/>
      <c r="Z8" s="23"/>
      <c r="AA8" s="24"/>
      <c r="AO8" s="68"/>
      <c r="AU8" s="83"/>
      <c r="AV8" s="83"/>
      <c r="AX8" s="32"/>
      <c r="AY8" s="32"/>
      <c r="BA8" s="86"/>
      <c r="BB8" s="86"/>
      <c r="BD8" s="2"/>
      <c r="BE8" s="2"/>
    </row>
    <row r="9" spans="2:65" x14ac:dyDescent="0.3">
      <c r="B9" s="149">
        <v>43832</v>
      </c>
      <c r="C9" s="4">
        <v>2</v>
      </c>
      <c r="D9" s="311"/>
      <c r="E9" s="10">
        <f>Tabella8[[#This Row],[Spain cum. Cases]]*NOT(ISBLANK(Tabella8[[#This Row],[Spain cum. Cases]]))</f>
        <v>0</v>
      </c>
      <c r="F9" s="146">
        <f>IFERROR(Kt*_xlfn.LOGNORM.DIST((Tabella8[[#This Row],[Day]]-Days_back),mu_t,sigma_t,TRUE),0)</f>
        <v>0</v>
      </c>
      <c r="G9" s="147">
        <f>Tabella8[[#This Row],[Spain cum. fit]]/Kt</f>
        <v>0</v>
      </c>
      <c r="H9" s="324">
        <f>Tabella8[[#This Row],[Spain cum. fit]]*NOT(ISBLANK(Tabella8[[#This Row],[Spain cum. Cases]]))</f>
        <v>0</v>
      </c>
      <c r="I9" s="10">
        <f>Tabella8[[#This Row],[Spain cum. fit]]+CIt</f>
        <v>8706.1787626415862</v>
      </c>
      <c r="J9" s="10">
        <f>MAX(Tabella8[[#This Row],[Spain cum. fit]]-CIt,0)</f>
        <v>0</v>
      </c>
      <c r="K9" s="153"/>
      <c r="L9" s="10">
        <f>Tabella8[[#This Row],[Lombardy]]*NOT(ISBLANK(Tabella8[[#This Row],[Lombardy]]))</f>
        <v>0</v>
      </c>
      <c r="M9" s="123">
        <f>IFERROR(Kr*_xlfn.LOGNORM.DIST((Tabella8[[#This Row],[Day]]-pr),mu_r,sigma_r,TRUE),0)</f>
        <v>0</v>
      </c>
      <c r="N9" s="123">
        <f>Tabella8[[#This Row],[Lombardy fit]]/Kr</f>
        <v>0</v>
      </c>
      <c r="O9" s="10">
        <f>Tabella8[[#This Row],[Lombardy fit]]*NOT(ISBLANK(Tabella8[[#This Row],[Lombardy]]))</f>
        <v>0</v>
      </c>
      <c r="P9" s="10" t="e">
        <f>Tabella8[[#This Row],[Lombardy fit]]+CIr</f>
        <v>#NUM!</v>
      </c>
      <c r="Q9" s="10" t="e">
        <f>MAX(Tabella8[[#This Row],[Lombardy fit]]-CIr,0)</f>
        <v>#NUM!</v>
      </c>
      <c r="R9" s="155"/>
      <c r="S9" s="10">
        <f>Tabella8[[#This Row],[rest of Italy ]]*NOT(ISBLANK(Tabella8[[#This Row],[rest of Italy ]]))</f>
        <v>0</v>
      </c>
      <c r="T9" s="124">
        <f>IFERROR(Ko*_xlfn.LOGNORM.DIST((Tabella8[[#This Row],[Day]]-po),mu_o,sigma_o,TRUE),0)</f>
        <v>0</v>
      </c>
      <c r="U9" s="124">
        <f>Tabella8[[#This Row],[rest of Italy fit]]/Ko</f>
        <v>0</v>
      </c>
      <c r="V9" s="22">
        <f>Tabella8[[#This Row],[rest of Italy fit]]*NOT(ISBLANK(Tabella8[[#This Row],[rest of Italy ]]))</f>
        <v>0</v>
      </c>
      <c r="W9" s="10">
        <f>Tabella8[[#This Row],[rest of Italy fit]]+CIo</f>
        <v>104195.92689792225</v>
      </c>
      <c r="X9" s="10">
        <f>MAX(Tabella8[[#This Row],[rest of Italy fit]]-CIo,0)</f>
        <v>0</v>
      </c>
      <c r="Y9" s="1"/>
      <c r="Z9" s="23"/>
      <c r="AA9" s="24"/>
      <c r="AO9" s="53"/>
      <c r="AU9" s="83"/>
      <c r="AV9" s="83"/>
      <c r="AX9" s="32"/>
      <c r="AY9" s="32"/>
      <c r="BA9" s="86"/>
      <c r="BB9" s="86"/>
      <c r="BD9" s="2"/>
      <c r="BE9" s="2"/>
    </row>
    <row r="10" spans="2:65" x14ac:dyDescent="0.3">
      <c r="B10" s="149">
        <v>43833</v>
      </c>
      <c r="C10" s="4">
        <v>3</v>
      </c>
      <c r="D10" s="311"/>
      <c r="E10" s="10">
        <f>Tabella8[[#This Row],[Spain cum. Cases]]*NOT(ISBLANK(Tabella8[[#This Row],[Spain cum. Cases]]))</f>
        <v>0</v>
      </c>
      <c r="F10" s="146">
        <f>IFERROR(Kt*_xlfn.LOGNORM.DIST((Tabella8[[#This Row],[Day]]-Days_back),mu_t,sigma_t,TRUE),0)</f>
        <v>0</v>
      </c>
      <c r="G10" s="147">
        <f>Tabella8[[#This Row],[Spain cum. fit]]/Kt</f>
        <v>0</v>
      </c>
      <c r="H10" s="324">
        <f>Tabella8[[#This Row],[Spain cum. fit]]*NOT(ISBLANK(Tabella8[[#This Row],[Spain cum. Cases]]))</f>
        <v>0</v>
      </c>
      <c r="I10" s="10">
        <f>Tabella8[[#This Row],[Spain cum. fit]]+CIt</f>
        <v>8706.1787626415862</v>
      </c>
      <c r="J10" s="10">
        <f>MAX(Tabella8[[#This Row],[Spain cum. fit]]-CIt,0)</f>
        <v>0</v>
      </c>
      <c r="K10" s="153"/>
      <c r="L10" s="10">
        <f>Tabella8[[#This Row],[Lombardy]]*NOT(ISBLANK(Tabella8[[#This Row],[Lombardy]]))</f>
        <v>0</v>
      </c>
      <c r="M10" s="123">
        <f>IFERROR(Kr*_xlfn.LOGNORM.DIST((Tabella8[[#This Row],[Day]]-pr),mu_r,sigma_r,TRUE),0)</f>
        <v>0</v>
      </c>
      <c r="N10" s="123">
        <f>Tabella8[[#This Row],[Lombardy fit]]/Kr</f>
        <v>0</v>
      </c>
      <c r="O10" s="10">
        <f>Tabella8[[#This Row],[Lombardy fit]]*NOT(ISBLANK(Tabella8[[#This Row],[Lombardy]]))</f>
        <v>0</v>
      </c>
      <c r="P10" s="10" t="e">
        <f>Tabella8[[#This Row],[Lombardy fit]]+CIr</f>
        <v>#NUM!</v>
      </c>
      <c r="Q10" s="10" t="e">
        <f>MAX(Tabella8[[#This Row],[Lombardy fit]]-CIr,0)</f>
        <v>#NUM!</v>
      </c>
      <c r="R10" s="155"/>
      <c r="S10" s="10">
        <f>Tabella8[[#This Row],[rest of Italy ]]*NOT(ISBLANK(Tabella8[[#This Row],[rest of Italy ]]))</f>
        <v>0</v>
      </c>
      <c r="T10" s="124">
        <f>IFERROR(Ko*_xlfn.LOGNORM.DIST((Tabella8[[#This Row],[Day]]-po),mu_o,sigma_o,TRUE),0)</f>
        <v>0</v>
      </c>
      <c r="U10" s="124">
        <f>Tabella8[[#This Row],[rest of Italy fit]]/Ko</f>
        <v>0</v>
      </c>
      <c r="V10" s="22">
        <f>Tabella8[[#This Row],[rest of Italy fit]]*NOT(ISBLANK(Tabella8[[#This Row],[rest of Italy ]]))</f>
        <v>0</v>
      </c>
      <c r="W10" s="10">
        <f>Tabella8[[#This Row],[rest of Italy fit]]+CIo</f>
        <v>104195.92689792225</v>
      </c>
      <c r="X10" s="10">
        <f>MAX(Tabella8[[#This Row],[rest of Italy fit]]-CIo,0)</f>
        <v>0</v>
      </c>
      <c r="Y10" s="1"/>
      <c r="Z10" s="23"/>
      <c r="AA10" s="24"/>
      <c r="AO10" s="53"/>
      <c r="AU10" s="83"/>
      <c r="AV10" s="83"/>
      <c r="AX10" s="32"/>
      <c r="AY10" s="32"/>
      <c r="BA10" s="86"/>
      <c r="BB10" s="86"/>
      <c r="BD10" s="2"/>
      <c r="BE10" s="2"/>
    </row>
    <row r="11" spans="2:65" x14ac:dyDescent="0.3">
      <c r="B11" s="149">
        <v>43834</v>
      </c>
      <c r="C11" s="4">
        <v>4</v>
      </c>
      <c r="D11" s="311"/>
      <c r="E11" s="10">
        <f>Tabella8[[#This Row],[Spain cum. Cases]]*NOT(ISBLANK(Tabella8[[#This Row],[Spain cum. Cases]]))</f>
        <v>0</v>
      </c>
      <c r="F11" s="146">
        <f>IFERROR(Kt*_xlfn.LOGNORM.DIST((Tabella8[[#This Row],[Day]]-Days_back),mu_t,sigma_t,TRUE),0)</f>
        <v>0</v>
      </c>
      <c r="G11" s="147">
        <f>Tabella8[[#This Row],[Spain cum. fit]]/Kt</f>
        <v>0</v>
      </c>
      <c r="H11" s="324">
        <f>Tabella8[[#This Row],[Spain cum. fit]]*NOT(ISBLANK(Tabella8[[#This Row],[Spain cum. Cases]]))</f>
        <v>0</v>
      </c>
      <c r="I11" s="10">
        <f>Tabella8[[#This Row],[Spain cum. fit]]+CIt</f>
        <v>8706.1787626415862</v>
      </c>
      <c r="J11" s="10">
        <f>MAX(Tabella8[[#This Row],[Spain cum. fit]]-CIt,0)</f>
        <v>0</v>
      </c>
      <c r="K11" s="153"/>
      <c r="L11" s="10">
        <f>Tabella8[[#This Row],[Lombardy]]*NOT(ISBLANK(Tabella8[[#This Row],[Lombardy]]))</f>
        <v>0</v>
      </c>
      <c r="M11" s="123">
        <f>IFERROR(Kr*_xlfn.LOGNORM.DIST((Tabella8[[#This Row],[Day]]-pr),mu_r,sigma_r,TRUE),0)</f>
        <v>0</v>
      </c>
      <c r="N11" s="123">
        <f>Tabella8[[#This Row],[Lombardy fit]]/Kr</f>
        <v>0</v>
      </c>
      <c r="O11" s="10">
        <f>Tabella8[[#This Row],[Lombardy fit]]*NOT(ISBLANK(Tabella8[[#This Row],[Lombardy]]))</f>
        <v>0</v>
      </c>
      <c r="P11" s="10" t="e">
        <f>Tabella8[[#This Row],[Lombardy fit]]+CIr</f>
        <v>#NUM!</v>
      </c>
      <c r="Q11" s="10" t="e">
        <f>MAX(Tabella8[[#This Row],[Lombardy fit]]-CIr,0)</f>
        <v>#NUM!</v>
      </c>
      <c r="R11" s="155"/>
      <c r="S11" s="10">
        <f>Tabella8[[#This Row],[rest of Italy ]]*NOT(ISBLANK(Tabella8[[#This Row],[rest of Italy ]]))</f>
        <v>0</v>
      </c>
      <c r="T11" s="124">
        <f>IFERROR(Ko*_xlfn.LOGNORM.DIST((Tabella8[[#This Row],[Day]]-po),mu_o,sigma_o,TRUE),0)</f>
        <v>0</v>
      </c>
      <c r="U11" s="124">
        <f>Tabella8[[#This Row],[rest of Italy fit]]/Ko</f>
        <v>0</v>
      </c>
      <c r="V11" s="22">
        <f>Tabella8[[#This Row],[rest of Italy fit]]*NOT(ISBLANK(Tabella8[[#This Row],[rest of Italy ]]))</f>
        <v>0</v>
      </c>
      <c r="W11" s="10">
        <f>Tabella8[[#This Row],[rest of Italy fit]]+CIo</f>
        <v>104195.92689792225</v>
      </c>
      <c r="X11" s="10">
        <f>MAX(Tabella8[[#This Row],[rest of Italy fit]]-CIo,0)</f>
        <v>0</v>
      </c>
      <c r="Y11" s="1"/>
      <c r="Z11" s="25" t="s">
        <v>1</v>
      </c>
      <c r="AA11" s="26"/>
      <c r="AO11" s="53"/>
      <c r="AU11" s="83"/>
      <c r="AV11" s="83"/>
      <c r="AX11" s="32"/>
      <c r="AY11" s="32"/>
      <c r="BA11" s="86"/>
      <c r="BB11" s="86"/>
      <c r="BD11" s="2"/>
      <c r="BE11" s="2"/>
    </row>
    <row r="12" spans="2:65" x14ac:dyDescent="0.3">
      <c r="B12" s="149">
        <v>43835</v>
      </c>
      <c r="C12" s="4">
        <v>5</v>
      </c>
      <c r="D12" s="311"/>
      <c r="E12" s="10">
        <f>Tabella8[[#This Row],[Spain cum. Cases]]*NOT(ISBLANK(Tabella8[[#This Row],[Spain cum. Cases]]))</f>
        <v>0</v>
      </c>
      <c r="F12" s="146">
        <f>IFERROR(Kt*_xlfn.LOGNORM.DIST((Tabella8[[#This Row],[Day]]-Days_back),mu_t,sigma_t,TRUE),0)</f>
        <v>0</v>
      </c>
      <c r="G12" s="147">
        <f>Tabella8[[#This Row],[Spain cum. fit]]/Kt</f>
        <v>0</v>
      </c>
      <c r="H12" s="324">
        <f>Tabella8[[#This Row],[Spain cum. fit]]*NOT(ISBLANK(Tabella8[[#This Row],[Spain cum. Cases]]))</f>
        <v>0</v>
      </c>
      <c r="I12" s="10">
        <f>Tabella8[[#This Row],[Spain cum. fit]]+CIt</f>
        <v>8706.1787626415862</v>
      </c>
      <c r="J12" s="10">
        <f>MAX(Tabella8[[#This Row],[Spain cum. fit]]-CIt,0)</f>
        <v>0</v>
      </c>
      <c r="K12" s="153"/>
      <c r="L12" s="10">
        <f>Tabella8[[#This Row],[Lombardy]]*NOT(ISBLANK(Tabella8[[#This Row],[Lombardy]]))</f>
        <v>0</v>
      </c>
      <c r="M12" s="123">
        <f>IFERROR(Kr*_xlfn.LOGNORM.DIST((Tabella8[[#This Row],[Day]]-pr),mu_r,sigma_r,TRUE),0)</f>
        <v>0</v>
      </c>
      <c r="N12" s="123">
        <f>Tabella8[[#This Row],[Lombardy fit]]/Kr</f>
        <v>0</v>
      </c>
      <c r="O12" s="10">
        <f>Tabella8[[#This Row],[Lombardy fit]]*NOT(ISBLANK(Tabella8[[#This Row],[Lombardy]]))</f>
        <v>0</v>
      </c>
      <c r="P12" s="10" t="e">
        <f>Tabella8[[#This Row],[Lombardy fit]]+CIr</f>
        <v>#NUM!</v>
      </c>
      <c r="Q12" s="10" t="e">
        <f>MAX(Tabella8[[#This Row],[Lombardy fit]]-CIr,0)</f>
        <v>#NUM!</v>
      </c>
      <c r="R12" s="155"/>
      <c r="S12" s="10">
        <f>Tabella8[[#This Row],[rest of Italy ]]*NOT(ISBLANK(Tabella8[[#This Row],[rest of Italy ]]))</f>
        <v>0</v>
      </c>
      <c r="T12" s="124">
        <f>IFERROR(Ko*_xlfn.LOGNORM.DIST((Tabella8[[#This Row],[Day]]-po),mu_o,sigma_o,TRUE),0)</f>
        <v>0</v>
      </c>
      <c r="U12" s="124">
        <f>Tabella8[[#This Row],[rest of Italy fit]]/Ko</f>
        <v>0</v>
      </c>
      <c r="V12" s="22">
        <f>Tabella8[[#This Row],[rest of Italy fit]]*NOT(ISBLANK(Tabella8[[#This Row],[rest of Italy ]]))</f>
        <v>0</v>
      </c>
      <c r="W12" s="10">
        <f>Tabella8[[#This Row],[rest of Italy fit]]+CIo</f>
        <v>104195.92689792225</v>
      </c>
      <c r="X12" s="10">
        <f>MAX(Tabella8[[#This Row],[rest of Italy fit]]-CIo,0)</f>
        <v>0</v>
      </c>
      <c r="Y12" s="1"/>
      <c r="Z12" s="25" t="s">
        <v>2</v>
      </c>
      <c r="AA12" s="26"/>
      <c r="AO12" s="53"/>
      <c r="AU12" s="83"/>
      <c r="AV12" s="83"/>
      <c r="AX12" s="32"/>
      <c r="AY12" s="32"/>
      <c r="BA12" s="86"/>
      <c r="BB12" s="86"/>
      <c r="BD12" s="2"/>
      <c r="BE12" s="2"/>
    </row>
    <row r="13" spans="2:65" x14ac:dyDescent="0.3">
      <c r="B13" s="149">
        <v>43836</v>
      </c>
      <c r="C13" s="4">
        <v>6</v>
      </c>
      <c r="D13" s="311"/>
      <c r="E13" s="10">
        <f>Tabella8[[#This Row],[Spain cum. Cases]]*NOT(ISBLANK(Tabella8[[#This Row],[Spain cum. Cases]]))</f>
        <v>0</v>
      </c>
      <c r="F13" s="146">
        <f>IFERROR(Kt*_xlfn.LOGNORM.DIST((Tabella8[[#This Row],[Day]]-Days_back),mu_t,sigma_t,TRUE),0)</f>
        <v>0</v>
      </c>
      <c r="G13" s="147">
        <f>Tabella8[[#This Row],[Spain cum. fit]]/Kt</f>
        <v>0</v>
      </c>
      <c r="H13" s="324">
        <f>Tabella8[[#This Row],[Spain cum. fit]]*NOT(ISBLANK(Tabella8[[#This Row],[Spain cum. Cases]]))</f>
        <v>0</v>
      </c>
      <c r="I13" s="10">
        <f>Tabella8[[#This Row],[Spain cum. fit]]+CIt</f>
        <v>8706.1787626415862</v>
      </c>
      <c r="J13" s="10">
        <f>MAX(Tabella8[[#This Row],[Spain cum. fit]]-CIt,0)</f>
        <v>0</v>
      </c>
      <c r="K13" s="153"/>
      <c r="L13" s="10">
        <f>Tabella8[[#This Row],[Lombardy]]*NOT(ISBLANK(Tabella8[[#This Row],[Lombardy]]))</f>
        <v>0</v>
      </c>
      <c r="M13" s="123">
        <f>IFERROR(Kr*_xlfn.LOGNORM.DIST((Tabella8[[#This Row],[Day]]-pr),mu_r,sigma_r,TRUE),0)</f>
        <v>0</v>
      </c>
      <c r="N13" s="123">
        <f>Tabella8[[#This Row],[Lombardy fit]]/Kr</f>
        <v>0</v>
      </c>
      <c r="O13" s="10">
        <f>Tabella8[[#This Row],[Lombardy fit]]*NOT(ISBLANK(Tabella8[[#This Row],[Lombardy]]))</f>
        <v>0</v>
      </c>
      <c r="P13" s="10" t="e">
        <f>Tabella8[[#This Row],[Lombardy fit]]+CIr</f>
        <v>#NUM!</v>
      </c>
      <c r="Q13" s="10" t="e">
        <f>MAX(Tabella8[[#This Row],[Lombardy fit]]-CIr,0)</f>
        <v>#NUM!</v>
      </c>
      <c r="R13" s="155"/>
      <c r="S13" s="10">
        <f>Tabella8[[#This Row],[rest of Italy ]]*NOT(ISBLANK(Tabella8[[#This Row],[rest of Italy ]]))</f>
        <v>0</v>
      </c>
      <c r="T13" s="124">
        <f>IFERROR(Ko*_xlfn.LOGNORM.DIST((Tabella8[[#This Row],[Day]]-po),mu_o,sigma_o,TRUE),0)</f>
        <v>0</v>
      </c>
      <c r="U13" s="124">
        <f>Tabella8[[#This Row],[rest of Italy fit]]/Ko</f>
        <v>0</v>
      </c>
      <c r="V13" s="22">
        <f>Tabella8[[#This Row],[rest of Italy fit]]*NOT(ISBLANK(Tabella8[[#This Row],[rest of Italy ]]))</f>
        <v>0</v>
      </c>
      <c r="W13" s="10">
        <f>Tabella8[[#This Row],[rest of Italy fit]]+CIo</f>
        <v>104195.92689792225</v>
      </c>
      <c r="X13" s="10">
        <f>MAX(Tabella8[[#This Row],[rest of Italy fit]]-CIo,0)</f>
        <v>0</v>
      </c>
      <c r="Y13" s="1"/>
      <c r="Z13" s="25" t="s">
        <v>3</v>
      </c>
      <c r="AA13" s="27"/>
      <c r="AO13" s="53"/>
      <c r="AU13" s="83"/>
      <c r="AV13" s="83"/>
      <c r="AX13" s="32"/>
      <c r="AY13" s="32"/>
      <c r="BA13" s="86"/>
      <c r="BB13" s="86"/>
      <c r="BD13" s="2"/>
      <c r="BE13" s="2"/>
    </row>
    <row r="14" spans="2:65" ht="16.2" x14ac:dyDescent="0.3">
      <c r="B14" s="149">
        <v>43837</v>
      </c>
      <c r="C14" s="4">
        <v>7</v>
      </c>
      <c r="D14" s="311"/>
      <c r="E14" s="10">
        <f>Tabella8[[#This Row],[Spain cum. Cases]]*NOT(ISBLANK(Tabella8[[#This Row],[Spain cum. Cases]]))</f>
        <v>0</v>
      </c>
      <c r="F14" s="146">
        <f>IFERROR(Kt*_xlfn.LOGNORM.DIST((Tabella8[[#This Row],[Day]]-Days_back),mu_t,sigma_t,TRUE),0)</f>
        <v>0</v>
      </c>
      <c r="G14" s="147">
        <f>Tabella8[[#This Row],[Spain cum. fit]]/Kt</f>
        <v>0</v>
      </c>
      <c r="H14" s="324">
        <f>Tabella8[[#This Row],[Spain cum. fit]]*NOT(ISBLANK(Tabella8[[#This Row],[Spain cum. Cases]]))</f>
        <v>0</v>
      </c>
      <c r="I14" s="10">
        <f>Tabella8[[#This Row],[Spain cum. fit]]+CIt</f>
        <v>8706.1787626415862</v>
      </c>
      <c r="J14" s="10">
        <f>MAX(Tabella8[[#This Row],[Spain cum. fit]]-CIt,0)</f>
        <v>0</v>
      </c>
      <c r="K14" s="153"/>
      <c r="L14" s="10">
        <f>Tabella8[[#This Row],[Lombardy]]*NOT(ISBLANK(Tabella8[[#This Row],[Lombardy]]))</f>
        <v>0</v>
      </c>
      <c r="M14" s="123">
        <f>IFERROR(Kr*_xlfn.LOGNORM.DIST((Tabella8[[#This Row],[Day]]-pr),mu_r,sigma_r,TRUE),0)</f>
        <v>0</v>
      </c>
      <c r="N14" s="123">
        <f>Tabella8[[#This Row],[Lombardy fit]]/Kr</f>
        <v>0</v>
      </c>
      <c r="O14" s="10">
        <f>Tabella8[[#This Row],[Lombardy fit]]*NOT(ISBLANK(Tabella8[[#This Row],[Lombardy]]))</f>
        <v>0</v>
      </c>
      <c r="P14" s="10" t="e">
        <f>Tabella8[[#This Row],[Lombardy fit]]+CIr</f>
        <v>#NUM!</v>
      </c>
      <c r="Q14" s="10" t="e">
        <f>MAX(Tabella8[[#This Row],[Lombardy fit]]-CIr,0)</f>
        <v>#NUM!</v>
      </c>
      <c r="R14" s="155"/>
      <c r="S14" s="10">
        <f>Tabella8[[#This Row],[rest of Italy ]]*NOT(ISBLANK(Tabella8[[#This Row],[rest of Italy ]]))</f>
        <v>0</v>
      </c>
      <c r="T14" s="124">
        <f>IFERROR(Ko*_xlfn.LOGNORM.DIST((Tabella8[[#This Row],[Day]]-po),mu_o,sigma_o,TRUE),0)</f>
        <v>0</v>
      </c>
      <c r="U14" s="124">
        <f>Tabella8[[#This Row],[rest of Italy fit]]/Ko</f>
        <v>0</v>
      </c>
      <c r="V14" s="22">
        <f>Tabella8[[#This Row],[rest of Italy fit]]*NOT(ISBLANK(Tabella8[[#This Row],[rest of Italy ]]))</f>
        <v>0</v>
      </c>
      <c r="W14" s="10">
        <f>Tabella8[[#This Row],[rest of Italy fit]]+CIo</f>
        <v>104195.92689792225</v>
      </c>
      <c r="X14" s="10">
        <f>MAX(Tabella8[[#This Row],[rest of Italy fit]]-CIo,0)</f>
        <v>0</v>
      </c>
      <c r="Y14" s="1"/>
      <c r="Z14" s="25" t="s">
        <v>36</v>
      </c>
      <c r="AA14" s="28"/>
      <c r="AO14" s="53"/>
      <c r="AU14" s="83"/>
      <c r="AV14" s="83"/>
      <c r="AX14" s="32"/>
      <c r="AY14" s="32"/>
      <c r="BA14" s="86"/>
      <c r="BB14" s="86"/>
      <c r="BD14" s="2"/>
      <c r="BE14" s="2"/>
    </row>
    <row r="15" spans="2:65" x14ac:dyDescent="0.3">
      <c r="B15" s="149">
        <v>43838</v>
      </c>
      <c r="C15" s="4">
        <v>8</v>
      </c>
      <c r="D15" s="311"/>
      <c r="E15" s="10">
        <f>Tabella8[[#This Row],[Spain cum. Cases]]*NOT(ISBLANK(Tabella8[[#This Row],[Spain cum. Cases]]))</f>
        <v>0</v>
      </c>
      <c r="F15" s="146">
        <f>IFERROR(Kt*_xlfn.LOGNORM.DIST((Tabella8[[#This Row],[Day]]-Days_back),mu_t,sigma_t,TRUE),0)</f>
        <v>0</v>
      </c>
      <c r="G15" s="147">
        <f>Tabella8[[#This Row],[Spain cum. fit]]/Kt</f>
        <v>0</v>
      </c>
      <c r="H15" s="324">
        <f>Tabella8[[#This Row],[Spain cum. fit]]*NOT(ISBLANK(Tabella8[[#This Row],[Spain cum. Cases]]))</f>
        <v>0</v>
      </c>
      <c r="I15" s="10">
        <f>Tabella8[[#This Row],[Spain cum. fit]]+CIt</f>
        <v>8706.1787626415862</v>
      </c>
      <c r="J15" s="10">
        <f>MAX(Tabella8[[#This Row],[Spain cum. fit]]-CIt,0)</f>
        <v>0</v>
      </c>
      <c r="K15" s="153"/>
      <c r="L15" s="10">
        <f>Tabella8[[#This Row],[Lombardy]]*NOT(ISBLANK(Tabella8[[#This Row],[Lombardy]]))</f>
        <v>0</v>
      </c>
      <c r="M15" s="123">
        <f>IFERROR(Kr*_xlfn.LOGNORM.DIST((Tabella8[[#This Row],[Day]]-pr),mu_r,sigma_r,TRUE),0)</f>
        <v>0</v>
      </c>
      <c r="N15" s="123">
        <f>Tabella8[[#This Row],[Lombardy fit]]/Kr</f>
        <v>0</v>
      </c>
      <c r="O15" s="10">
        <f>Tabella8[[#This Row],[Lombardy fit]]*NOT(ISBLANK(Tabella8[[#This Row],[Lombardy]]))</f>
        <v>0</v>
      </c>
      <c r="P15" s="10" t="e">
        <f>Tabella8[[#This Row],[Lombardy fit]]+CIr</f>
        <v>#NUM!</v>
      </c>
      <c r="Q15" s="10" t="e">
        <f>MAX(Tabella8[[#This Row],[Lombardy fit]]-CIr,0)</f>
        <v>#NUM!</v>
      </c>
      <c r="R15" s="155"/>
      <c r="S15" s="10">
        <f>Tabella8[[#This Row],[rest of Italy ]]*NOT(ISBLANK(Tabella8[[#This Row],[rest of Italy ]]))</f>
        <v>0</v>
      </c>
      <c r="T15" s="124">
        <f>IFERROR(Ko*_xlfn.LOGNORM.DIST((Tabella8[[#This Row],[Day]]-po),mu_o,sigma_o,TRUE),0)</f>
        <v>0</v>
      </c>
      <c r="U15" s="124">
        <f>Tabella8[[#This Row],[rest of Italy fit]]/Ko</f>
        <v>0</v>
      </c>
      <c r="V15" s="22">
        <f>Tabella8[[#This Row],[rest of Italy fit]]*NOT(ISBLANK(Tabella8[[#This Row],[rest of Italy ]]))</f>
        <v>0</v>
      </c>
      <c r="W15" s="10">
        <f>Tabella8[[#This Row],[rest of Italy fit]]+CIo</f>
        <v>104195.92689792225</v>
      </c>
      <c r="X15" s="10">
        <f>MAX(Tabella8[[#This Row],[rest of Italy fit]]-CIo,0)</f>
        <v>0</v>
      </c>
      <c r="Y15" s="1"/>
      <c r="Z15" s="25" t="s">
        <v>5</v>
      </c>
      <c r="AA15" s="28"/>
      <c r="AO15" s="53"/>
      <c r="AU15" s="83"/>
      <c r="AV15" s="83"/>
      <c r="AX15" s="32"/>
      <c r="AY15" s="32"/>
      <c r="BA15" s="86"/>
      <c r="BB15" s="86"/>
      <c r="BD15" s="2"/>
      <c r="BE15" s="2"/>
    </row>
    <row r="16" spans="2:65" x14ac:dyDescent="0.3">
      <c r="B16" s="149">
        <v>43839</v>
      </c>
      <c r="C16" s="4">
        <v>9</v>
      </c>
      <c r="D16" s="311"/>
      <c r="E16" s="10">
        <f>Tabella8[[#This Row],[Spain cum. Cases]]*NOT(ISBLANK(Tabella8[[#This Row],[Spain cum. Cases]]))</f>
        <v>0</v>
      </c>
      <c r="F16" s="146">
        <f>IFERROR(Kt*_xlfn.LOGNORM.DIST((Tabella8[[#This Row],[Day]]-Days_back),mu_t,sigma_t,TRUE),0)</f>
        <v>0</v>
      </c>
      <c r="G16" s="147">
        <f>Tabella8[[#This Row],[Spain cum. fit]]/Kt</f>
        <v>0</v>
      </c>
      <c r="H16" s="324">
        <f>Tabella8[[#This Row],[Spain cum. fit]]*NOT(ISBLANK(Tabella8[[#This Row],[Spain cum. Cases]]))</f>
        <v>0</v>
      </c>
      <c r="I16" s="10">
        <f>Tabella8[[#This Row],[Spain cum. fit]]+CIt</f>
        <v>8706.1787626415862</v>
      </c>
      <c r="J16" s="10">
        <f>MAX(Tabella8[[#This Row],[Spain cum. fit]]-CIt,0)</f>
        <v>0</v>
      </c>
      <c r="K16" s="153"/>
      <c r="L16" s="10">
        <f>Tabella8[[#This Row],[Lombardy]]*NOT(ISBLANK(Tabella8[[#This Row],[Lombardy]]))</f>
        <v>0</v>
      </c>
      <c r="M16" s="123">
        <f>IFERROR(Kr*_xlfn.LOGNORM.DIST((Tabella8[[#This Row],[Day]]-pr),mu_r,sigma_r,TRUE),0)</f>
        <v>0</v>
      </c>
      <c r="N16" s="123">
        <f>Tabella8[[#This Row],[Lombardy fit]]/Kr</f>
        <v>0</v>
      </c>
      <c r="O16" s="10">
        <f>Tabella8[[#This Row],[Lombardy fit]]*NOT(ISBLANK(Tabella8[[#This Row],[Lombardy]]))</f>
        <v>0</v>
      </c>
      <c r="P16" s="10" t="e">
        <f>Tabella8[[#This Row],[Lombardy fit]]+CIr</f>
        <v>#NUM!</v>
      </c>
      <c r="Q16" s="10" t="e">
        <f>MAX(Tabella8[[#This Row],[Lombardy fit]]-CIr,0)</f>
        <v>#NUM!</v>
      </c>
      <c r="R16" s="155"/>
      <c r="S16" s="10">
        <f>Tabella8[[#This Row],[rest of Italy ]]*NOT(ISBLANK(Tabella8[[#This Row],[rest of Italy ]]))</f>
        <v>0</v>
      </c>
      <c r="T16" s="124">
        <f>IFERROR(Ko*_xlfn.LOGNORM.DIST((Tabella8[[#This Row],[Day]]-po),mu_o,sigma_o,TRUE),0)</f>
        <v>0</v>
      </c>
      <c r="U16" s="124">
        <f>Tabella8[[#This Row],[rest of Italy fit]]/Ko</f>
        <v>0</v>
      </c>
      <c r="V16" s="22">
        <f>Tabella8[[#This Row],[rest of Italy fit]]*NOT(ISBLANK(Tabella8[[#This Row],[rest of Italy ]]))</f>
        <v>0</v>
      </c>
      <c r="W16" s="10">
        <f>Tabella8[[#This Row],[rest of Italy fit]]+CIo</f>
        <v>104195.92689792225</v>
      </c>
      <c r="X16" s="10">
        <f>MAX(Tabella8[[#This Row],[rest of Italy fit]]-CIo,0)</f>
        <v>0</v>
      </c>
      <c r="Y16" s="1"/>
      <c r="Z16" s="25" t="s">
        <v>6</v>
      </c>
      <c r="AA16" s="26"/>
      <c r="AO16" s="53"/>
      <c r="AU16" s="83"/>
      <c r="AV16" s="83"/>
      <c r="AX16" s="32"/>
      <c r="AY16" s="32"/>
      <c r="BA16" s="86"/>
      <c r="BB16" s="86"/>
      <c r="BD16" s="2"/>
      <c r="BE16" s="2"/>
    </row>
    <row r="17" spans="2:57" ht="15" thickBot="1" x14ac:dyDescent="0.35">
      <c r="B17" s="149">
        <v>43840</v>
      </c>
      <c r="C17" s="4">
        <v>10</v>
      </c>
      <c r="D17" s="311"/>
      <c r="E17" s="10">
        <f>Tabella8[[#This Row],[Spain cum. Cases]]*NOT(ISBLANK(Tabella8[[#This Row],[Spain cum. Cases]]))</f>
        <v>0</v>
      </c>
      <c r="F17" s="146">
        <f>IFERROR(Kt*_xlfn.LOGNORM.DIST((Tabella8[[#This Row],[Day]]-Days_back),mu_t,sigma_t,TRUE),0)</f>
        <v>0</v>
      </c>
      <c r="G17" s="147">
        <f>Tabella8[[#This Row],[Spain cum. fit]]/Kt</f>
        <v>0</v>
      </c>
      <c r="H17" s="324">
        <f>Tabella8[[#This Row],[Spain cum. fit]]*NOT(ISBLANK(Tabella8[[#This Row],[Spain cum. Cases]]))</f>
        <v>0</v>
      </c>
      <c r="I17" s="10">
        <f>Tabella8[[#This Row],[Spain cum. fit]]+CIt</f>
        <v>8706.1787626415862</v>
      </c>
      <c r="J17" s="10">
        <f>MAX(Tabella8[[#This Row],[Spain cum. fit]]-CIt,0)</f>
        <v>0</v>
      </c>
      <c r="K17" s="153"/>
      <c r="L17" s="10">
        <f>Tabella8[[#This Row],[Lombardy]]*NOT(ISBLANK(Tabella8[[#This Row],[Lombardy]]))</f>
        <v>0</v>
      </c>
      <c r="M17" s="123">
        <f>IFERROR(Kr*_xlfn.LOGNORM.DIST((Tabella8[[#This Row],[Day]]-pr),mu_r,sigma_r,TRUE),0)</f>
        <v>0</v>
      </c>
      <c r="N17" s="123">
        <f>Tabella8[[#This Row],[Lombardy fit]]/Kr</f>
        <v>0</v>
      </c>
      <c r="O17" s="10">
        <f>Tabella8[[#This Row],[Lombardy fit]]*NOT(ISBLANK(Tabella8[[#This Row],[Lombardy]]))</f>
        <v>0</v>
      </c>
      <c r="P17" s="10" t="e">
        <f>Tabella8[[#This Row],[Lombardy fit]]+CIr</f>
        <v>#NUM!</v>
      </c>
      <c r="Q17" s="10" t="e">
        <f>MAX(Tabella8[[#This Row],[Lombardy fit]]-CIr,0)</f>
        <v>#NUM!</v>
      </c>
      <c r="R17" s="155"/>
      <c r="S17" s="10">
        <f>Tabella8[[#This Row],[rest of Italy ]]*NOT(ISBLANK(Tabella8[[#This Row],[rest of Italy ]]))</f>
        <v>0</v>
      </c>
      <c r="T17" s="124">
        <f>IFERROR(Ko*_xlfn.LOGNORM.DIST((Tabella8[[#This Row],[Day]]-po),mu_o,sigma_o,TRUE),0)</f>
        <v>0</v>
      </c>
      <c r="U17" s="124">
        <f>Tabella8[[#This Row],[rest of Italy fit]]/Ko</f>
        <v>0</v>
      </c>
      <c r="V17" s="22">
        <f>Tabella8[[#This Row],[rest of Italy fit]]*NOT(ISBLANK(Tabella8[[#This Row],[rest of Italy ]]))</f>
        <v>0</v>
      </c>
      <c r="W17" s="10">
        <f>Tabella8[[#This Row],[rest of Italy fit]]+CIo</f>
        <v>104195.92689792225</v>
      </c>
      <c r="X17" s="10">
        <f>MAX(Tabella8[[#This Row],[rest of Italy fit]]-CIo,0)</f>
        <v>0</v>
      </c>
      <c r="Y17" s="1"/>
      <c r="Z17" s="25" t="s">
        <v>45</v>
      </c>
      <c r="AA17" s="26"/>
      <c r="AO17" s="69"/>
      <c r="AU17" s="83"/>
      <c r="AV17" s="83"/>
      <c r="AX17" s="32"/>
      <c r="AY17" s="32"/>
      <c r="BA17" s="86"/>
      <c r="BB17" s="86"/>
      <c r="BD17" s="2"/>
      <c r="BE17" s="2"/>
    </row>
    <row r="18" spans="2:57" x14ac:dyDescent="0.3">
      <c r="B18" s="149">
        <v>43841</v>
      </c>
      <c r="C18" s="4">
        <v>11</v>
      </c>
      <c r="D18" s="311"/>
      <c r="E18" s="10">
        <f>Tabella8[[#This Row],[Spain cum. Cases]]*NOT(ISBLANK(Tabella8[[#This Row],[Spain cum. Cases]]))</f>
        <v>0</v>
      </c>
      <c r="F18" s="146">
        <f>IFERROR(Kt*_xlfn.LOGNORM.DIST((Tabella8[[#This Row],[Day]]-Days_back),mu_t,sigma_t,TRUE),0)</f>
        <v>0</v>
      </c>
      <c r="G18" s="147">
        <f>Tabella8[[#This Row],[Spain cum. fit]]/Kt</f>
        <v>0</v>
      </c>
      <c r="H18" s="324">
        <f>Tabella8[[#This Row],[Spain cum. fit]]*NOT(ISBLANK(Tabella8[[#This Row],[Spain cum. Cases]]))</f>
        <v>0</v>
      </c>
      <c r="I18" s="10">
        <f>Tabella8[[#This Row],[Spain cum. fit]]+CIt</f>
        <v>8706.1787626415862</v>
      </c>
      <c r="J18" s="10">
        <f>MAX(Tabella8[[#This Row],[Spain cum. fit]]-CIt,0)</f>
        <v>0</v>
      </c>
      <c r="K18" s="153"/>
      <c r="L18" s="10">
        <f>Tabella8[[#This Row],[Lombardy]]*NOT(ISBLANK(Tabella8[[#This Row],[Lombardy]]))</f>
        <v>0</v>
      </c>
      <c r="M18" s="123">
        <f>IFERROR(Kr*_xlfn.LOGNORM.DIST((Tabella8[[#This Row],[Day]]-pr),mu_r,sigma_r,TRUE),0)</f>
        <v>0</v>
      </c>
      <c r="N18" s="123">
        <f>Tabella8[[#This Row],[Lombardy fit]]/Kr</f>
        <v>0</v>
      </c>
      <c r="O18" s="10">
        <f>Tabella8[[#This Row],[Lombardy fit]]*NOT(ISBLANK(Tabella8[[#This Row],[Lombardy]]))</f>
        <v>0</v>
      </c>
      <c r="P18" s="10" t="e">
        <f>Tabella8[[#This Row],[Lombardy fit]]+CIr</f>
        <v>#NUM!</v>
      </c>
      <c r="Q18" s="10" t="e">
        <f>MAX(Tabella8[[#This Row],[Lombardy fit]]-CIr,0)</f>
        <v>#NUM!</v>
      </c>
      <c r="R18" s="155"/>
      <c r="S18" s="10">
        <f>Tabella8[[#This Row],[rest of Italy ]]*NOT(ISBLANK(Tabella8[[#This Row],[rest of Italy ]]))</f>
        <v>0</v>
      </c>
      <c r="T18" s="124">
        <f>IFERROR(Ko*_xlfn.LOGNORM.DIST((Tabella8[[#This Row],[Day]]-po),mu_o,sigma_o,TRUE),0)</f>
        <v>0</v>
      </c>
      <c r="U18" s="124">
        <f>Tabella8[[#This Row],[rest of Italy fit]]/Ko</f>
        <v>0</v>
      </c>
      <c r="V18" s="22">
        <f>Tabella8[[#This Row],[rest of Italy fit]]*NOT(ISBLANK(Tabella8[[#This Row],[rest of Italy ]]))</f>
        <v>0</v>
      </c>
      <c r="W18" s="10">
        <f>Tabella8[[#This Row],[rest of Italy fit]]+CIo</f>
        <v>104195.92689792225</v>
      </c>
      <c r="X18" s="10">
        <f>MAX(Tabella8[[#This Row],[rest of Italy fit]]-CIo,0)</f>
        <v>0</v>
      </c>
      <c r="Y18" s="1"/>
      <c r="Z18" s="29" t="s">
        <v>13</v>
      </c>
      <c r="AA18" s="2" t="s">
        <v>32</v>
      </c>
      <c r="AO18" s="41" t="e">
        <f>MAX($AA$25)</f>
        <v>#DIV/0!</v>
      </c>
      <c r="AU18" s="83"/>
      <c r="AV18" s="83"/>
      <c r="AX18" s="32"/>
      <c r="AY18" s="32"/>
      <c r="BA18" s="86"/>
      <c r="BB18" s="86"/>
      <c r="BD18" s="2"/>
      <c r="BE18" s="2"/>
    </row>
    <row r="19" spans="2:57" x14ac:dyDescent="0.3">
      <c r="B19" s="149">
        <v>43842</v>
      </c>
      <c r="C19" s="4">
        <v>12</v>
      </c>
      <c r="D19" s="311"/>
      <c r="E19" s="10">
        <f>Tabella8[[#This Row],[Spain cum. Cases]]*NOT(ISBLANK(Tabella8[[#This Row],[Spain cum. Cases]]))</f>
        <v>0</v>
      </c>
      <c r="F19" s="146">
        <f>IFERROR(Kt*_xlfn.LOGNORM.DIST((Tabella8[[#This Row],[Day]]-Days_back),mu_t,sigma_t,TRUE),0)</f>
        <v>0</v>
      </c>
      <c r="G19" s="147">
        <f>Tabella8[[#This Row],[Spain cum. fit]]/Kt</f>
        <v>0</v>
      </c>
      <c r="H19" s="324">
        <f>Tabella8[[#This Row],[Spain cum. fit]]*NOT(ISBLANK(Tabella8[[#This Row],[Spain cum. Cases]]))</f>
        <v>0</v>
      </c>
      <c r="I19" s="10">
        <f>Tabella8[[#This Row],[Spain cum. fit]]+CIt</f>
        <v>8706.1787626415862</v>
      </c>
      <c r="J19" s="10">
        <f>MAX(Tabella8[[#This Row],[Spain cum. fit]]-CIt,0)</f>
        <v>0</v>
      </c>
      <c r="K19" s="153"/>
      <c r="L19" s="10">
        <f>Tabella8[[#This Row],[Lombardy]]*NOT(ISBLANK(Tabella8[[#This Row],[Lombardy]]))</f>
        <v>0</v>
      </c>
      <c r="M19" s="123">
        <f>IFERROR(Kr*_xlfn.LOGNORM.DIST((Tabella8[[#This Row],[Day]]-pr),mu_r,sigma_r,TRUE),0)</f>
        <v>0</v>
      </c>
      <c r="N19" s="123">
        <f>Tabella8[[#This Row],[Lombardy fit]]/Kr</f>
        <v>0</v>
      </c>
      <c r="O19" s="10">
        <f>Tabella8[[#This Row],[Lombardy fit]]*NOT(ISBLANK(Tabella8[[#This Row],[Lombardy]]))</f>
        <v>0</v>
      </c>
      <c r="P19" s="10" t="e">
        <f>Tabella8[[#This Row],[Lombardy fit]]+CIr</f>
        <v>#NUM!</v>
      </c>
      <c r="Q19" s="10" t="e">
        <f>MAX(Tabella8[[#This Row],[Lombardy fit]]-CIr,0)</f>
        <v>#NUM!</v>
      </c>
      <c r="R19" s="155"/>
      <c r="S19" s="10">
        <f>Tabella8[[#This Row],[rest of Italy ]]*NOT(ISBLANK(Tabella8[[#This Row],[rest of Italy ]]))</f>
        <v>0</v>
      </c>
      <c r="T19" s="124">
        <f>IFERROR(Ko*_xlfn.LOGNORM.DIST((Tabella8[[#This Row],[Day]]-po),mu_o,sigma_o,TRUE),0)</f>
        <v>0</v>
      </c>
      <c r="U19" s="124">
        <f>Tabella8[[#This Row],[rest of Italy fit]]/Ko</f>
        <v>0</v>
      </c>
      <c r="V19" s="22">
        <f>Tabella8[[#This Row],[rest of Italy fit]]*NOT(ISBLANK(Tabella8[[#This Row],[rest of Italy ]]))</f>
        <v>0</v>
      </c>
      <c r="W19" s="10">
        <f>Tabella8[[#This Row],[rest of Italy fit]]+CIo</f>
        <v>104195.92689792225</v>
      </c>
      <c r="X19" s="10">
        <f>MAX(Tabella8[[#This Row],[rest of Italy fit]]-CIo,0)</f>
        <v>0</v>
      </c>
      <c r="Y19" s="1"/>
      <c r="Z19" s="14" t="s">
        <v>0</v>
      </c>
      <c r="AA19" s="5">
        <v>87000</v>
      </c>
      <c r="AO19" s="42">
        <f>COUNT($AA$19,$AA$20,$AA$21,$AA$28)</f>
        <v>4</v>
      </c>
      <c r="AU19" s="83"/>
      <c r="AV19" s="83"/>
      <c r="AX19" s="32"/>
      <c r="AY19" s="32"/>
      <c r="BA19" s="86"/>
      <c r="BB19" s="86"/>
      <c r="BD19" s="2"/>
      <c r="BE19" s="2"/>
    </row>
    <row r="20" spans="2:57" x14ac:dyDescent="0.3">
      <c r="B20" s="149">
        <v>43843</v>
      </c>
      <c r="C20" s="4">
        <v>13</v>
      </c>
      <c r="D20" s="311"/>
      <c r="E20" s="10">
        <f>Tabella8[[#This Row],[Spain cum. Cases]]*NOT(ISBLANK(Tabella8[[#This Row],[Spain cum. Cases]]))</f>
        <v>0</v>
      </c>
      <c r="F20" s="146">
        <f>IFERROR(Kt*_xlfn.LOGNORM.DIST((Tabella8[[#This Row],[Day]]-Days_back),mu_t,sigma_t,TRUE),0)</f>
        <v>0</v>
      </c>
      <c r="G20" s="147">
        <f>Tabella8[[#This Row],[Spain cum. fit]]/Kt</f>
        <v>0</v>
      </c>
      <c r="H20" s="324">
        <f>Tabella8[[#This Row],[Spain cum. fit]]*NOT(ISBLANK(Tabella8[[#This Row],[Spain cum. Cases]]))</f>
        <v>0</v>
      </c>
      <c r="I20" s="10">
        <f>Tabella8[[#This Row],[Spain cum. fit]]+CIt</f>
        <v>8706.1787626415862</v>
      </c>
      <c r="J20" s="10">
        <f>MAX(Tabella8[[#This Row],[Spain cum. fit]]-CIt,0)</f>
        <v>0</v>
      </c>
      <c r="K20" s="153"/>
      <c r="L20" s="10">
        <f>Tabella8[[#This Row],[Lombardy]]*NOT(ISBLANK(Tabella8[[#This Row],[Lombardy]]))</f>
        <v>0</v>
      </c>
      <c r="M20" s="123">
        <f>IFERROR(Kr*_xlfn.LOGNORM.DIST((Tabella8[[#This Row],[Day]]-pr),mu_r,sigma_r,TRUE),0)</f>
        <v>0</v>
      </c>
      <c r="N20" s="123">
        <f>Tabella8[[#This Row],[Lombardy fit]]/Kr</f>
        <v>0</v>
      </c>
      <c r="O20" s="10">
        <f>Tabella8[[#This Row],[Lombardy fit]]*NOT(ISBLANK(Tabella8[[#This Row],[Lombardy]]))</f>
        <v>0</v>
      </c>
      <c r="P20" s="10" t="e">
        <f>Tabella8[[#This Row],[Lombardy fit]]+CIr</f>
        <v>#NUM!</v>
      </c>
      <c r="Q20" s="10" t="e">
        <f>MAX(Tabella8[[#This Row],[Lombardy fit]]-CIr,0)</f>
        <v>#NUM!</v>
      </c>
      <c r="R20" s="155"/>
      <c r="S20" s="10">
        <f>Tabella8[[#This Row],[rest of Italy ]]*NOT(ISBLANK(Tabella8[[#This Row],[rest of Italy ]]))</f>
        <v>0</v>
      </c>
      <c r="T20" s="124">
        <f>IFERROR(Ko*_xlfn.LOGNORM.DIST((Tabella8[[#This Row],[Day]]-po),mu_o,sigma_o,TRUE),0)</f>
        <v>0</v>
      </c>
      <c r="U20" s="124">
        <f>Tabella8[[#This Row],[rest of Italy fit]]/Ko</f>
        <v>0</v>
      </c>
      <c r="V20" s="22">
        <f>Tabella8[[#This Row],[rest of Italy fit]]*NOT(ISBLANK(Tabella8[[#This Row],[rest of Italy ]]))</f>
        <v>0</v>
      </c>
      <c r="W20" s="10">
        <f>Tabella8[[#This Row],[rest of Italy fit]]+CIo</f>
        <v>104195.92689792225</v>
      </c>
      <c r="X20" s="10">
        <f>MAX(Tabella8[[#This Row],[rest of Italy fit]]-CIo,0)</f>
        <v>0</v>
      </c>
      <c r="Y20" s="1"/>
      <c r="Z20" s="101" t="s">
        <v>63</v>
      </c>
      <c r="AA20" s="30">
        <v>4.1183177467413179</v>
      </c>
      <c r="AO20" s="42" t="b">
        <f>sigma_r&gt;=0.000001</f>
        <v>1</v>
      </c>
      <c r="AU20" s="83"/>
      <c r="AV20" s="83"/>
      <c r="AX20" s="32"/>
      <c r="AY20" s="32"/>
      <c r="BA20" s="86"/>
      <c r="BB20" s="86"/>
      <c r="BD20" s="2"/>
      <c r="BE20" s="2"/>
    </row>
    <row r="21" spans="2:57" x14ac:dyDescent="0.3">
      <c r="B21" s="149">
        <v>43844</v>
      </c>
      <c r="C21" s="4">
        <v>14</v>
      </c>
      <c r="D21" s="311"/>
      <c r="E21" s="10">
        <f>Tabella8[[#This Row],[Spain cum. Cases]]*NOT(ISBLANK(Tabella8[[#This Row],[Spain cum. Cases]]))</f>
        <v>0</v>
      </c>
      <c r="F21" s="146">
        <f>IFERROR(Kt*_xlfn.LOGNORM.DIST((Tabella8[[#This Row],[Day]]-Days_back),mu_t,sigma_t,TRUE),0)</f>
        <v>0</v>
      </c>
      <c r="G21" s="147">
        <f>Tabella8[[#This Row],[Spain cum. fit]]/Kt</f>
        <v>0</v>
      </c>
      <c r="H21" s="324">
        <f>Tabella8[[#This Row],[Spain cum. fit]]*NOT(ISBLANK(Tabella8[[#This Row],[Spain cum. Cases]]))</f>
        <v>0</v>
      </c>
      <c r="I21" s="10">
        <f>Tabella8[[#This Row],[Spain cum. fit]]+CIt</f>
        <v>8706.1787626415862</v>
      </c>
      <c r="J21" s="10">
        <f>MAX(Tabella8[[#This Row],[Spain cum. fit]]-CIt,0)</f>
        <v>0</v>
      </c>
      <c r="K21" s="153"/>
      <c r="L21" s="10">
        <f>Tabella8[[#This Row],[Lombardy]]*NOT(ISBLANK(Tabella8[[#This Row],[Lombardy]]))</f>
        <v>0</v>
      </c>
      <c r="M21" s="123">
        <f>IFERROR(Kr*_xlfn.LOGNORM.DIST((Tabella8[[#This Row],[Day]]-pr),mu_r,sigma_r,TRUE),0)</f>
        <v>0</v>
      </c>
      <c r="N21" s="123">
        <f>Tabella8[[#This Row],[Lombardy fit]]/Kr</f>
        <v>0</v>
      </c>
      <c r="O21" s="10">
        <f>Tabella8[[#This Row],[Lombardy fit]]*NOT(ISBLANK(Tabella8[[#This Row],[Lombardy]]))</f>
        <v>0</v>
      </c>
      <c r="P21" s="10" t="e">
        <f>Tabella8[[#This Row],[Lombardy fit]]+CIr</f>
        <v>#NUM!</v>
      </c>
      <c r="Q21" s="10" t="e">
        <f>MAX(Tabella8[[#This Row],[Lombardy fit]]-CIr,0)</f>
        <v>#NUM!</v>
      </c>
      <c r="R21" s="155"/>
      <c r="S21" s="10">
        <f>Tabella8[[#This Row],[rest of Italy ]]*NOT(ISBLANK(Tabella8[[#This Row],[rest of Italy ]]))</f>
        <v>0</v>
      </c>
      <c r="T21" s="124">
        <f>IFERROR(Ko*_xlfn.LOGNORM.DIST((Tabella8[[#This Row],[Day]]-po),mu_o,sigma_o,TRUE),0)</f>
        <v>0</v>
      </c>
      <c r="U21" s="124">
        <f>Tabella8[[#This Row],[rest of Italy fit]]/Ko</f>
        <v>0</v>
      </c>
      <c r="V21" s="22">
        <f>Tabella8[[#This Row],[rest of Italy fit]]*NOT(ISBLANK(Tabella8[[#This Row],[rest of Italy ]]))</f>
        <v>0</v>
      </c>
      <c r="W21" s="10">
        <f>Tabella8[[#This Row],[rest of Italy fit]]+CIo</f>
        <v>104195.92689792225</v>
      </c>
      <c r="X21" s="10">
        <f>MAX(Tabella8[[#This Row],[rest of Italy fit]]-CIo,0)</f>
        <v>0</v>
      </c>
      <c r="Y21" s="1"/>
      <c r="Z21" s="14" t="s">
        <v>64</v>
      </c>
      <c r="AA21" s="30">
        <v>0.3404272985968646</v>
      </c>
      <c r="AO21" s="42">
        <f>{32767;32767;0.000001;0.01;FALSE;TRUE;FALSE;1;2;1;0.0001;TRUE}</f>
        <v>32767</v>
      </c>
      <c r="AU21" s="83"/>
      <c r="AV21" s="83"/>
      <c r="AX21" s="32"/>
      <c r="AY21" s="32"/>
      <c r="BA21" s="86"/>
      <c r="BB21" s="86"/>
      <c r="BD21" s="2"/>
      <c r="BE21" s="2"/>
    </row>
    <row r="22" spans="2:57" x14ac:dyDescent="0.3">
      <c r="B22" s="149">
        <v>43845</v>
      </c>
      <c r="C22" s="4">
        <v>15</v>
      </c>
      <c r="D22" s="311"/>
      <c r="E22" s="10">
        <f>Tabella8[[#This Row],[Spain cum. Cases]]*NOT(ISBLANK(Tabella8[[#This Row],[Spain cum. Cases]]))</f>
        <v>0</v>
      </c>
      <c r="F22" s="146">
        <f>IFERROR(Kt*_xlfn.LOGNORM.DIST((Tabella8[[#This Row],[Day]]-Days_back),mu_t,sigma_t,TRUE),0)</f>
        <v>0</v>
      </c>
      <c r="G22" s="147">
        <f>Tabella8[[#This Row],[Spain cum. fit]]/Kt</f>
        <v>0</v>
      </c>
      <c r="H22" s="324">
        <f>Tabella8[[#This Row],[Spain cum. fit]]*NOT(ISBLANK(Tabella8[[#This Row],[Spain cum. Cases]]))</f>
        <v>0</v>
      </c>
      <c r="I22" s="10">
        <f>Tabella8[[#This Row],[Spain cum. fit]]+CIt</f>
        <v>8706.1787626415862</v>
      </c>
      <c r="J22" s="10">
        <f>MAX(Tabella8[[#This Row],[Spain cum. fit]]-CIt,0)</f>
        <v>0</v>
      </c>
      <c r="K22" s="153"/>
      <c r="L22" s="10">
        <f>Tabella8[[#This Row],[Lombardy]]*NOT(ISBLANK(Tabella8[[#This Row],[Lombardy]]))</f>
        <v>0</v>
      </c>
      <c r="M22" s="123">
        <f>IFERROR(Kr*_xlfn.LOGNORM.DIST((Tabella8[[#This Row],[Day]]-pr),mu_r,sigma_r,TRUE),0)</f>
        <v>0</v>
      </c>
      <c r="N22" s="123">
        <f>Tabella8[[#This Row],[Lombardy fit]]/Kr</f>
        <v>0</v>
      </c>
      <c r="O22" s="10">
        <f>Tabella8[[#This Row],[Lombardy fit]]*NOT(ISBLANK(Tabella8[[#This Row],[Lombardy]]))</f>
        <v>0</v>
      </c>
      <c r="P22" s="10" t="e">
        <f>Tabella8[[#This Row],[Lombardy fit]]+CIr</f>
        <v>#NUM!</v>
      </c>
      <c r="Q22" s="10" t="e">
        <f>MAX(Tabella8[[#This Row],[Lombardy fit]]-CIr,0)</f>
        <v>#NUM!</v>
      </c>
      <c r="R22" s="155"/>
      <c r="S22" s="10">
        <f>Tabella8[[#This Row],[rest of Italy ]]*NOT(ISBLANK(Tabella8[[#This Row],[rest of Italy ]]))</f>
        <v>0</v>
      </c>
      <c r="T22" s="124">
        <f>IFERROR(Ko*_xlfn.LOGNORM.DIST((Tabella8[[#This Row],[Day]]-po),mu_o,sigma_o,TRUE),0)</f>
        <v>0</v>
      </c>
      <c r="U22" s="124">
        <f>Tabella8[[#This Row],[rest of Italy fit]]/Ko</f>
        <v>0</v>
      </c>
      <c r="V22" s="22">
        <f>Tabella8[[#This Row],[rest of Italy fit]]*NOT(ISBLANK(Tabella8[[#This Row],[rest of Italy ]]))</f>
        <v>0</v>
      </c>
      <c r="W22" s="10">
        <f>Tabella8[[#This Row],[rest of Italy fit]]+CIo</f>
        <v>104195.92689792225</v>
      </c>
      <c r="X22" s="10">
        <f>MAX(Tabella8[[#This Row],[rest of Italy fit]]-CIo,0)</f>
        <v>0</v>
      </c>
      <c r="Y22" s="1"/>
      <c r="Z22" s="2" t="s">
        <v>1</v>
      </c>
      <c r="AA22" s="1" t="e">
        <f>AVERAGE(Tabella8[Lombardy])</f>
        <v>#DIV/0!</v>
      </c>
      <c r="AO22" s="42">
        <f>{0;0;1;200;0;FALSE;FALSE;0.075;0;0;FALSE;30}</f>
        <v>0</v>
      </c>
      <c r="AU22" s="83"/>
      <c r="AV22" s="83"/>
      <c r="AX22" s="32"/>
      <c r="AY22" s="32"/>
      <c r="BA22" s="86"/>
      <c r="BB22" s="86"/>
      <c r="BD22" s="2"/>
      <c r="BE22" s="2"/>
    </row>
    <row r="23" spans="2:57" x14ac:dyDescent="0.3">
      <c r="B23" s="149">
        <v>43846</v>
      </c>
      <c r="C23" s="4">
        <v>16</v>
      </c>
      <c r="D23" s="311"/>
      <c r="E23" s="10">
        <f>Tabella8[[#This Row],[Spain cum. Cases]]*NOT(ISBLANK(Tabella8[[#This Row],[Spain cum. Cases]]))</f>
        <v>0</v>
      </c>
      <c r="F23" s="146">
        <f>IFERROR(Kt*_xlfn.LOGNORM.DIST((Tabella8[[#This Row],[Day]]-Days_back),mu_t,sigma_t,TRUE),0)</f>
        <v>0</v>
      </c>
      <c r="G23" s="147">
        <f>Tabella8[[#This Row],[Spain cum. fit]]/Kt</f>
        <v>0</v>
      </c>
      <c r="H23" s="324">
        <f>Tabella8[[#This Row],[Spain cum. fit]]*NOT(ISBLANK(Tabella8[[#This Row],[Spain cum. Cases]]))</f>
        <v>0</v>
      </c>
      <c r="I23" s="10">
        <f>Tabella8[[#This Row],[Spain cum. fit]]+CIt</f>
        <v>8706.1787626415862</v>
      </c>
      <c r="J23" s="10">
        <f>MAX(Tabella8[[#This Row],[Spain cum. fit]]-CIt,0)</f>
        <v>0</v>
      </c>
      <c r="K23" s="153"/>
      <c r="L23" s="10">
        <f>Tabella8[[#This Row],[Lombardy]]*NOT(ISBLANK(Tabella8[[#This Row],[Lombardy]]))</f>
        <v>0</v>
      </c>
      <c r="M23" s="123">
        <f>IFERROR(Kr*_xlfn.LOGNORM.DIST((Tabella8[[#This Row],[Day]]-pr),mu_r,sigma_r,TRUE),0)</f>
        <v>0</v>
      </c>
      <c r="N23" s="123">
        <f>Tabella8[[#This Row],[Lombardy fit]]/Kr</f>
        <v>0</v>
      </c>
      <c r="O23" s="10">
        <f>Tabella8[[#This Row],[Lombardy fit]]*NOT(ISBLANK(Tabella8[[#This Row],[Lombardy]]))</f>
        <v>0</v>
      </c>
      <c r="P23" s="10" t="e">
        <f>Tabella8[[#This Row],[Lombardy fit]]+CIr</f>
        <v>#NUM!</v>
      </c>
      <c r="Q23" s="10" t="e">
        <f>MAX(Tabella8[[#This Row],[Lombardy fit]]-CIr,0)</f>
        <v>#NUM!</v>
      </c>
      <c r="R23" s="155"/>
      <c r="S23" s="10">
        <f>Tabella8[[#This Row],[rest of Italy ]]*NOT(ISBLANK(Tabella8[[#This Row],[rest of Italy ]]))</f>
        <v>0</v>
      </c>
      <c r="T23" s="124">
        <f>IFERROR(Ko*_xlfn.LOGNORM.DIST((Tabella8[[#This Row],[Day]]-po),mu_o,sigma_o,TRUE),0)</f>
        <v>0</v>
      </c>
      <c r="U23" s="124">
        <f>Tabella8[[#This Row],[rest of Italy fit]]/Ko</f>
        <v>0</v>
      </c>
      <c r="V23" s="22">
        <f>Tabella8[[#This Row],[rest of Italy fit]]*NOT(ISBLANK(Tabella8[[#This Row],[rest of Italy ]]))</f>
        <v>0</v>
      </c>
      <c r="W23" s="10">
        <f>Tabella8[[#This Row],[rest of Italy fit]]+CIo</f>
        <v>104195.92689792225</v>
      </c>
      <c r="X23" s="10">
        <f>MAX(Tabella8[[#This Row],[rest of Italy fit]]-CIo,0)</f>
        <v>0</v>
      </c>
      <c r="Y23" s="1"/>
      <c r="Z23" s="2" t="s">
        <v>2</v>
      </c>
      <c r="AA23" s="1">
        <f>COUNT(Tabella8[Lombardy])-COUNT(AA19:AA21)</f>
        <v>-3</v>
      </c>
      <c r="AO23" s="43">
        <f>{0;0;1;200;0;FALSE;FALSE;0.075;0;0;FALSE;30}</f>
        <v>0</v>
      </c>
      <c r="AU23" s="83"/>
      <c r="AV23" s="83"/>
      <c r="AX23" s="32"/>
      <c r="AY23" s="32"/>
      <c r="BA23" s="86"/>
      <c r="BB23" s="86"/>
      <c r="BD23" s="2"/>
      <c r="BE23" s="2"/>
    </row>
    <row r="24" spans="2:57" x14ac:dyDescent="0.3">
      <c r="B24" s="149">
        <v>43847</v>
      </c>
      <c r="C24" s="4">
        <v>17</v>
      </c>
      <c r="D24" s="311"/>
      <c r="E24" s="10">
        <f>Tabella8[[#This Row],[Spain cum. Cases]]*NOT(ISBLANK(Tabella8[[#This Row],[Spain cum. Cases]]))</f>
        <v>0</v>
      </c>
      <c r="F24" s="146">
        <f>IFERROR(Kt*_xlfn.LOGNORM.DIST((Tabella8[[#This Row],[Day]]-Days_back),mu_t,sigma_t,TRUE),0)</f>
        <v>0</v>
      </c>
      <c r="G24" s="147">
        <f>Tabella8[[#This Row],[Spain cum. fit]]/Kt</f>
        <v>0</v>
      </c>
      <c r="H24" s="324">
        <f>Tabella8[[#This Row],[Spain cum. fit]]*NOT(ISBLANK(Tabella8[[#This Row],[Spain cum. Cases]]))</f>
        <v>0</v>
      </c>
      <c r="I24" s="10">
        <f>Tabella8[[#This Row],[Spain cum. fit]]+CIt</f>
        <v>8706.1787626415862</v>
      </c>
      <c r="J24" s="10">
        <f>MAX(Tabella8[[#This Row],[Spain cum. fit]]-CIt,0)</f>
        <v>0</v>
      </c>
      <c r="K24" s="153"/>
      <c r="L24" s="10">
        <f>Tabella8[[#This Row],[Lombardy]]*NOT(ISBLANK(Tabella8[[#This Row],[Lombardy]]))</f>
        <v>0</v>
      </c>
      <c r="M24" s="123">
        <f>IFERROR(Kr*_xlfn.LOGNORM.DIST((Tabella8[[#This Row],[Day]]-pr),mu_r,sigma_r,TRUE),0)</f>
        <v>0</v>
      </c>
      <c r="N24" s="123">
        <f>Tabella8[[#This Row],[Lombardy fit]]/Kr</f>
        <v>0</v>
      </c>
      <c r="O24" s="10">
        <f>Tabella8[[#This Row],[Lombardy fit]]*NOT(ISBLANK(Tabella8[[#This Row],[Lombardy]]))</f>
        <v>0</v>
      </c>
      <c r="P24" s="10" t="e">
        <f>Tabella8[[#This Row],[Lombardy fit]]+CIr</f>
        <v>#NUM!</v>
      </c>
      <c r="Q24" s="10" t="e">
        <f>MAX(Tabella8[[#This Row],[Lombardy fit]]-CIr,0)</f>
        <v>#NUM!</v>
      </c>
      <c r="R24" s="155"/>
      <c r="S24" s="10">
        <f>Tabella8[[#This Row],[rest of Italy ]]*NOT(ISBLANK(Tabella8[[#This Row],[rest of Italy ]]))</f>
        <v>0</v>
      </c>
      <c r="T24" s="124">
        <f>IFERROR(Ko*_xlfn.LOGNORM.DIST((Tabella8[[#This Row],[Day]]-po),mu_o,sigma_o,TRUE),0)</f>
        <v>0</v>
      </c>
      <c r="U24" s="124">
        <f>Tabella8[[#This Row],[rest of Italy fit]]/Ko</f>
        <v>0</v>
      </c>
      <c r="V24" s="22">
        <f>Tabella8[[#This Row],[rest of Italy fit]]*NOT(ISBLANK(Tabella8[[#This Row],[rest of Italy ]]))</f>
        <v>0</v>
      </c>
      <c r="W24" s="10">
        <f>Tabella8[[#This Row],[rest of Italy fit]]+CIo</f>
        <v>104195.92689792225</v>
      </c>
      <c r="X24" s="10">
        <f>MAX(Tabella8[[#This Row],[rest of Italy fit]]-CIo,0)</f>
        <v>0</v>
      </c>
      <c r="Y24" s="1"/>
      <c r="Z24" s="2" t="s">
        <v>3</v>
      </c>
      <c r="AA24" s="6" cm="1">
        <f t="array" ref="AA24">SQRT(SUM((Tabella8[Colonna4]-Tabella8[Colonna5])^2)/dfr)</f>
        <v>0</v>
      </c>
      <c r="AO24" s="44"/>
      <c r="AU24" s="83"/>
      <c r="AV24" s="83"/>
      <c r="AX24" s="32"/>
      <c r="AY24" s="32"/>
      <c r="BA24" s="86"/>
      <c r="BB24" s="86"/>
      <c r="BD24" s="2"/>
      <c r="BE24" s="2"/>
    </row>
    <row r="25" spans="2:57" ht="16.2" x14ac:dyDescent="0.3">
      <c r="B25" s="149">
        <v>43848</v>
      </c>
      <c r="C25" s="4">
        <v>18</v>
      </c>
      <c r="D25" s="311"/>
      <c r="E25" s="10">
        <f>Tabella8[[#This Row],[Spain cum. Cases]]*NOT(ISBLANK(Tabella8[[#This Row],[Spain cum. Cases]]))</f>
        <v>0</v>
      </c>
      <c r="F25" s="146">
        <f>IFERROR(Kt*_xlfn.LOGNORM.DIST((Tabella8[[#This Row],[Day]]-Days_back),mu_t,sigma_t,TRUE),0)</f>
        <v>0</v>
      </c>
      <c r="G25" s="147">
        <f>Tabella8[[#This Row],[Spain cum. fit]]/Kt</f>
        <v>0</v>
      </c>
      <c r="H25" s="324">
        <f>Tabella8[[#This Row],[Spain cum. fit]]*NOT(ISBLANK(Tabella8[[#This Row],[Spain cum. Cases]]))</f>
        <v>0</v>
      </c>
      <c r="I25" s="10">
        <f>Tabella8[[#This Row],[Spain cum. fit]]+CIt</f>
        <v>8706.1787626415862</v>
      </c>
      <c r="J25" s="10">
        <f>MAX(Tabella8[[#This Row],[Spain cum. fit]]-CIt,0)</f>
        <v>0</v>
      </c>
      <c r="K25" s="153"/>
      <c r="L25" s="10">
        <f>Tabella8[[#This Row],[Lombardy]]*NOT(ISBLANK(Tabella8[[#This Row],[Lombardy]]))</f>
        <v>0</v>
      </c>
      <c r="M25" s="123">
        <f>IFERROR(Kr*_xlfn.LOGNORM.DIST((Tabella8[[#This Row],[Day]]-pr),mu_r,sigma_r,TRUE),0)</f>
        <v>0</v>
      </c>
      <c r="N25" s="123">
        <f>Tabella8[[#This Row],[Lombardy fit]]/Kr</f>
        <v>0</v>
      </c>
      <c r="O25" s="10">
        <f>Tabella8[[#This Row],[Lombardy fit]]*NOT(ISBLANK(Tabella8[[#This Row],[Lombardy]]))</f>
        <v>0</v>
      </c>
      <c r="P25" s="10" t="e">
        <f>Tabella8[[#This Row],[Lombardy fit]]+CIr</f>
        <v>#NUM!</v>
      </c>
      <c r="Q25" s="10" t="e">
        <f>MAX(Tabella8[[#This Row],[Lombardy fit]]-CIr,0)</f>
        <v>#NUM!</v>
      </c>
      <c r="R25" s="155"/>
      <c r="S25" s="10">
        <f>Tabella8[[#This Row],[rest of Italy ]]*NOT(ISBLANK(Tabella8[[#This Row],[rest of Italy ]]))</f>
        <v>0</v>
      </c>
      <c r="T25" s="124">
        <f>IFERROR(Ko*_xlfn.LOGNORM.DIST((Tabella8[[#This Row],[Day]]-po),mu_o,sigma_o,TRUE),0)</f>
        <v>0</v>
      </c>
      <c r="U25" s="124">
        <f>Tabella8[[#This Row],[rest of Italy fit]]/Ko</f>
        <v>0</v>
      </c>
      <c r="V25" s="22">
        <f>Tabella8[[#This Row],[rest of Italy fit]]*NOT(ISBLANK(Tabella8[[#This Row],[rest of Italy ]]))</f>
        <v>0</v>
      </c>
      <c r="W25" s="10">
        <f>Tabella8[[#This Row],[rest of Italy fit]]+CIo</f>
        <v>104195.92689792225</v>
      </c>
      <c r="X25" s="10">
        <f>MAX(Tabella8[[#This Row],[rest of Italy fit]]-CIo,0)</f>
        <v>0</v>
      </c>
      <c r="Y25" s="1"/>
      <c r="Z25" s="2" t="s">
        <v>4</v>
      </c>
      <c r="AA25" s="7" t="e" cm="1">
        <f t="array" ref="AA25">1-SUM((Tabella8[Colonna4]-Tabella8[Colonna5])^2)/SUM((Tabella8[Colonna4]-Mean_of_yr)^2)</f>
        <v>#DIV/0!</v>
      </c>
      <c r="AO25" s="45"/>
      <c r="AU25" s="83"/>
      <c r="AV25" s="83"/>
      <c r="AX25" s="32"/>
      <c r="AY25" s="32"/>
      <c r="BA25" s="86"/>
      <c r="BB25" s="86"/>
      <c r="BD25" s="2"/>
      <c r="BE25" s="2"/>
    </row>
    <row r="26" spans="2:57" x14ac:dyDescent="0.3">
      <c r="B26" s="149">
        <v>43849</v>
      </c>
      <c r="C26" s="4">
        <v>19</v>
      </c>
      <c r="D26" s="311"/>
      <c r="E26" s="10">
        <f>Tabella8[[#This Row],[Spain cum. Cases]]*NOT(ISBLANK(Tabella8[[#This Row],[Spain cum. Cases]]))</f>
        <v>0</v>
      </c>
      <c r="F26" s="146">
        <f>IFERROR(Kt*_xlfn.LOGNORM.DIST((Tabella8[[#This Row],[Day]]-Days_back),mu_t,sigma_t,TRUE),0)</f>
        <v>0</v>
      </c>
      <c r="G26" s="147">
        <f>Tabella8[[#This Row],[Spain cum. fit]]/Kt</f>
        <v>0</v>
      </c>
      <c r="H26" s="324">
        <f>Tabella8[[#This Row],[Spain cum. fit]]*NOT(ISBLANK(Tabella8[[#This Row],[Spain cum. Cases]]))</f>
        <v>0</v>
      </c>
      <c r="I26" s="10">
        <f>Tabella8[[#This Row],[Spain cum. fit]]+CIt</f>
        <v>8706.1787626415862</v>
      </c>
      <c r="J26" s="10">
        <f>MAX(Tabella8[[#This Row],[Spain cum. fit]]-CIt,0)</f>
        <v>0</v>
      </c>
      <c r="K26" s="153"/>
      <c r="L26" s="10">
        <f>Tabella8[[#This Row],[Lombardy]]*NOT(ISBLANK(Tabella8[[#This Row],[Lombardy]]))</f>
        <v>0</v>
      </c>
      <c r="M26" s="123">
        <f>IFERROR(Kr*_xlfn.LOGNORM.DIST((Tabella8[[#This Row],[Day]]-pr),mu_r,sigma_r,TRUE),0)</f>
        <v>0</v>
      </c>
      <c r="N26" s="123">
        <f>Tabella8[[#This Row],[Lombardy fit]]/Kr</f>
        <v>0</v>
      </c>
      <c r="O26" s="10">
        <f>Tabella8[[#This Row],[Lombardy fit]]*NOT(ISBLANK(Tabella8[[#This Row],[Lombardy]]))</f>
        <v>0</v>
      </c>
      <c r="P26" s="10" t="e">
        <f>Tabella8[[#This Row],[Lombardy fit]]+CIr</f>
        <v>#NUM!</v>
      </c>
      <c r="Q26" s="10" t="e">
        <f>MAX(Tabella8[[#This Row],[Lombardy fit]]-CIr,0)</f>
        <v>#NUM!</v>
      </c>
      <c r="R26" s="155"/>
      <c r="S26" s="10">
        <f>Tabella8[[#This Row],[rest of Italy ]]*NOT(ISBLANK(Tabella8[[#This Row],[rest of Italy ]]))</f>
        <v>0</v>
      </c>
      <c r="T26" s="124">
        <f>IFERROR(Ko*_xlfn.LOGNORM.DIST((Tabella8[[#This Row],[Day]]-po),mu_o,sigma_o,TRUE),0)</f>
        <v>0</v>
      </c>
      <c r="U26" s="124">
        <f>Tabella8[[#This Row],[rest of Italy fit]]/Ko</f>
        <v>0</v>
      </c>
      <c r="V26" s="22">
        <f>Tabella8[[#This Row],[rest of Italy fit]]*NOT(ISBLANK(Tabella8[[#This Row],[rest of Italy ]]))</f>
        <v>0</v>
      </c>
      <c r="W26" s="10">
        <f>Tabella8[[#This Row],[rest of Italy fit]]+CIo</f>
        <v>104195.92689792225</v>
      </c>
      <c r="X26" s="10">
        <f>MAX(Tabella8[[#This Row],[rest of Italy fit]]-CIo,0)</f>
        <v>0</v>
      </c>
      <c r="Y26" s="1"/>
      <c r="Z26" s="2" t="s">
        <v>5</v>
      </c>
      <c r="AA26" s="7" t="e">
        <f>TINV(0.05,dfr)</f>
        <v>#NUM!</v>
      </c>
      <c r="AO26" s="45"/>
      <c r="AU26" s="83"/>
      <c r="AV26" s="83"/>
      <c r="AX26" s="32"/>
      <c r="AY26" s="32"/>
      <c r="BA26" s="86"/>
      <c r="BB26" s="86"/>
      <c r="BD26" s="2"/>
      <c r="BE26" s="2"/>
    </row>
    <row r="27" spans="2:57" ht="15" thickBot="1" x14ac:dyDescent="0.35">
      <c r="B27" s="149">
        <v>43850</v>
      </c>
      <c r="C27" s="4">
        <v>20</v>
      </c>
      <c r="D27" s="311"/>
      <c r="E27" s="10">
        <f>Tabella8[[#This Row],[Spain cum. Cases]]*NOT(ISBLANK(Tabella8[[#This Row],[Spain cum. Cases]]))</f>
        <v>0</v>
      </c>
      <c r="F27" s="146">
        <f>IFERROR(Kt*_xlfn.LOGNORM.DIST((Tabella8[[#This Row],[Day]]-Days_back),mu_t,sigma_t,TRUE),0)</f>
        <v>0</v>
      </c>
      <c r="G27" s="147">
        <f>Tabella8[[#This Row],[Spain cum. fit]]/Kt</f>
        <v>0</v>
      </c>
      <c r="H27" s="324">
        <f>Tabella8[[#This Row],[Spain cum. fit]]*NOT(ISBLANK(Tabella8[[#This Row],[Spain cum. Cases]]))</f>
        <v>0</v>
      </c>
      <c r="I27" s="10">
        <f>Tabella8[[#This Row],[Spain cum. fit]]+CIt</f>
        <v>8706.1787626415862</v>
      </c>
      <c r="J27" s="10">
        <f>MAX(Tabella8[[#This Row],[Spain cum. fit]]-CIt,0)</f>
        <v>0</v>
      </c>
      <c r="K27" s="153"/>
      <c r="L27" s="10">
        <f>Tabella8[[#This Row],[Lombardy]]*NOT(ISBLANK(Tabella8[[#This Row],[Lombardy]]))</f>
        <v>0</v>
      </c>
      <c r="M27" s="123">
        <f>IFERROR(Kr*_xlfn.LOGNORM.DIST((Tabella8[[#This Row],[Day]]-pr),mu_r,sigma_r,TRUE),0)</f>
        <v>0</v>
      </c>
      <c r="N27" s="123">
        <f>Tabella8[[#This Row],[Lombardy fit]]/Kr</f>
        <v>0</v>
      </c>
      <c r="O27" s="10">
        <f>Tabella8[[#This Row],[Lombardy fit]]*NOT(ISBLANK(Tabella8[[#This Row],[Lombardy]]))</f>
        <v>0</v>
      </c>
      <c r="P27" s="10" t="e">
        <f>Tabella8[[#This Row],[Lombardy fit]]+CIr</f>
        <v>#NUM!</v>
      </c>
      <c r="Q27" s="10" t="e">
        <f>MAX(Tabella8[[#This Row],[Lombardy fit]]-CIr,0)</f>
        <v>#NUM!</v>
      </c>
      <c r="R27" s="155"/>
      <c r="S27" s="10">
        <f>Tabella8[[#This Row],[rest of Italy ]]*NOT(ISBLANK(Tabella8[[#This Row],[rest of Italy ]]))</f>
        <v>0</v>
      </c>
      <c r="T27" s="124">
        <f>IFERROR(Ko*_xlfn.LOGNORM.DIST((Tabella8[[#This Row],[Day]]-po),mu_o,sigma_o,TRUE),0)</f>
        <v>0</v>
      </c>
      <c r="U27" s="124">
        <f>Tabella8[[#This Row],[rest of Italy fit]]/Ko</f>
        <v>0</v>
      </c>
      <c r="V27" s="22">
        <f>Tabella8[[#This Row],[rest of Italy fit]]*NOT(ISBLANK(Tabella8[[#This Row],[rest of Italy ]]))</f>
        <v>0</v>
      </c>
      <c r="W27" s="10">
        <f>Tabella8[[#This Row],[rest of Italy fit]]+CIo</f>
        <v>104195.92689792225</v>
      </c>
      <c r="X27" s="10">
        <f>MAX(Tabella8[[#This Row],[rest of Italy fit]]-CIo,0)</f>
        <v>0</v>
      </c>
      <c r="Y27" s="1"/>
      <c r="Z27" s="2" t="s">
        <v>6</v>
      </c>
      <c r="AA27" s="1" t="e">
        <f>Critical_tr*SE_of_yr</f>
        <v>#NUM!</v>
      </c>
      <c r="AO27" s="46"/>
      <c r="AU27" s="83"/>
      <c r="AV27" s="83"/>
      <c r="AX27" s="32"/>
      <c r="AY27" s="32"/>
      <c r="BA27" s="86"/>
      <c r="BB27" s="86"/>
      <c r="BD27" s="2"/>
      <c r="BE27" s="2"/>
    </row>
    <row r="28" spans="2:57" ht="15" thickTop="1" x14ac:dyDescent="0.3">
      <c r="B28" s="149">
        <v>43851</v>
      </c>
      <c r="C28" s="4">
        <v>21</v>
      </c>
      <c r="D28" s="311"/>
      <c r="E28" s="10">
        <f>Tabella8[[#This Row],[Spain cum. Cases]]*NOT(ISBLANK(Tabella8[[#This Row],[Spain cum. Cases]]))</f>
        <v>0</v>
      </c>
      <c r="F28" s="146">
        <f>IFERROR(Kt*_xlfn.LOGNORM.DIST((Tabella8[[#This Row],[Day]]-Days_back),mu_t,sigma_t,TRUE),0)</f>
        <v>0</v>
      </c>
      <c r="G28" s="147">
        <f>Tabella8[[#This Row],[Spain cum. fit]]/Kt</f>
        <v>0</v>
      </c>
      <c r="H28" s="324">
        <f>Tabella8[[#This Row],[Spain cum. fit]]*NOT(ISBLANK(Tabella8[[#This Row],[Spain cum. Cases]]))</f>
        <v>0</v>
      </c>
      <c r="I28" s="10">
        <f>Tabella8[[#This Row],[Spain cum. fit]]+CIt</f>
        <v>8706.1787626415862</v>
      </c>
      <c r="J28" s="10">
        <f>MAX(Tabella8[[#This Row],[Spain cum. fit]]-CIt,0)</f>
        <v>0</v>
      </c>
      <c r="K28" s="153"/>
      <c r="L28" s="10">
        <f>Tabella8[[#This Row],[Lombardy]]*NOT(ISBLANK(Tabella8[[#This Row],[Lombardy]]))</f>
        <v>0</v>
      </c>
      <c r="M28" s="123">
        <f>IFERROR(Kr*_xlfn.LOGNORM.DIST((Tabella8[[#This Row],[Day]]-pr),mu_r,sigma_r,TRUE),0)</f>
        <v>0</v>
      </c>
      <c r="N28" s="123">
        <f>Tabella8[[#This Row],[Lombardy fit]]/Kr</f>
        <v>0</v>
      </c>
      <c r="O28" s="10">
        <f>Tabella8[[#This Row],[Lombardy fit]]*NOT(ISBLANK(Tabella8[[#This Row],[Lombardy]]))</f>
        <v>0</v>
      </c>
      <c r="P28" s="10" t="e">
        <f>Tabella8[[#This Row],[Lombardy fit]]+CIr</f>
        <v>#NUM!</v>
      </c>
      <c r="Q28" s="10" t="e">
        <f>MAX(Tabella8[[#This Row],[Lombardy fit]]-CIr,0)</f>
        <v>#NUM!</v>
      </c>
      <c r="R28" s="155"/>
      <c r="S28" s="10">
        <f>Tabella8[[#This Row],[rest of Italy ]]*NOT(ISBLANK(Tabella8[[#This Row],[rest of Italy ]]))</f>
        <v>0</v>
      </c>
      <c r="T28" s="124">
        <f>IFERROR(Ko*_xlfn.LOGNORM.DIST((Tabella8[[#This Row],[Day]]-po),mu_o,sigma_o,TRUE),0)</f>
        <v>0</v>
      </c>
      <c r="U28" s="124">
        <f>Tabella8[[#This Row],[rest of Italy fit]]/Ko</f>
        <v>0</v>
      </c>
      <c r="V28" s="22">
        <f>Tabella8[[#This Row],[rest of Italy fit]]*NOT(ISBLANK(Tabella8[[#This Row],[rest of Italy ]]))</f>
        <v>0</v>
      </c>
      <c r="W28" s="10">
        <f>Tabella8[[#This Row],[rest of Italy fit]]+CIo</f>
        <v>104195.92689792225</v>
      </c>
      <c r="X28" s="10">
        <f>MAX(Tabella8[[#This Row],[rest of Italy fit]]-CIo,0)</f>
        <v>0</v>
      </c>
      <c r="Y28" s="1"/>
      <c r="Z28" s="77" t="s">
        <v>74</v>
      </c>
      <c r="AA28" s="150">
        <v>31.22221573497708</v>
      </c>
      <c r="AO28" s="47">
        <f>MAX($AA$36)</f>
        <v>0.87020406832300057</v>
      </c>
      <c r="AU28" s="83"/>
      <c r="AV28" s="83"/>
      <c r="AX28" s="32"/>
      <c r="AY28" s="32"/>
      <c r="BA28" s="86"/>
      <c r="BB28" s="86"/>
      <c r="BD28" s="2"/>
      <c r="BE28" s="2"/>
    </row>
    <row r="29" spans="2:57" x14ac:dyDescent="0.3">
      <c r="B29" s="148">
        <v>43852</v>
      </c>
      <c r="C29" s="4">
        <v>22</v>
      </c>
      <c r="D29" s="90">
        <v>0</v>
      </c>
      <c r="E29" s="10">
        <f>Tabella8[[#This Row],[Spain cum. Cases]]*NOT(ISBLANK(Tabella8[[#This Row],[Spain cum. Cases]]))</f>
        <v>0</v>
      </c>
      <c r="F29" s="146">
        <f>IFERROR(Kt*_xlfn.LOGNORM.DIST((Tabella8[[#This Row],[Day]]-Days_back),mu_t,sigma_t,TRUE),0)</f>
        <v>0</v>
      </c>
      <c r="G29" s="147">
        <f>Tabella8[[#This Row],[Spain cum. fit]]/Kt</f>
        <v>0</v>
      </c>
      <c r="H29" s="324">
        <f>Tabella8[[#This Row],[Spain cum. fit]]*NOT(ISBLANK(Tabella8[[#This Row],[Spain cum. Cases]]))</f>
        <v>0</v>
      </c>
      <c r="I29" s="10">
        <f>Tabella8[[#This Row],[Spain cum. fit]]+CIt</f>
        <v>8706.1787626415862</v>
      </c>
      <c r="J29" s="10">
        <f>MAX(Tabella8[[#This Row],[Spain cum. fit]]-CIt,0)</f>
        <v>0</v>
      </c>
      <c r="K29" s="153"/>
      <c r="L29" s="10">
        <f>Tabella8[[#This Row],[Lombardy]]*NOT(ISBLANK(Tabella8[[#This Row],[Lombardy]]))</f>
        <v>0</v>
      </c>
      <c r="M29" s="123">
        <f>IFERROR(Kr*_xlfn.LOGNORM.DIST((Tabella8[[#This Row],[Day]]-pr),mu_r,sigma_r,TRUE),0)</f>
        <v>0</v>
      </c>
      <c r="N29" s="123">
        <f>Tabella8[[#This Row],[Lombardy fit]]/Kr</f>
        <v>0</v>
      </c>
      <c r="O29" s="10">
        <f>Tabella8[[#This Row],[Lombardy fit]]*NOT(ISBLANK(Tabella8[[#This Row],[Lombardy]]))</f>
        <v>0</v>
      </c>
      <c r="P29" s="10" t="e">
        <f>Tabella8[[#This Row],[Lombardy fit]]+CIr</f>
        <v>#NUM!</v>
      </c>
      <c r="Q29" s="10" t="e">
        <f>MAX(Tabella8[[#This Row],[Lombardy fit]]-CIr,0)</f>
        <v>#NUM!</v>
      </c>
      <c r="R29" s="155"/>
      <c r="S29" s="10">
        <f>Tabella8[[#This Row],[rest of Italy ]]*NOT(ISBLANK(Tabella8[[#This Row],[rest of Italy ]]))</f>
        <v>0</v>
      </c>
      <c r="T29" s="124">
        <f>IFERROR(Ko*_xlfn.LOGNORM.DIST((Tabella8[[#This Row],[Day]]-po),mu_o,sigma_o,TRUE),0)</f>
        <v>0</v>
      </c>
      <c r="U29" s="124">
        <f>Tabella8[[#This Row],[rest of Italy fit]]/Ko</f>
        <v>0</v>
      </c>
      <c r="V29" s="22">
        <f>Tabella8[[#This Row],[rest of Italy fit]]*NOT(ISBLANK(Tabella8[[#This Row],[rest of Italy ]]))</f>
        <v>0</v>
      </c>
      <c r="W29" s="10">
        <f>Tabella8[[#This Row],[rest of Italy fit]]+CIo</f>
        <v>104195.92689792225</v>
      </c>
      <c r="X29" s="10">
        <f>MAX(Tabella8[[#This Row],[rest of Italy fit]]-CIo,0)</f>
        <v>0</v>
      </c>
      <c r="Y29" s="1"/>
      <c r="Z29" s="31" t="s">
        <v>18</v>
      </c>
      <c r="AA29" s="32" t="s">
        <v>37</v>
      </c>
      <c r="AO29" s="48">
        <f>COUNT($AA$30,$AA$31,$AA$32,$AA$39)</f>
        <v>4</v>
      </c>
      <c r="AU29" s="83"/>
      <c r="AV29" s="83"/>
      <c r="AX29" s="32"/>
      <c r="AY29" s="32"/>
      <c r="BA29" s="86"/>
      <c r="BB29" s="86"/>
      <c r="BD29" s="2"/>
      <c r="BE29" s="2"/>
    </row>
    <row r="30" spans="2:57" x14ac:dyDescent="0.3">
      <c r="B30" s="148">
        <v>43853</v>
      </c>
      <c r="C30" s="4">
        <v>23</v>
      </c>
      <c r="D30" s="90">
        <v>0</v>
      </c>
      <c r="E30" s="10">
        <f>Tabella8[[#This Row],[Spain cum. Cases]]*NOT(ISBLANK(Tabella8[[#This Row],[Spain cum. Cases]]))</f>
        <v>0</v>
      </c>
      <c r="F30" s="146">
        <f>IFERROR(Kt*_xlfn.LOGNORM.DIST((Tabella8[[#This Row],[Day]]-Days_back),mu_t,sigma_t,TRUE),0)</f>
        <v>0</v>
      </c>
      <c r="G30" s="147">
        <f>Tabella8[[#This Row],[Spain cum. fit]]/Kt</f>
        <v>0</v>
      </c>
      <c r="H30" s="324">
        <f>Tabella8[[#This Row],[Spain cum. fit]]*NOT(ISBLANK(Tabella8[[#This Row],[Spain cum. Cases]]))</f>
        <v>0</v>
      </c>
      <c r="I30" s="10">
        <f>Tabella8[[#This Row],[Spain cum. fit]]+CIt</f>
        <v>8706.1787626415862</v>
      </c>
      <c r="J30" s="10">
        <f>MAX(Tabella8[[#This Row],[Spain cum. fit]]-CIt,0)</f>
        <v>0</v>
      </c>
      <c r="K30" s="153"/>
      <c r="L30" s="10">
        <f>Tabella8[[#This Row],[Lombardy]]*NOT(ISBLANK(Tabella8[[#This Row],[Lombardy]]))</f>
        <v>0</v>
      </c>
      <c r="M30" s="123">
        <f>IFERROR(Kr*_xlfn.LOGNORM.DIST((Tabella8[[#This Row],[Day]]-pr),mu_r,sigma_r,TRUE),0)</f>
        <v>0</v>
      </c>
      <c r="N30" s="123">
        <f>Tabella8[[#This Row],[Lombardy fit]]/Kr</f>
        <v>0</v>
      </c>
      <c r="O30" s="10">
        <f>Tabella8[[#This Row],[Lombardy fit]]*NOT(ISBLANK(Tabella8[[#This Row],[Lombardy]]))</f>
        <v>0</v>
      </c>
      <c r="P30" s="10" t="e">
        <f>Tabella8[[#This Row],[Lombardy fit]]+CIr</f>
        <v>#NUM!</v>
      </c>
      <c r="Q30" s="10" t="e">
        <f>MAX(Tabella8[[#This Row],[Lombardy fit]]-CIr,0)</f>
        <v>#NUM!</v>
      </c>
      <c r="R30" s="155"/>
      <c r="S30" s="10">
        <f>Tabella8[[#This Row],[rest of Italy ]]*NOT(ISBLANK(Tabella8[[#This Row],[rest of Italy ]]))</f>
        <v>0</v>
      </c>
      <c r="T30" s="124">
        <f>IFERROR(Ko*_xlfn.LOGNORM.DIST((Tabella8[[#This Row],[Day]]-po),mu_o,sigma_o,TRUE),0)</f>
        <v>0</v>
      </c>
      <c r="U30" s="124">
        <f>Tabella8[[#This Row],[rest of Italy fit]]/Ko</f>
        <v>0</v>
      </c>
      <c r="V30" s="22">
        <f>Tabella8[[#This Row],[rest of Italy fit]]*NOT(ISBLANK(Tabella8[[#This Row],[rest of Italy ]]))</f>
        <v>0</v>
      </c>
      <c r="W30" s="10">
        <f>Tabella8[[#This Row],[rest of Italy fit]]+CIo</f>
        <v>104195.92689792225</v>
      </c>
      <c r="X30" s="10">
        <f>MAX(Tabella8[[#This Row],[rest of Italy fit]]-CIo,0)</f>
        <v>0</v>
      </c>
      <c r="Y30" s="1"/>
      <c r="Z30" s="14" t="s">
        <v>0</v>
      </c>
      <c r="AA30" s="5">
        <v>147999.98277109722</v>
      </c>
      <c r="AO30" s="48" t="b">
        <f>sigma_o&gt;=0.000001</f>
        <v>1</v>
      </c>
      <c r="AU30" s="83"/>
      <c r="AV30" s="83"/>
      <c r="AX30" s="32"/>
      <c r="AY30" s="32"/>
      <c r="BA30" s="86"/>
      <c r="BB30" s="86"/>
      <c r="BD30" s="2"/>
      <c r="BE30" s="2"/>
    </row>
    <row r="31" spans="2:57" x14ac:dyDescent="0.3">
      <c r="B31" s="148">
        <v>43854</v>
      </c>
      <c r="C31" s="4">
        <v>24</v>
      </c>
      <c r="D31" s="90">
        <v>0</v>
      </c>
      <c r="E31" s="10">
        <f>Tabella8[[#This Row],[Spain cum. Cases]]*NOT(ISBLANK(Tabella8[[#This Row],[Spain cum. Cases]]))</f>
        <v>0</v>
      </c>
      <c r="F31" s="146">
        <f>IFERROR(Kt*_xlfn.LOGNORM.DIST((Tabella8[[#This Row],[Day]]-Days_back),mu_t,sigma_t,TRUE),0)</f>
        <v>0</v>
      </c>
      <c r="G31" s="147">
        <f>Tabella8[[#This Row],[Spain cum. fit]]/Kt</f>
        <v>0</v>
      </c>
      <c r="H31" s="324">
        <f>Tabella8[[#This Row],[Spain cum. fit]]*NOT(ISBLANK(Tabella8[[#This Row],[Spain cum. Cases]]))</f>
        <v>0</v>
      </c>
      <c r="I31" s="10">
        <f>Tabella8[[#This Row],[Spain cum. fit]]+CIt</f>
        <v>8706.1787626415862</v>
      </c>
      <c r="J31" s="10">
        <f>MAX(Tabella8[[#This Row],[Spain cum. fit]]-CIt,0)</f>
        <v>0</v>
      </c>
      <c r="K31" s="153"/>
      <c r="L31" s="10">
        <f>Tabella8[[#This Row],[Lombardy]]*NOT(ISBLANK(Tabella8[[#This Row],[Lombardy]]))</f>
        <v>0</v>
      </c>
      <c r="M31" s="123">
        <f>IFERROR(Kr*_xlfn.LOGNORM.DIST((Tabella8[[#This Row],[Day]]-pr),mu_r,sigma_r,TRUE),0)</f>
        <v>0</v>
      </c>
      <c r="N31" s="123">
        <f>Tabella8[[#This Row],[Lombardy fit]]/Kr</f>
        <v>0</v>
      </c>
      <c r="O31" s="10">
        <f>Tabella8[[#This Row],[Lombardy fit]]*NOT(ISBLANK(Tabella8[[#This Row],[Lombardy]]))</f>
        <v>0</v>
      </c>
      <c r="P31" s="10" t="e">
        <f>Tabella8[[#This Row],[Lombardy fit]]+CIr</f>
        <v>#NUM!</v>
      </c>
      <c r="Q31" s="10" t="e">
        <f>MAX(Tabella8[[#This Row],[Lombardy fit]]-CIr,0)</f>
        <v>#NUM!</v>
      </c>
      <c r="R31" s="155"/>
      <c r="S31" s="10">
        <f>Tabella8[[#This Row],[rest of Italy ]]*NOT(ISBLANK(Tabella8[[#This Row],[rest of Italy ]]))</f>
        <v>0</v>
      </c>
      <c r="T31" s="124">
        <f>IFERROR(Ko*_xlfn.LOGNORM.DIST((Tabella8[[#This Row],[Day]]-po),mu_o,sigma_o,TRUE),0)</f>
        <v>0</v>
      </c>
      <c r="U31" s="124">
        <f>Tabella8[[#This Row],[rest of Italy fit]]/Ko</f>
        <v>0</v>
      </c>
      <c r="V31" s="22">
        <f>Tabella8[[#This Row],[rest of Italy fit]]*NOT(ISBLANK(Tabella8[[#This Row],[rest of Italy ]]))</f>
        <v>0</v>
      </c>
      <c r="W31" s="10">
        <f>Tabella8[[#This Row],[rest of Italy fit]]+CIo</f>
        <v>104195.92689792225</v>
      </c>
      <c r="X31" s="10">
        <f>MAX(Tabella8[[#This Row],[rest of Italy fit]]-CIo,0)</f>
        <v>0</v>
      </c>
      <c r="Z31" s="101" t="s">
        <v>63</v>
      </c>
      <c r="AA31" s="30">
        <v>4.0471265119141284</v>
      </c>
      <c r="AD31" s="1"/>
      <c r="AO31" s="48">
        <f>{32767;32767;0.000001;0.01;FALSE;FALSE;FALSE;1;2;1;0.0001;TRUE}</f>
        <v>32767</v>
      </c>
      <c r="AU31" s="83"/>
      <c r="AV31" s="83"/>
      <c r="AX31" s="32"/>
      <c r="AY31" s="32"/>
      <c r="BA31" s="86"/>
      <c r="BB31" s="86"/>
      <c r="BD31" s="2"/>
      <c r="BE31" s="2"/>
    </row>
    <row r="32" spans="2:57" x14ac:dyDescent="0.3">
      <c r="B32" s="148">
        <v>43855</v>
      </c>
      <c r="C32" s="4">
        <v>25</v>
      </c>
      <c r="D32" s="90">
        <v>0</v>
      </c>
      <c r="E32" s="10">
        <f>Tabella8[[#This Row],[Spain cum. Cases]]*NOT(ISBLANK(Tabella8[[#This Row],[Spain cum. Cases]]))</f>
        <v>0</v>
      </c>
      <c r="F32" s="146">
        <f>IFERROR(Kt*_xlfn.LOGNORM.DIST((Tabella8[[#This Row],[Day]]-Days_back),mu_t,sigma_t,TRUE),0)</f>
        <v>0</v>
      </c>
      <c r="G32" s="147">
        <f>Tabella8[[#This Row],[Spain cum. fit]]/Kt</f>
        <v>0</v>
      </c>
      <c r="H32" s="324">
        <f>Tabella8[[#This Row],[Spain cum. fit]]*NOT(ISBLANK(Tabella8[[#This Row],[Spain cum. Cases]]))</f>
        <v>0</v>
      </c>
      <c r="I32" s="10">
        <f>Tabella8[[#This Row],[Spain cum. fit]]+CIt</f>
        <v>8706.1787626415862</v>
      </c>
      <c r="J32" s="10">
        <f>MAX(Tabella8[[#This Row],[Spain cum. fit]]-CIt,0)</f>
        <v>0</v>
      </c>
      <c r="K32" s="153"/>
      <c r="L32" s="10">
        <f>Tabella8[[#This Row],[Lombardy]]*NOT(ISBLANK(Tabella8[[#This Row],[Lombardy]]))</f>
        <v>0</v>
      </c>
      <c r="M32" s="123">
        <f>IFERROR(Kr*_xlfn.LOGNORM.DIST((Tabella8[[#This Row],[Day]]-pr),mu_r,sigma_r,TRUE),0)</f>
        <v>0</v>
      </c>
      <c r="N32" s="123">
        <f>Tabella8[[#This Row],[Lombardy fit]]/Kr</f>
        <v>0</v>
      </c>
      <c r="O32" s="10">
        <f>Tabella8[[#This Row],[Lombardy fit]]*NOT(ISBLANK(Tabella8[[#This Row],[Lombardy]]))</f>
        <v>0</v>
      </c>
      <c r="P32" s="10" t="e">
        <f>Tabella8[[#This Row],[Lombardy fit]]+CIr</f>
        <v>#NUM!</v>
      </c>
      <c r="Q32" s="10" t="e">
        <f>MAX(Tabella8[[#This Row],[Lombardy fit]]-CIr,0)</f>
        <v>#NUM!</v>
      </c>
      <c r="R32" s="155"/>
      <c r="S32" s="10">
        <f>Tabella8[[#This Row],[rest of Italy ]]*NOT(ISBLANK(Tabella8[[#This Row],[rest of Italy ]]))</f>
        <v>0</v>
      </c>
      <c r="T32" s="124">
        <f>IFERROR(Ko*_xlfn.LOGNORM.DIST((Tabella8[[#This Row],[Day]]-po),mu_o,sigma_o,TRUE),0)</f>
        <v>0</v>
      </c>
      <c r="U32" s="124">
        <f>Tabella8[[#This Row],[rest of Italy fit]]/Ko</f>
        <v>0</v>
      </c>
      <c r="V32" s="22">
        <f>Tabella8[[#This Row],[rest of Italy fit]]*NOT(ISBLANK(Tabella8[[#This Row],[rest of Italy ]]))</f>
        <v>0</v>
      </c>
      <c r="W32" s="10">
        <f>Tabella8[[#This Row],[rest of Italy fit]]+CIo</f>
        <v>104195.92689792225</v>
      </c>
      <c r="X32" s="10">
        <f>MAX(Tabella8[[#This Row],[rest of Italy fit]]-CIo,0)</f>
        <v>0</v>
      </c>
      <c r="Z32" s="14" t="s">
        <v>64</v>
      </c>
      <c r="AA32" s="30">
        <v>0.32148638864951307</v>
      </c>
      <c r="AO32" s="48">
        <f>{0;0;1;200;0;FALSE;FALSE;0.075;0;0;FALSE;30}</f>
        <v>0</v>
      </c>
      <c r="AU32" s="83"/>
      <c r="AV32" s="83"/>
      <c r="AX32" s="32"/>
      <c r="AY32" s="32"/>
      <c r="BA32" s="86"/>
      <c r="BB32" s="86"/>
      <c r="BD32" s="2"/>
      <c r="BE32" s="2"/>
    </row>
    <row r="33" spans="2:57" x14ac:dyDescent="0.3">
      <c r="B33" s="148">
        <v>43856</v>
      </c>
      <c r="C33" s="4">
        <v>26</v>
      </c>
      <c r="D33" s="90">
        <v>0</v>
      </c>
      <c r="E33" s="10">
        <f>Tabella8[[#This Row],[Spain cum. Cases]]*NOT(ISBLANK(Tabella8[[#This Row],[Spain cum. Cases]]))</f>
        <v>0</v>
      </c>
      <c r="F33" s="146">
        <f>IFERROR(Kt*_xlfn.LOGNORM.DIST((Tabella8[[#This Row],[Day]]-Days_back),mu_t,sigma_t,TRUE),0)</f>
        <v>0</v>
      </c>
      <c r="G33" s="147">
        <f>Tabella8[[#This Row],[Spain cum. fit]]/Kt</f>
        <v>0</v>
      </c>
      <c r="H33" s="324">
        <f>Tabella8[[#This Row],[Spain cum. fit]]*NOT(ISBLANK(Tabella8[[#This Row],[Spain cum. Cases]]))</f>
        <v>0</v>
      </c>
      <c r="I33" s="10">
        <f>Tabella8[[#This Row],[Spain cum. fit]]+CIt</f>
        <v>8706.1787626415862</v>
      </c>
      <c r="J33" s="10">
        <f>MAX(Tabella8[[#This Row],[Spain cum. fit]]-CIt,0)</f>
        <v>0</v>
      </c>
      <c r="K33" s="153"/>
      <c r="L33" s="10">
        <f>Tabella8[[#This Row],[Lombardy]]*NOT(ISBLANK(Tabella8[[#This Row],[Lombardy]]))</f>
        <v>0</v>
      </c>
      <c r="M33" s="123">
        <f>IFERROR(Kr*_xlfn.LOGNORM.DIST((Tabella8[[#This Row],[Day]]-pr),mu_r,sigma_r,TRUE),0)</f>
        <v>0</v>
      </c>
      <c r="N33" s="123">
        <f>Tabella8[[#This Row],[Lombardy fit]]/Kr</f>
        <v>0</v>
      </c>
      <c r="O33" s="10">
        <f>Tabella8[[#This Row],[Lombardy fit]]*NOT(ISBLANK(Tabella8[[#This Row],[Lombardy]]))</f>
        <v>0</v>
      </c>
      <c r="P33" s="10" t="e">
        <f>Tabella8[[#This Row],[Lombardy fit]]+CIr</f>
        <v>#NUM!</v>
      </c>
      <c r="Q33" s="10" t="e">
        <f>MAX(Tabella8[[#This Row],[Lombardy fit]]-CIr,0)</f>
        <v>#NUM!</v>
      </c>
      <c r="R33" s="155"/>
      <c r="S33" s="10">
        <f>Tabella8[[#This Row],[rest of Italy ]]*NOT(ISBLANK(Tabella8[[#This Row],[rest of Italy ]]))</f>
        <v>0</v>
      </c>
      <c r="T33" s="124">
        <f>IFERROR(Ko*_xlfn.LOGNORM.DIST((Tabella8[[#This Row],[Day]]-po),mu_o,sigma_o,TRUE),0)</f>
        <v>0</v>
      </c>
      <c r="U33" s="124">
        <f>Tabella8[[#This Row],[rest of Italy fit]]/Ko</f>
        <v>0</v>
      </c>
      <c r="V33" s="22">
        <f>Tabella8[[#This Row],[rest of Italy fit]]*NOT(ISBLANK(Tabella8[[#This Row],[rest of Italy ]]))</f>
        <v>0</v>
      </c>
      <c r="W33" s="10">
        <f>Tabella8[[#This Row],[rest of Italy fit]]+CIo</f>
        <v>104195.92689792225</v>
      </c>
      <c r="X33" s="10">
        <f>MAX(Tabella8[[#This Row],[rest of Italy fit]]-CIo,0)</f>
        <v>0</v>
      </c>
      <c r="Z33" s="2" t="s">
        <v>1</v>
      </c>
      <c r="AA33" s="1">
        <f>AVERAGE(Tabella8[[rest of Italy ]])</f>
        <v>86892.6</v>
      </c>
      <c r="AO33" s="49">
        <f>{0;0;1;200;0;FALSE;FALSE;0.075;0;0;FALSE;30}</f>
        <v>0</v>
      </c>
      <c r="AU33" s="83"/>
      <c r="AV33" s="83"/>
      <c r="AX33" s="32"/>
      <c r="AY33" s="32"/>
      <c r="BA33" s="86"/>
      <c r="BB33" s="86"/>
      <c r="BD33" s="2"/>
      <c r="BE33" s="2"/>
    </row>
    <row r="34" spans="2:57" x14ac:dyDescent="0.3">
      <c r="B34" s="148">
        <v>43857</v>
      </c>
      <c r="C34" s="4">
        <v>27</v>
      </c>
      <c r="D34" s="90">
        <v>0</v>
      </c>
      <c r="E34" s="10">
        <f>Tabella8[[#This Row],[Spain cum. Cases]]*NOT(ISBLANK(Tabella8[[#This Row],[Spain cum. Cases]]))</f>
        <v>0</v>
      </c>
      <c r="F34" s="146">
        <f>IFERROR(Kt*_xlfn.LOGNORM.DIST((Tabella8[[#This Row],[Day]]-Days_back),mu_t,sigma_t,TRUE),0)</f>
        <v>0</v>
      </c>
      <c r="G34" s="147">
        <f>Tabella8[[#This Row],[Spain cum. fit]]/Kt</f>
        <v>0</v>
      </c>
      <c r="H34" s="324">
        <f>Tabella8[[#This Row],[Spain cum. fit]]*NOT(ISBLANK(Tabella8[[#This Row],[Spain cum. Cases]]))</f>
        <v>0</v>
      </c>
      <c r="I34" s="10">
        <f>Tabella8[[#This Row],[Spain cum. fit]]+CIt</f>
        <v>8706.1787626415862</v>
      </c>
      <c r="J34" s="10">
        <f>MAX(Tabella8[[#This Row],[Spain cum. fit]]-CIt,0)</f>
        <v>0</v>
      </c>
      <c r="K34" s="153"/>
      <c r="L34" s="10">
        <f>Tabella8[[#This Row],[Lombardy]]*NOT(ISBLANK(Tabella8[[#This Row],[Lombardy]]))</f>
        <v>0</v>
      </c>
      <c r="M34" s="123">
        <f>IFERROR(Kr*_xlfn.LOGNORM.DIST((Tabella8[[#This Row],[Day]]-pr),mu_r,sigma_r,TRUE),0)</f>
        <v>0</v>
      </c>
      <c r="N34" s="123">
        <f>Tabella8[[#This Row],[Lombardy fit]]/Kr</f>
        <v>0</v>
      </c>
      <c r="O34" s="10">
        <f>Tabella8[[#This Row],[Lombardy fit]]*NOT(ISBLANK(Tabella8[[#This Row],[Lombardy]]))</f>
        <v>0</v>
      </c>
      <c r="P34" s="10" t="e">
        <f>Tabella8[[#This Row],[Lombardy fit]]+CIr</f>
        <v>#NUM!</v>
      </c>
      <c r="Q34" s="10" t="e">
        <f>MAX(Tabella8[[#This Row],[Lombardy fit]]-CIr,0)</f>
        <v>#NUM!</v>
      </c>
      <c r="R34" s="155"/>
      <c r="S34" s="10">
        <f>Tabella8[[#This Row],[rest of Italy ]]*NOT(ISBLANK(Tabella8[[#This Row],[rest of Italy ]]))</f>
        <v>0</v>
      </c>
      <c r="T34" s="124">
        <f>IFERROR(Ko*_xlfn.LOGNORM.DIST((Tabella8[[#This Row],[Day]]-po),mu_o,sigma_o,TRUE),0)</f>
        <v>0</v>
      </c>
      <c r="U34" s="124">
        <f>Tabella8[[#This Row],[rest of Italy fit]]/Ko</f>
        <v>0</v>
      </c>
      <c r="V34" s="22">
        <f>Tabella8[[#This Row],[rest of Italy fit]]*NOT(ISBLANK(Tabella8[[#This Row],[rest of Italy ]]))</f>
        <v>0</v>
      </c>
      <c r="W34" s="10">
        <f>Tabella8[[#This Row],[rest of Italy fit]]+CIo</f>
        <v>104195.92689792225</v>
      </c>
      <c r="X34" s="10">
        <f>MAX(Tabella8[[#This Row],[rest of Italy fit]]-CIo,0)</f>
        <v>0</v>
      </c>
      <c r="Z34" s="2" t="s">
        <v>2</v>
      </c>
      <c r="AA34" s="1">
        <f>COUNT(Tabella8[[rest of Italy ]])-COUNT(AA30:AA32)</f>
        <v>62</v>
      </c>
      <c r="AO34" s="45"/>
      <c r="AU34" s="83"/>
      <c r="AV34" s="83"/>
      <c r="AX34" s="32"/>
      <c r="AY34" s="32"/>
      <c r="BA34" s="86"/>
      <c r="BB34" s="86"/>
      <c r="BD34" s="2"/>
      <c r="BE34" s="2"/>
    </row>
    <row r="35" spans="2:57" x14ac:dyDescent="0.3">
      <c r="B35" s="148">
        <v>43858</v>
      </c>
      <c r="C35" s="4">
        <v>28</v>
      </c>
      <c r="D35" s="90">
        <v>0</v>
      </c>
      <c r="E35" s="10">
        <f>Tabella8[[#This Row],[Spain cum. Cases]]*NOT(ISBLANK(Tabella8[[#This Row],[Spain cum. Cases]]))</f>
        <v>0</v>
      </c>
      <c r="F35" s="146">
        <f>IFERROR(Kt*_xlfn.LOGNORM.DIST((Tabella8[[#This Row],[Day]]-Days_back),mu_t,sigma_t,TRUE),0)</f>
        <v>0</v>
      </c>
      <c r="G35" s="147">
        <f>Tabella8[[#This Row],[Spain cum. fit]]/Kt</f>
        <v>0</v>
      </c>
      <c r="H35" s="324">
        <f>Tabella8[[#This Row],[Spain cum. fit]]*NOT(ISBLANK(Tabella8[[#This Row],[Spain cum. Cases]]))</f>
        <v>0</v>
      </c>
      <c r="I35" s="10">
        <f>Tabella8[[#This Row],[Spain cum. fit]]+CIt</f>
        <v>8706.1787626415862</v>
      </c>
      <c r="J35" s="10">
        <f>MAX(Tabella8[[#This Row],[Spain cum. fit]]-CIt,0)</f>
        <v>0</v>
      </c>
      <c r="K35" s="153"/>
      <c r="L35" s="10">
        <f>Tabella8[[#This Row],[Lombardy]]*NOT(ISBLANK(Tabella8[[#This Row],[Lombardy]]))</f>
        <v>0</v>
      </c>
      <c r="M35" s="123">
        <f>IFERROR(Kr*_xlfn.LOGNORM.DIST((Tabella8[[#This Row],[Day]]-pr),mu_r,sigma_r,TRUE),0)</f>
        <v>0</v>
      </c>
      <c r="N35" s="123">
        <f>Tabella8[[#This Row],[Lombardy fit]]/Kr</f>
        <v>0</v>
      </c>
      <c r="O35" s="10">
        <f>Tabella8[[#This Row],[Lombardy fit]]*NOT(ISBLANK(Tabella8[[#This Row],[Lombardy]]))</f>
        <v>0</v>
      </c>
      <c r="P35" s="10" t="e">
        <f>Tabella8[[#This Row],[Lombardy fit]]+CIr</f>
        <v>#NUM!</v>
      </c>
      <c r="Q35" s="10" t="e">
        <f>MAX(Tabella8[[#This Row],[Lombardy fit]]-CIr,0)</f>
        <v>#NUM!</v>
      </c>
      <c r="R35" s="155"/>
      <c r="S35" s="10">
        <f>Tabella8[[#This Row],[rest of Italy ]]*NOT(ISBLANK(Tabella8[[#This Row],[rest of Italy ]]))</f>
        <v>0</v>
      </c>
      <c r="T35" s="124">
        <f>IFERROR(Ko*_xlfn.LOGNORM.DIST((Tabella8[[#This Row],[Day]]-po),mu_o,sigma_o,TRUE),0)</f>
        <v>0</v>
      </c>
      <c r="U35" s="124">
        <f>Tabella8[[#This Row],[rest of Italy fit]]/Ko</f>
        <v>0</v>
      </c>
      <c r="V35" s="22">
        <f>Tabella8[[#This Row],[rest of Italy fit]]*NOT(ISBLANK(Tabella8[[#This Row],[rest of Italy ]]))</f>
        <v>0</v>
      </c>
      <c r="W35" s="10">
        <f>Tabella8[[#This Row],[rest of Italy fit]]+CIo</f>
        <v>104195.92689792225</v>
      </c>
      <c r="X35" s="10">
        <f>MAX(Tabella8[[#This Row],[rest of Italy fit]]-CIo,0)</f>
        <v>0</v>
      </c>
      <c r="Z35" s="2" t="s">
        <v>3</v>
      </c>
      <c r="AA35" s="6" cm="1">
        <f t="array" ref="AA35">SQRT(SUM((Tabella8[Colonna6]-Tabella8[Colonna7])^2)/dfo)</f>
        <v>52124.768167060567</v>
      </c>
      <c r="AO35" s="45"/>
      <c r="AU35" s="83"/>
      <c r="AV35" s="83"/>
      <c r="AX35" s="32"/>
      <c r="AY35" s="32"/>
      <c r="BA35" s="86"/>
      <c r="BB35" s="86"/>
      <c r="BD35" s="2"/>
      <c r="BE35" s="2"/>
    </row>
    <row r="36" spans="2:57" ht="16.2" x14ac:dyDescent="0.3">
      <c r="B36" s="148">
        <v>43859</v>
      </c>
      <c r="C36" s="4">
        <v>29</v>
      </c>
      <c r="D36" s="90">
        <v>0</v>
      </c>
      <c r="E36" s="10">
        <f>Tabella8[[#This Row],[Spain cum. Cases]]*NOT(ISBLANK(Tabella8[[#This Row],[Spain cum. Cases]]))</f>
        <v>0</v>
      </c>
      <c r="F36" s="146">
        <f>IFERROR(Kt*_xlfn.LOGNORM.DIST((Tabella8[[#This Row],[Day]]-Days_back),mu_t,sigma_t,TRUE),0)</f>
        <v>0</v>
      </c>
      <c r="G36" s="147">
        <f>Tabella8[[#This Row],[Spain cum. fit]]/Kt</f>
        <v>0</v>
      </c>
      <c r="H36" s="324">
        <f>Tabella8[[#This Row],[Spain cum. fit]]*NOT(ISBLANK(Tabella8[[#This Row],[Spain cum. Cases]]))</f>
        <v>0</v>
      </c>
      <c r="I36" s="10">
        <f>Tabella8[[#This Row],[Spain cum. fit]]+CIt</f>
        <v>8706.1787626415862</v>
      </c>
      <c r="J36" s="10">
        <f>MAX(Tabella8[[#This Row],[Spain cum. fit]]-CIt,0)</f>
        <v>0</v>
      </c>
      <c r="K36" s="153"/>
      <c r="L36" s="10">
        <f>Tabella8[[#This Row],[Lombardy]]*NOT(ISBLANK(Tabella8[[#This Row],[Lombardy]]))</f>
        <v>0</v>
      </c>
      <c r="M36" s="123">
        <f>IFERROR(Kr*_xlfn.LOGNORM.DIST((Tabella8[[#This Row],[Day]]-pr),mu_r,sigma_r,TRUE),0)</f>
        <v>0</v>
      </c>
      <c r="N36" s="123">
        <f>Tabella8[[#This Row],[Lombardy fit]]/Kr</f>
        <v>0</v>
      </c>
      <c r="O36" s="10">
        <f>Tabella8[[#This Row],[Lombardy fit]]*NOT(ISBLANK(Tabella8[[#This Row],[Lombardy]]))</f>
        <v>0</v>
      </c>
      <c r="P36" s="10" t="e">
        <f>Tabella8[[#This Row],[Lombardy fit]]+CIr</f>
        <v>#NUM!</v>
      </c>
      <c r="Q36" s="10" t="e">
        <f>MAX(Tabella8[[#This Row],[Lombardy fit]]-CIr,0)</f>
        <v>#NUM!</v>
      </c>
      <c r="R36" s="155"/>
      <c r="S36" s="10">
        <f>Tabella8[[#This Row],[rest of Italy ]]*NOT(ISBLANK(Tabella8[[#This Row],[rest of Italy ]]))</f>
        <v>0</v>
      </c>
      <c r="T36" s="124">
        <f>IFERROR(Ko*_xlfn.LOGNORM.DIST((Tabella8[[#This Row],[Day]]-po),mu_o,sigma_o,TRUE),0)</f>
        <v>0</v>
      </c>
      <c r="U36" s="124">
        <f>Tabella8[[#This Row],[rest of Italy fit]]/Ko</f>
        <v>0</v>
      </c>
      <c r="V36" s="22">
        <f>Tabella8[[#This Row],[rest of Italy fit]]*NOT(ISBLANK(Tabella8[[#This Row],[rest of Italy ]]))</f>
        <v>0</v>
      </c>
      <c r="W36" s="10">
        <f>Tabella8[[#This Row],[rest of Italy fit]]+CIo</f>
        <v>104195.92689792225</v>
      </c>
      <c r="X36" s="10">
        <f>MAX(Tabella8[[#This Row],[rest of Italy fit]]-CIo,0)</f>
        <v>0</v>
      </c>
      <c r="Z36" s="2" t="s">
        <v>4</v>
      </c>
      <c r="AA36" s="7" cm="1">
        <f t="array" ref="AA36">1-SUM((Tabella8[Colonna6]-Tabella8[Colonna7])^2)/SUM((Tabella8[Colonna6]-Mean_of_yo)^2)</f>
        <v>0.87020406832300057</v>
      </c>
      <c r="AO36" s="45"/>
      <c r="AU36" s="83"/>
      <c r="AV36" s="83"/>
      <c r="AX36" s="32"/>
      <c r="AY36" s="32"/>
      <c r="BA36" s="86"/>
      <c r="BB36" s="86"/>
      <c r="BD36" s="2"/>
      <c r="BE36" s="2"/>
    </row>
    <row r="37" spans="2:57" ht="15" thickBot="1" x14ac:dyDescent="0.35">
      <c r="B37" s="148">
        <v>43860</v>
      </c>
      <c r="C37" s="4">
        <v>30</v>
      </c>
      <c r="D37" s="90">
        <v>0</v>
      </c>
      <c r="E37" s="10">
        <f>Tabella8[[#This Row],[Spain cum. Cases]]*NOT(ISBLANK(Tabella8[[#This Row],[Spain cum. Cases]]))</f>
        <v>0</v>
      </c>
      <c r="F37" s="146">
        <f>IFERROR(Kt*_xlfn.LOGNORM.DIST((Tabella8[[#This Row],[Day]]-Days_back),mu_t,sigma_t,TRUE),0)</f>
        <v>0</v>
      </c>
      <c r="G37" s="147">
        <f>Tabella8[[#This Row],[Spain cum. fit]]/Kt</f>
        <v>0</v>
      </c>
      <c r="H37" s="324">
        <f>Tabella8[[#This Row],[Spain cum. fit]]*NOT(ISBLANK(Tabella8[[#This Row],[Spain cum. Cases]]))</f>
        <v>0</v>
      </c>
      <c r="I37" s="10">
        <f>Tabella8[[#This Row],[Spain cum. fit]]+CIt</f>
        <v>8706.1787626415862</v>
      </c>
      <c r="J37" s="10">
        <f>MAX(Tabella8[[#This Row],[Spain cum. fit]]-CIt,0)</f>
        <v>0</v>
      </c>
      <c r="K37" s="153"/>
      <c r="L37" s="10">
        <f>Tabella8[[#This Row],[Lombardy]]*NOT(ISBLANK(Tabella8[[#This Row],[Lombardy]]))</f>
        <v>0</v>
      </c>
      <c r="M37" s="123">
        <f>IFERROR(Kr*_xlfn.LOGNORM.DIST((Tabella8[[#This Row],[Day]]-pr),mu_r,sigma_r,TRUE),0)</f>
        <v>0</v>
      </c>
      <c r="N37" s="123">
        <f>Tabella8[[#This Row],[Lombardy fit]]/Kr</f>
        <v>0</v>
      </c>
      <c r="O37" s="10">
        <f>Tabella8[[#This Row],[Lombardy fit]]*NOT(ISBLANK(Tabella8[[#This Row],[Lombardy]]))</f>
        <v>0</v>
      </c>
      <c r="P37" s="10" t="e">
        <f>Tabella8[[#This Row],[Lombardy fit]]+CIr</f>
        <v>#NUM!</v>
      </c>
      <c r="Q37" s="10" t="e">
        <f>MAX(Tabella8[[#This Row],[Lombardy fit]]-CIr,0)</f>
        <v>#NUM!</v>
      </c>
      <c r="R37" s="155"/>
      <c r="S37" s="10">
        <f>Tabella8[[#This Row],[rest of Italy ]]*NOT(ISBLANK(Tabella8[[#This Row],[rest of Italy ]]))</f>
        <v>0</v>
      </c>
      <c r="T37" s="124">
        <f>IFERROR(Ko*_xlfn.LOGNORM.DIST((Tabella8[[#This Row],[Day]]-po),mu_o,sigma_o,TRUE),0)</f>
        <v>0</v>
      </c>
      <c r="U37" s="124">
        <f>Tabella8[[#This Row],[rest of Italy fit]]/Ko</f>
        <v>0</v>
      </c>
      <c r="V37" s="22">
        <f>Tabella8[[#This Row],[rest of Italy fit]]*NOT(ISBLANK(Tabella8[[#This Row],[rest of Italy ]]))</f>
        <v>0</v>
      </c>
      <c r="W37" s="10">
        <f>Tabella8[[#This Row],[rest of Italy fit]]+CIo</f>
        <v>104195.92689792225</v>
      </c>
      <c r="X37" s="10">
        <f>MAX(Tabella8[[#This Row],[rest of Italy fit]]-CIo,0)</f>
        <v>0</v>
      </c>
      <c r="Z37" s="2" t="s">
        <v>5</v>
      </c>
      <c r="AA37" s="7">
        <f>TINV(0.05,dfo)</f>
        <v>1.9989715170333793</v>
      </c>
      <c r="AO37" s="46"/>
      <c r="AU37" s="83"/>
      <c r="AV37" s="83"/>
      <c r="AX37" s="32"/>
      <c r="AY37" s="32"/>
      <c r="BA37" s="86"/>
      <c r="BB37" s="86"/>
      <c r="BD37" s="2"/>
      <c r="BE37" s="2"/>
    </row>
    <row r="38" spans="2:57" ht="15" thickTop="1" x14ac:dyDescent="0.3">
      <c r="B38" s="148">
        <v>43861</v>
      </c>
      <c r="C38" s="4">
        <v>31</v>
      </c>
      <c r="D38" s="90">
        <v>0</v>
      </c>
      <c r="E38" s="10">
        <f>Tabella8[[#This Row],[Spain cum. Cases]]*NOT(ISBLANK(Tabella8[[#This Row],[Spain cum. Cases]]))</f>
        <v>0</v>
      </c>
      <c r="F38" s="146">
        <f>IFERROR(Kt*_xlfn.LOGNORM.DIST((Tabella8[[#This Row],[Day]]-Days_back),mu_t,sigma_t,TRUE),0)</f>
        <v>0</v>
      </c>
      <c r="G38" s="147">
        <f>Tabella8[[#This Row],[Spain cum. fit]]/Kt</f>
        <v>0</v>
      </c>
      <c r="H38" s="324">
        <f>Tabella8[[#This Row],[Spain cum. fit]]*NOT(ISBLANK(Tabella8[[#This Row],[Spain cum. Cases]]))</f>
        <v>0</v>
      </c>
      <c r="I38" s="10">
        <f>Tabella8[[#This Row],[Spain cum. fit]]+CIt</f>
        <v>8706.1787626415862</v>
      </c>
      <c r="J38" s="10">
        <f>MAX(Tabella8[[#This Row],[Spain cum. fit]]-CIt,0)</f>
        <v>0</v>
      </c>
      <c r="K38" s="153"/>
      <c r="L38" s="10">
        <f>Tabella8[[#This Row],[Lombardy]]*NOT(ISBLANK(Tabella8[[#This Row],[Lombardy]]))</f>
        <v>0</v>
      </c>
      <c r="M38" s="123">
        <f>IFERROR(Kr*_xlfn.LOGNORM.DIST((Tabella8[[#This Row],[Day]]-pr),mu_r,sigma_r,TRUE),0)</f>
        <v>0</v>
      </c>
      <c r="N38" s="123">
        <f>Tabella8[[#This Row],[Lombardy fit]]/Kr</f>
        <v>0</v>
      </c>
      <c r="O38" s="10">
        <f>Tabella8[[#This Row],[Lombardy fit]]*NOT(ISBLANK(Tabella8[[#This Row],[Lombardy]]))</f>
        <v>0</v>
      </c>
      <c r="P38" s="10" t="e">
        <f>Tabella8[[#This Row],[Lombardy fit]]+CIr</f>
        <v>#NUM!</v>
      </c>
      <c r="Q38" s="10" t="e">
        <f>MAX(Tabella8[[#This Row],[Lombardy fit]]-CIr,0)</f>
        <v>#NUM!</v>
      </c>
      <c r="R38" s="155"/>
      <c r="S38" s="10">
        <f>Tabella8[[#This Row],[rest of Italy ]]*NOT(ISBLANK(Tabella8[[#This Row],[rest of Italy ]]))</f>
        <v>0</v>
      </c>
      <c r="T38" s="124">
        <f>IFERROR(Ko*_xlfn.LOGNORM.DIST((Tabella8[[#This Row],[Day]]-po),mu_o,sigma_o,TRUE),0)</f>
        <v>0</v>
      </c>
      <c r="U38" s="124">
        <f>Tabella8[[#This Row],[rest of Italy fit]]/Ko</f>
        <v>0</v>
      </c>
      <c r="V38" s="22">
        <f>Tabella8[[#This Row],[rest of Italy fit]]*NOT(ISBLANK(Tabella8[[#This Row],[rest of Italy ]]))</f>
        <v>0</v>
      </c>
      <c r="W38" s="10">
        <f>Tabella8[[#This Row],[rest of Italy fit]]+CIo</f>
        <v>104195.92689792225</v>
      </c>
      <c r="X38" s="10">
        <f>MAX(Tabella8[[#This Row],[rest of Italy fit]]-CIo,0)</f>
        <v>0</v>
      </c>
      <c r="Z38" s="2" t="s">
        <v>6</v>
      </c>
      <c r="AA38" s="1">
        <f>Critical_to*SE_of_yo</f>
        <v>104195.92689792225</v>
      </c>
      <c r="AO38" s="50">
        <f>MAX($AA$47)</f>
        <v>0.99794590512500236</v>
      </c>
      <c r="AU38" s="83"/>
      <c r="AV38" s="83"/>
      <c r="AX38" s="32"/>
      <c r="AY38" s="32"/>
      <c r="BA38" s="86"/>
      <c r="BB38" s="86"/>
      <c r="BD38" s="2"/>
      <c r="BE38" s="2"/>
    </row>
    <row r="39" spans="2:57" ht="15.6" customHeight="1" x14ac:dyDescent="0.3">
      <c r="B39" s="148">
        <v>43862</v>
      </c>
      <c r="C39" s="4">
        <v>32</v>
      </c>
      <c r="D39" s="90">
        <v>1</v>
      </c>
      <c r="E39" s="10">
        <f>Tabella8[[#This Row],[Spain cum. Cases]]*NOT(ISBLANK(Tabella8[[#This Row],[Spain cum. Cases]]))</f>
        <v>1</v>
      </c>
      <c r="F39" s="146">
        <f>IFERROR(Kt*_xlfn.LOGNORM.DIST((Tabella8[[#This Row],[Day]]-Days_back),mu_t,sigma_t,TRUE),0)</f>
        <v>0</v>
      </c>
      <c r="G39" s="147">
        <f>Tabella8[[#This Row],[Spain cum. fit]]/Kt</f>
        <v>0</v>
      </c>
      <c r="H39" s="324">
        <f>Tabella8[[#This Row],[Spain cum. fit]]*NOT(ISBLANK(Tabella8[[#This Row],[Spain cum. Cases]]))</f>
        <v>0</v>
      </c>
      <c r="I39" s="10">
        <f>Tabella8[[#This Row],[Spain cum. fit]]+CIt</f>
        <v>8706.1787626415862</v>
      </c>
      <c r="J39" s="10">
        <f>MAX(Tabella8[[#This Row],[Spain cum. fit]]-CIt,0)</f>
        <v>0</v>
      </c>
      <c r="K39" s="153"/>
      <c r="L39" s="10">
        <f>Tabella8[[#This Row],[Lombardy]]*NOT(ISBLANK(Tabella8[[#This Row],[Lombardy]]))</f>
        <v>0</v>
      </c>
      <c r="M39" s="123">
        <f>IFERROR(Kr*_xlfn.LOGNORM.DIST((Tabella8[[#This Row],[Day]]-pr),mu_r,sigma_r,TRUE),0)</f>
        <v>4.5004674482023335E-33</v>
      </c>
      <c r="N39" s="123">
        <f>Tabella8[[#This Row],[Lombardy fit]]/Kr</f>
        <v>5.1729510898877396E-38</v>
      </c>
      <c r="O39" s="10">
        <f>Tabella8[[#This Row],[Lombardy fit]]*NOT(ISBLANK(Tabella8[[#This Row],[Lombardy]]))</f>
        <v>0</v>
      </c>
      <c r="P39" s="10" t="e">
        <f>Tabella8[[#This Row],[Lombardy fit]]+CIr</f>
        <v>#NUM!</v>
      </c>
      <c r="Q39" s="10" t="e">
        <f>MAX(Tabella8[[#This Row],[Lombardy fit]]-CIr,0)</f>
        <v>#NUM!</v>
      </c>
      <c r="R39" s="155"/>
      <c r="S39" s="10">
        <f>Tabella8[[#This Row],[rest of Italy ]]*NOT(ISBLANK(Tabella8[[#This Row],[rest of Italy ]]))</f>
        <v>0</v>
      </c>
      <c r="T39" s="124">
        <f>IFERROR(Ko*_xlfn.LOGNORM.DIST((Tabella8[[#This Row],[Day]]-po),mu_o,sigma_o,TRUE),0)</f>
        <v>0</v>
      </c>
      <c r="U39" s="124">
        <f>Tabella8[[#This Row],[rest of Italy fit]]/Ko</f>
        <v>0</v>
      </c>
      <c r="V39" s="22">
        <f>Tabella8[[#This Row],[rest of Italy fit]]*NOT(ISBLANK(Tabella8[[#This Row],[rest of Italy ]]))</f>
        <v>0</v>
      </c>
      <c r="W39" s="10">
        <f>Tabella8[[#This Row],[rest of Italy fit]]+CIo</f>
        <v>104195.92689792225</v>
      </c>
      <c r="X39" s="10">
        <f>MAX(Tabella8[[#This Row],[rest of Italy fit]]-CIo,0)</f>
        <v>0</v>
      </c>
      <c r="Z39" s="14" t="s">
        <v>74</v>
      </c>
      <c r="AA39" s="151">
        <v>37.717425443399762</v>
      </c>
      <c r="AO39" s="51">
        <f>COUNT($AA$41,$AA$42,$AA$43,$AA$50)</f>
        <v>4</v>
      </c>
      <c r="AU39" s="83"/>
      <c r="AV39" s="83"/>
      <c r="AX39" s="32"/>
      <c r="AY39" s="32"/>
      <c r="BA39" s="86"/>
      <c r="BB39" s="86"/>
      <c r="BD39" s="2"/>
      <c r="BE39" s="2"/>
    </row>
    <row r="40" spans="2:57" ht="12" customHeight="1" x14ac:dyDescent="0.3">
      <c r="B40" s="148">
        <v>43863</v>
      </c>
      <c r="C40" s="4">
        <v>33</v>
      </c>
      <c r="D40" s="90">
        <v>1</v>
      </c>
      <c r="E40" s="10">
        <f>Tabella8[[#This Row],[Spain cum. Cases]]*NOT(ISBLANK(Tabella8[[#This Row],[Spain cum. Cases]]))</f>
        <v>1</v>
      </c>
      <c r="F40" s="146">
        <f>IFERROR(Kt*_xlfn.LOGNORM.DIST((Tabella8[[#This Row],[Day]]-Days_back),mu_t,sigma_t,TRUE),0)</f>
        <v>0</v>
      </c>
      <c r="G40" s="147">
        <f>Tabella8[[#This Row],[Spain cum. fit]]/Kt</f>
        <v>0</v>
      </c>
      <c r="H40" s="324">
        <f>Tabella8[[#This Row],[Spain cum. fit]]*NOT(ISBLANK(Tabella8[[#This Row],[Spain cum. Cases]]))</f>
        <v>0</v>
      </c>
      <c r="I40" s="10">
        <f>Tabella8[[#This Row],[Spain cum. fit]]+CIt</f>
        <v>8706.1787626415862</v>
      </c>
      <c r="J40" s="10">
        <f>MAX(Tabella8[[#This Row],[Spain cum. fit]]-CIt,0)</f>
        <v>0</v>
      </c>
      <c r="K40" s="153"/>
      <c r="L40" s="10">
        <f>Tabella8[[#This Row],[Lombardy]]*NOT(ISBLANK(Tabella8[[#This Row],[Lombardy]]))</f>
        <v>0</v>
      </c>
      <c r="M40" s="123">
        <f>IFERROR(Kr*_xlfn.LOGNORM.DIST((Tabella8[[#This Row],[Day]]-pr),mu_r,sigma_r,TRUE),0)</f>
        <v>9.982998313231629E-21</v>
      </c>
      <c r="N40" s="123">
        <f>Tabella8[[#This Row],[Lombardy fit]]/Kr</f>
        <v>1.1474710704863941E-25</v>
      </c>
      <c r="O40" s="10">
        <f>Tabella8[[#This Row],[Lombardy fit]]*NOT(ISBLANK(Tabella8[[#This Row],[Lombardy]]))</f>
        <v>0</v>
      </c>
      <c r="P40" s="10" t="e">
        <f>Tabella8[[#This Row],[Lombardy fit]]+CIr</f>
        <v>#NUM!</v>
      </c>
      <c r="Q40" s="10" t="e">
        <f>MAX(Tabella8[[#This Row],[Lombardy fit]]-CIr,0)</f>
        <v>#NUM!</v>
      </c>
      <c r="R40" s="155"/>
      <c r="S40" s="10">
        <f>Tabella8[[#This Row],[rest of Italy ]]*NOT(ISBLANK(Tabella8[[#This Row],[rest of Italy ]]))</f>
        <v>0</v>
      </c>
      <c r="T40" s="124">
        <f>IFERROR(Ko*_xlfn.LOGNORM.DIST((Tabella8[[#This Row],[Day]]-po),mu_o,sigma_o,TRUE),0)</f>
        <v>0</v>
      </c>
      <c r="U40" s="124">
        <f>Tabella8[[#This Row],[rest of Italy fit]]/Ko</f>
        <v>0</v>
      </c>
      <c r="V40" s="22">
        <f>Tabella8[[#This Row],[rest of Italy fit]]*NOT(ISBLANK(Tabella8[[#This Row],[rest of Italy ]]))</f>
        <v>0</v>
      </c>
      <c r="W40" s="10">
        <f>Tabella8[[#This Row],[rest of Italy fit]]+CIo</f>
        <v>104195.92689792225</v>
      </c>
      <c r="X40" s="10">
        <f>MAX(Tabella8[[#This Row],[rest of Italy fit]]-CIo,0)</f>
        <v>0</v>
      </c>
      <c r="Z40" s="16" t="s">
        <v>38</v>
      </c>
      <c r="AA40" s="17" t="s">
        <v>20</v>
      </c>
      <c r="AO40" s="51" t="b">
        <f>sigma_t&gt;=0.000001</f>
        <v>1</v>
      </c>
      <c r="AU40" s="83"/>
      <c r="AV40" s="83"/>
      <c r="AX40" s="32"/>
      <c r="AY40" s="32"/>
      <c r="BA40" s="86"/>
      <c r="BB40" s="86"/>
      <c r="BD40" s="2"/>
      <c r="BE40" s="2"/>
    </row>
    <row r="41" spans="2:57" x14ac:dyDescent="0.3">
      <c r="B41" s="148">
        <v>43864</v>
      </c>
      <c r="C41" s="4">
        <v>34</v>
      </c>
      <c r="D41" s="90">
        <v>1</v>
      </c>
      <c r="E41" s="10">
        <f>Tabella8[[#This Row],[Spain cum. Cases]]*NOT(ISBLANK(Tabella8[[#This Row],[Spain cum. Cases]]))</f>
        <v>1</v>
      </c>
      <c r="F41" s="146">
        <f>IFERROR(Kt*_xlfn.LOGNORM.DIST((Tabella8[[#This Row],[Day]]-Days_back),mu_t,sigma_t,TRUE),0)</f>
        <v>0</v>
      </c>
      <c r="G41" s="147">
        <f>Tabella8[[#This Row],[Spain cum. fit]]/Kt</f>
        <v>0</v>
      </c>
      <c r="H41" s="324">
        <f>Tabella8[[#This Row],[Spain cum. fit]]*NOT(ISBLANK(Tabella8[[#This Row],[Spain cum. Cases]]))</f>
        <v>0</v>
      </c>
      <c r="I41" s="10">
        <f>Tabella8[[#This Row],[Spain cum. fit]]+CIt</f>
        <v>8706.1787626415862</v>
      </c>
      <c r="J41" s="10">
        <f>MAX(Tabella8[[#This Row],[Spain cum. fit]]-CIt,0)</f>
        <v>0</v>
      </c>
      <c r="K41" s="153"/>
      <c r="L41" s="10">
        <f>Tabella8[[#This Row],[Lombardy]]*NOT(ISBLANK(Tabella8[[#This Row],[Lombardy]]))</f>
        <v>0</v>
      </c>
      <c r="M41" s="123">
        <f>IFERROR(Kr*_xlfn.LOGNORM.DIST((Tabella8[[#This Row],[Day]]-pr),mu_r,sigma_r,TRUE),0)</f>
        <v>4.0616974750038979E-15</v>
      </c>
      <c r="N41" s="123">
        <f>Tabella8[[#This Row],[Lombardy fit]]/Kr</f>
        <v>4.6686177873608025E-20</v>
      </c>
      <c r="O41" s="10">
        <f>Tabella8[[#This Row],[Lombardy fit]]*NOT(ISBLANK(Tabella8[[#This Row],[Lombardy]]))</f>
        <v>0</v>
      </c>
      <c r="P41" s="10" t="e">
        <f>Tabella8[[#This Row],[Lombardy fit]]+CIr</f>
        <v>#NUM!</v>
      </c>
      <c r="Q41" s="10" t="e">
        <f>MAX(Tabella8[[#This Row],[Lombardy fit]]-CIr,0)</f>
        <v>#NUM!</v>
      </c>
      <c r="R41" s="155"/>
      <c r="S41" s="10">
        <f>Tabella8[[#This Row],[rest of Italy ]]*NOT(ISBLANK(Tabella8[[#This Row],[rest of Italy ]]))</f>
        <v>0</v>
      </c>
      <c r="T41" s="124">
        <f>IFERROR(Ko*_xlfn.LOGNORM.DIST((Tabella8[[#This Row],[Day]]-po),mu_o,sigma_o,TRUE),0)</f>
        <v>0</v>
      </c>
      <c r="U41" s="124">
        <f>Tabella8[[#This Row],[rest of Italy fit]]/Ko</f>
        <v>0</v>
      </c>
      <c r="V41" s="22">
        <f>Tabella8[[#This Row],[rest of Italy fit]]*NOT(ISBLANK(Tabella8[[#This Row],[rest of Italy ]]))</f>
        <v>0</v>
      </c>
      <c r="W41" s="10">
        <f>Tabella8[[#This Row],[rest of Italy fit]]+CIo</f>
        <v>104195.92689792225</v>
      </c>
      <c r="X41" s="10">
        <f>MAX(Tabella8[[#This Row],[rest of Italy fit]]-CIo,0)</f>
        <v>0</v>
      </c>
      <c r="Z41" s="14" t="s">
        <v>0</v>
      </c>
      <c r="AA41" s="5">
        <v>279999.89576931909</v>
      </c>
      <c r="AO41" s="51">
        <f>{32767;32767;0.000001;0.01;FALSE;TRUE;FALSE;1;2;1;0.0001;TRUE}</f>
        <v>32767</v>
      </c>
      <c r="AU41" s="83"/>
      <c r="AV41" s="83"/>
      <c r="AX41" s="32"/>
      <c r="AY41" s="32"/>
      <c r="BA41" s="86"/>
      <c r="BB41" s="86"/>
      <c r="BD41" s="2"/>
      <c r="BE41" s="2"/>
    </row>
    <row r="42" spans="2:57" x14ac:dyDescent="0.3">
      <c r="B42" s="148">
        <v>43865</v>
      </c>
      <c r="C42" s="4">
        <v>35</v>
      </c>
      <c r="D42" s="90">
        <v>1</v>
      </c>
      <c r="E42" s="10">
        <f>Tabella8[[#This Row],[Spain cum. Cases]]*NOT(ISBLANK(Tabella8[[#This Row],[Spain cum. Cases]]))</f>
        <v>1</v>
      </c>
      <c r="F42" s="146">
        <f>IFERROR(Kt*_xlfn.LOGNORM.DIST((Tabella8[[#This Row],[Day]]-Days_back),mu_t,sigma_t,TRUE),0)</f>
        <v>8.3581219282537867E-60</v>
      </c>
      <c r="G42" s="147">
        <f>Tabella8[[#This Row],[Spain cum. fit]]/Kt</f>
        <v>2.9850446569950566E-65</v>
      </c>
      <c r="H42" s="324">
        <f>Tabella8[[#This Row],[Spain cum. fit]]*NOT(ISBLANK(Tabella8[[#This Row],[Spain cum. Cases]]))</f>
        <v>8.3581219282537867E-60</v>
      </c>
      <c r="I42" s="10">
        <f>Tabella8[[#This Row],[Spain cum. fit]]+CIt</f>
        <v>8706.1787626415862</v>
      </c>
      <c r="J42" s="10">
        <f>MAX(Tabella8[[#This Row],[Spain cum. fit]]-CIt,0)</f>
        <v>0</v>
      </c>
      <c r="K42" s="153"/>
      <c r="L42" s="10">
        <f>Tabella8[[#This Row],[Lombardy]]*NOT(ISBLANK(Tabella8[[#This Row],[Lombardy]]))</f>
        <v>0</v>
      </c>
      <c r="M42" s="123">
        <f>IFERROR(Kr*_xlfn.LOGNORM.DIST((Tabella8[[#This Row],[Day]]-pr),mu_r,sigma_r,TRUE),0)</f>
        <v>1.1067531237093309E-11</v>
      </c>
      <c r="N42" s="123">
        <f>Tabella8[[#This Row],[Lombardy fit]]/Kr</f>
        <v>1.2721300272521045E-16</v>
      </c>
      <c r="O42" s="10">
        <f>Tabella8[[#This Row],[Lombardy fit]]*NOT(ISBLANK(Tabella8[[#This Row],[Lombardy]]))</f>
        <v>0</v>
      </c>
      <c r="P42" s="10" t="e">
        <f>Tabella8[[#This Row],[Lombardy fit]]+CIr</f>
        <v>#NUM!</v>
      </c>
      <c r="Q42" s="10" t="e">
        <f>MAX(Tabella8[[#This Row],[Lombardy fit]]-CIr,0)</f>
        <v>#NUM!</v>
      </c>
      <c r="R42" s="155"/>
      <c r="S42" s="10">
        <f>Tabella8[[#This Row],[rest of Italy ]]*NOT(ISBLANK(Tabella8[[#This Row],[rest of Italy ]]))</f>
        <v>0</v>
      </c>
      <c r="T42" s="124">
        <f>IFERROR(Ko*_xlfn.LOGNORM.DIST((Tabella8[[#This Row],[Day]]-po),mu_o,sigma_o,TRUE),0)</f>
        <v>0</v>
      </c>
      <c r="U42" s="124">
        <f>Tabella8[[#This Row],[rest of Italy fit]]/Ko</f>
        <v>0</v>
      </c>
      <c r="V42" s="22">
        <f>Tabella8[[#This Row],[rest of Italy fit]]*NOT(ISBLANK(Tabella8[[#This Row],[rest of Italy ]]))</f>
        <v>0</v>
      </c>
      <c r="W42" s="10">
        <f>Tabella8[[#This Row],[rest of Italy fit]]+CIo</f>
        <v>104195.92689792225</v>
      </c>
      <c r="X42" s="10">
        <f>MAX(Tabella8[[#This Row],[rest of Italy fit]]-CIo,0)</f>
        <v>0</v>
      </c>
      <c r="Z42" s="101" t="s">
        <v>63</v>
      </c>
      <c r="AA42" s="30">
        <v>4.1677232340841748</v>
      </c>
      <c r="AO42" s="51">
        <f>{0;0;1;200;0;FALSE;FALSE;0.075;0;0;FALSE;30}</f>
        <v>0</v>
      </c>
      <c r="AU42" s="83"/>
      <c r="AV42" s="83"/>
      <c r="AX42" s="32"/>
      <c r="AY42" s="32"/>
      <c r="BA42" s="86"/>
      <c r="BB42" s="86"/>
      <c r="BD42" s="2"/>
      <c r="BE42" s="2"/>
    </row>
    <row r="43" spans="2:57" ht="15" thickBot="1" x14ac:dyDescent="0.35">
      <c r="B43" s="148">
        <v>43866</v>
      </c>
      <c r="C43" s="4">
        <v>36</v>
      </c>
      <c r="D43" s="90">
        <v>1</v>
      </c>
      <c r="E43" s="10">
        <f>Tabella8[[#This Row],[Spain cum. Cases]]*NOT(ISBLANK(Tabella8[[#This Row],[Spain cum. Cases]]))</f>
        <v>1</v>
      </c>
      <c r="F43" s="146">
        <f>IFERROR(Kt*_xlfn.LOGNORM.DIST((Tabella8[[#This Row],[Day]]-Days_back),mu_t,sigma_t,TRUE),0)</f>
        <v>4.9775236775631927E-37</v>
      </c>
      <c r="G43" s="147">
        <f>Tabella8[[#This Row],[Spain cum. fit]]/Kt</f>
        <v>1.7776876894497056E-42</v>
      </c>
      <c r="H43" s="324">
        <f>Tabella8[[#This Row],[Spain cum. fit]]*NOT(ISBLANK(Tabella8[[#This Row],[Spain cum. Cases]]))</f>
        <v>4.9775236775631927E-37</v>
      </c>
      <c r="I43" s="10">
        <f>Tabella8[[#This Row],[Spain cum. fit]]+CIt</f>
        <v>8706.1787626415862</v>
      </c>
      <c r="J43" s="10">
        <f>MAX(Tabella8[[#This Row],[Spain cum. fit]]-CIt,0)</f>
        <v>0</v>
      </c>
      <c r="K43" s="153"/>
      <c r="L43" s="10">
        <f>Tabella8[[#This Row],[Lombardy]]*NOT(ISBLANK(Tabella8[[#This Row],[Lombardy]]))</f>
        <v>0</v>
      </c>
      <c r="M43" s="123">
        <f>IFERROR(Kr*_xlfn.LOGNORM.DIST((Tabella8[[#This Row],[Day]]-pr),mu_r,sigma_r,TRUE),0)</f>
        <v>2.706273601535887E-9</v>
      </c>
      <c r="N43" s="123">
        <f>Tabella8[[#This Row],[Lombardy fit]]/Kr</f>
        <v>3.1106593121102147E-14</v>
      </c>
      <c r="O43" s="10">
        <f>Tabella8[[#This Row],[Lombardy fit]]*NOT(ISBLANK(Tabella8[[#This Row],[Lombardy]]))</f>
        <v>0</v>
      </c>
      <c r="P43" s="10" t="e">
        <f>Tabella8[[#This Row],[Lombardy fit]]+CIr</f>
        <v>#NUM!</v>
      </c>
      <c r="Q43" s="10" t="e">
        <f>MAX(Tabella8[[#This Row],[Lombardy fit]]-CIr,0)</f>
        <v>#NUM!</v>
      </c>
      <c r="R43" s="155"/>
      <c r="S43" s="10">
        <f>Tabella8[[#This Row],[rest of Italy ]]*NOT(ISBLANK(Tabella8[[#This Row],[rest of Italy ]]))</f>
        <v>0</v>
      </c>
      <c r="T43" s="124">
        <f>IFERROR(Ko*_xlfn.LOGNORM.DIST((Tabella8[[#This Row],[Day]]-po),mu_o,sigma_o,TRUE),0)</f>
        <v>0</v>
      </c>
      <c r="U43" s="124">
        <f>Tabella8[[#This Row],[rest of Italy fit]]/Ko</f>
        <v>0</v>
      </c>
      <c r="V43" s="22">
        <f>Tabella8[[#This Row],[rest of Italy fit]]*NOT(ISBLANK(Tabella8[[#This Row],[rest of Italy ]]))</f>
        <v>0</v>
      </c>
      <c r="W43" s="10">
        <f>Tabella8[[#This Row],[rest of Italy fit]]+CIo</f>
        <v>104195.92689792225</v>
      </c>
      <c r="X43" s="10">
        <f>MAX(Tabella8[[#This Row],[rest of Italy fit]]-CIo,0)</f>
        <v>0</v>
      </c>
      <c r="Z43" s="14" t="s">
        <v>64</v>
      </c>
      <c r="AA43" s="30">
        <v>0.26871967492158361</v>
      </c>
      <c r="AO43" s="52">
        <f>{0;0;1;200;0;FALSE;FALSE;0.075;0;0;FALSE;30}</f>
        <v>0</v>
      </c>
      <c r="AU43" s="83"/>
      <c r="AV43" s="83"/>
      <c r="AX43" s="32"/>
      <c r="AY43" s="32"/>
      <c r="BA43" s="86"/>
      <c r="BB43" s="86"/>
      <c r="BD43" s="2"/>
      <c r="BE43" s="2"/>
    </row>
    <row r="44" spans="2:57" x14ac:dyDescent="0.3">
      <c r="B44" s="148">
        <v>43867</v>
      </c>
      <c r="C44" s="4">
        <v>37</v>
      </c>
      <c r="D44" s="90">
        <v>1</v>
      </c>
      <c r="E44" s="10">
        <f>Tabella8[[#This Row],[Spain cum. Cases]]*NOT(ISBLANK(Tabella8[[#This Row],[Spain cum. Cases]]))</f>
        <v>1</v>
      </c>
      <c r="F44" s="146">
        <f>IFERROR(Kt*_xlfn.LOGNORM.DIST((Tabella8[[#This Row],[Day]]-Days_back),mu_t,sigma_t,TRUE),0)</f>
        <v>2.6861421325734695E-27</v>
      </c>
      <c r="G44" s="147">
        <f>Tabella8[[#This Row],[Spain cum. fit]]/Kt</f>
        <v>9.5933683303456529E-33</v>
      </c>
      <c r="H44" s="324">
        <f>Tabella8[[#This Row],[Spain cum. fit]]*NOT(ISBLANK(Tabella8[[#This Row],[Spain cum. Cases]]))</f>
        <v>2.6861421325734695E-27</v>
      </c>
      <c r="I44" s="10">
        <f>Tabella8[[#This Row],[Spain cum. fit]]+CIt</f>
        <v>8706.1787626415862</v>
      </c>
      <c r="J44" s="10">
        <f>MAX(Tabella8[[#This Row],[Spain cum. fit]]-CIt,0)</f>
        <v>0</v>
      </c>
      <c r="K44" s="153"/>
      <c r="L44" s="10">
        <f>Tabella8[[#This Row],[Lombardy]]*NOT(ISBLANK(Tabella8[[#This Row],[Lombardy]]))</f>
        <v>0</v>
      </c>
      <c r="M44" s="123">
        <f>IFERROR(Kr*_xlfn.LOGNORM.DIST((Tabella8[[#This Row],[Day]]-pr),mu_r,sigma_r,TRUE),0)</f>
        <v>1.6452786763801899E-7</v>
      </c>
      <c r="N44" s="123">
        <f>Tabella8[[#This Row],[Lombardy fit]]/Kr</f>
        <v>1.8911249153795285E-12</v>
      </c>
      <c r="O44" s="10">
        <f>Tabella8[[#This Row],[Lombardy fit]]*NOT(ISBLANK(Tabella8[[#This Row],[Lombardy]]))</f>
        <v>0</v>
      </c>
      <c r="P44" s="10" t="e">
        <f>Tabella8[[#This Row],[Lombardy fit]]+CIr</f>
        <v>#NUM!</v>
      </c>
      <c r="Q44" s="10" t="e">
        <f>MAX(Tabella8[[#This Row],[Lombardy fit]]-CIr,0)</f>
        <v>#NUM!</v>
      </c>
      <c r="R44" s="155"/>
      <c r="S44" s="10">
        <f>Tabella8[[#This Row],[rest of Italy ]]*NOT(ISBLANK(Tabella8[[#This Row],[rest of Italy ]]))</f>
        <v>0</v>
      </c>
      <c r="T44" s="124">
        <f>IFERROR(Ko*_xlfn.LOGNORM.DIST((Tabella8[[#This Row],[Day]]-po),mu_o,sigma_o,TRUE),0)</f>
        <v>0</v>
      </c>
      <c r="U44" s="124">
        <f>Tabella8[[#This Row],[rest of Italy fit]]/Ko</f>
        <v>0</v>
      </c>
      <c r="V44" s="22">
        <f>Tabella8[[#This Row],[rest of Italy fit]]*NOT(ISBLANK(Tabella8[[#This Row],[rest of Italy ]]))</f>
        <v>0</v>
      </c>
      <c r="W44" s="10">
        <f>Tabella8[[#This Row],[rest of Italy fit]]+CIo</f>
        <v>104195.92689792225</v>
      </c>
      <c r="X44" s="10">
        <f>MAX(Tabella8[[#This Row],[rest of Italy fit]]-CIo,0)</f>
        <v>0</v>
      </c>
      <c r="Z44" s="2" t="s">
        <v>1</v>
      </c>
      <c r="AA44" s="1">
        <f>AVERAGE(Tabella8[Spain cum. Cases])</f>
        <v>57633.234693877552</v>
      </c>
      <c r="AU44" s="83"/>
      <c r="AV44" s="83"/>
      <c r="AX44" s="32"/>
      <c r="AY44" s="32"/>
      <c r="BA44" s="86"/>
      <c r="BB44" s="86"/>
      <c r="BD44" s="2"/>
      <c r="BE44" s="2"/>
    </row>
    <row r="45" spans="2:57" x14ac:dyDescent="0.3">
      <c r="B45" s="148">
        <v>43868</v>
      </c>
      <c r="C45" s="4">
        <v>38</v>
      </c>
      <c r="D45" s="90">
        <v>1</v>
      </c>
      <c r="E45" s="10">
        <f>Tabella8[[#This Row],[Spain cum. Cases]]*NOT(ISBLANK(Tabella8[[#This Row],[Spain cum. Cases]]))</f>
        <v>1</v>
      </c>
      <c r="F45" s="146">
        <f>IFERROR(Kt*_xlfn.LOGNORM.DIST((Tabella8[[#This Row],[Day]]-Days_back),mu_t,sigma_t,TRUE),0)</f>
        <v>1.8753691841868997E-21</v>
      </c>
      <c r="G45" s="147">
        <f>Tabella8[[#This Row],[Spain cum. fit]]/Kt</f>
        <v>6.6977495796353531E-27</v>
      </c>
      <c r="H45" s="324">
        <f>Tabella8[[#This Row],[Spain cum. fit]]*NOT(ISBLANK(Tabella8[[#This Row],[Spain cum. Cases]]))</f>
        <v>1.8753691841868997E-21</v>
      </c>
      <c r="I45" s="10">
        <f>Tabella8[[#This Row],[Spain cum. fit]]+CIt</f>
        <v>8706.1787626415862</v>
      </c>
      <c r="J45" s="10">
        <f>MAX(Tabella8[[#This Row],[Spain cum. fit]]-CIt,0)</f>
        <v>0</v>
      </c>
      <c r="K45" s="153"/>
      <c r="L45" s="10">
        <f>Tabella8[[#This Row],[Lombardy]]*NOT(ISBLANK(Tabella8[[#This Row],[Lombardy]]))</f>
        <v>0</v>
      </c>
      <c r="M45" s="123">
        <f>IFERROR(Kr*_xlfn.LOGNORM.DIST((Tabella8[[#This Row],[Day]]-pr),mu_r,sigma_r,TRUE),0)</f>
        <v>4.0922874212949553E-6</v>
      </c>
      <c r="N45" s="123">
        <f>Tabella8[[#This Row],[Lombardy fit]]/Kr</f>
        <v>4.7037786451666155E-11</v>
      </c>
      <c r="O45" s="10">
        <f>Tabella8[[#This Row],[Lombardy fit]]*NOT(ISBLANK(Tabella8[[#This Row],[Lombardy]]))</f>
        <v>0</v>
      </c>
      <c r="P45" s="10" t="e">
        <f>Tabella8[[#This Row],[Lombardy fit]]+CIr</f>
        <v>#NUM!</v>
      </c>
      <c r="Q45" s="10" t="e">
        <f>MAX(Tabella8[[#This Row],[Lombardy fit]]-CIr,0)</f>
        <v>#NUM!</v>
      </c>
      <c r="R45" s="155"/>
      <c r="S45" s="10">
        <f>Tabella8[[#This Row],[rest of Italy ]]*NOT(ISBLANK(Tabella8[[#This Row],[rest of Italy ]]))</f>
        <v>0</v>
      </c>
      <c r="T45" s="124">
        <f>IFERROR(Ko*_xlfn.LOGNORM.DIST((Tabella8[[#This Row],[Day]]-po),mu_o,sigma_o,TRUE),0)</f>
        <v>1.9507327401080682E-56</v>
      </c>
      <c r="U45" s="124">
        <f>Tabella8[[#This Row],[rest of Italy fit]]/Ko</f>
        <v>1.3180628156728576E-61</v>
      </c>
      <c r="V45" s="22">
        <f>Tabella8[[#This Row],[rest of Italy fit]]*NOT(ISBLANK(Tabella8[[#This Row],[rest of Italy ]]))</f>
        <v>0</v>
      </c>
      <c r="W45" s="10">
        <f>Tabella8[[#This Row],[rest of Italy fit]]+CIo</f>
        <v>104195.92689792225</v>
      </c>
      <c r="X45" s="10">
        <f>MAX(Tabella8[[#This Row],[rest of Italy fit]]-CIo,0)</f>
        <v>0</v>
      </c>
      <c r="Z45" s="2" t="s">
        <v>2</v>
      </c>
      <c r="AA45" s="1">
        <f>COUNT(Tabella8[Spain cum. Cases])-COUNT(AA41:AA43,pt)</f>
        <v>94</v>
      </c>
      <c r="AU45" s="83"/>
      <c r="AV45" s="83"/>
      <c r="AX45" s="32"/>
      <c r="AY45" s="32"/>
      <c r="BA45" s="86"/>
      <c r="BB45" s="86"/>
      <c r="BD45" s="2"/>
      <c r="BE45" s="2"/>
    </row>
    <row r="46" spans="2:57" x14ac:dyDescent="0.3">
      <c r="B46" s="148">
        <v>43869</v>
      </c>
      <c r="C46" s="4">
        <v>39</v>
      </c>
      <c r="D46" s="90">
        <v>1</v>
      </c>
      <c r="E46" s="10">
        <f>Tabella8[[#This Row],[Spain cum. Cases]]*NOT(ISBLANK(Tabella8[[#This Row],[Spain cum. Cases]]))</f>
        <v>1</v>
      </c>
      <c r="F46" s="146">
        <f>IFERROR(Kt*_xlfn.LOGNORM.DIST((Tabella8[[#This Row],[Day]]-Days_back),mu_t,sigma_t,TRUE),0)</f>
        <v>1.9776121614858529E-17</v>
      </c>
      <c r="G46" s="147">
        <f>Tabella8[[#This Row],[Spain cum. fit]]/Kt</f>
        <v>7.0629032059180827E-23</v>
      </c>
      <c r="H46" s="324">
        <f>Tabella8[[#This Row],[Spain cum. fit]]*NOT(ISBLANK(Tabella8[[#This Row],[Spain cum. Cases]]))</f>
        <v>1.9776121614858529E-17</v>
      </c>
      <c r="I46" s="10">
        <f>Tabella8[[#This Row],[Spain cum. fit]]+CIt</f>
        <v>8706.1787626415862</v>
      </c>
      <c r="J46" s="10">
        <f>MAX(Tabella8[[#This Row],[Spain cum. fit]]-CIt,0)</f>
        <v>0</v>
      </c>
      <c r="K46" s="153"/>
      <c r="L46" s="10">
        <f>Tabella8[[#This Row],[Lombardy]]*NOT(ISBLANK(Tabella8[[#This Row],[Lombardy]]))</f>
        <v>0</v>
      </c>
      <c r="M46" s="123">
        <f>IFERROR(Kr*_xlfn.LOGNORM.DIST((Tabella8[[#This Row],[Day]]-pr),mu_r,sigma_r,TRUE),0)</f>
        <v>5.4980686627547732E-5</v>
      </c>
      <c r="N46" s="123">
        <f>Tabella8[[#This Row],[Lombardy fit]]/Kr</f>
        <v>6.3196191525916934E-10</v>
      </c>
      <c r="O46" s="10">
        <f>Tabella8[[#This Row],[Lombardy fit]]*NOT(ISBLANK(Tabella8[[#This Row],[Lombardy]]))</f>
        <v>0</v>
      </c>
      <c r="P46" s="10" t="e">
        <f>Tabella8[[#This Row],[Lombardy fit]]+CIr</f>
        <v>#NUM!</v>
      </c>
      <c r="Q46" s="10" t="e">
        <f>MAX(Tabella8[[#This Row],[Lombardy fit]]-CIr,0)</f>
        <v>#NUM!</v>
      </c>
      <c r="R46" s="155"/>
      <c r="S46" s="10">
        <f>Tabella8[[#This Row],[rest of Italy ]]*NOT(ISBLANK(Tabella8[[#This Row],[rest of Italy ]]))</f>
        <v>0</v>
      </c>
      <c r="T46" s="124">
        <f>IFERROR(Ko*_xlfn.LOGNORM.DIST((Tabella8[[#This Row],[Day]]-po),mu_o,sigma_o,TRUE),0)</f>
        <v>2.4258346319876795E-27</v>
      </c>
      <c r="U46" s="124">
        <f>Tabella8[[#This Row],[rest of Italy fit]]/Ko</f>
        <v>1.6390776448532252E-32</v>
      </c>
      <c r="V46" s="22">
        <f>Tabella8[[#This Row],[rest of Italy fit]]*NOT(ISBLANK(Tabella8[[#This Row],[rest of Italy ]]))</f>
        <v>0</v>
      </c>
      <c r="W46" s="10">
        <f>Tabella8[[#This Row],[rest of Italy fit]]+CIo</f>
        <v>104195.92689792225</v>
      </c>
      <c r="X46" s="10">
        <f>MAX(Tabella8[[#This Row],[rest of Italy fit]]-CIo,0)</f>
        <v>0</v>
      </c>
      <c r="Z46" s="2" t="s">
        <v>3</v>
      </c>
      <c r="AA46" s="6" cm="1">
        <f t="array" ref="AA46">SQRT(SUM((Tabella8[Colonna1]-Tabella8[Colonna3])^2)/dft)</f>
        <v>4384.8279899716727</v>
      </c>
      <c r="AU46" s="83"/>
      <c r="AV46" s="83"/>
      <c r="AX46" s="32"/>
      <c r="AY46" s="32"/>
      <c r="BA46" s="86"/>
      <c r="BB46" s="86"/>
      <c r="BD46" s="2"/>
      <c r="BE46" s="2"/>
    </row>
    <row r="47" spans="2:57" ht="16.2" x14ac:dyDescent="0.3">
      <c r="B47" s="148">
        <v>43870</v>
      </c>
      <c r="C47" s="4">
        <v>40</v>
      </c>
      <c r="D47" s="90">
        <v>2</v>
      </c>
      <c r="E47" s="10">
        <f>Tabella8[[#This Row],[Spain cum. Cases]]*NOT(ISBLANK(Tabella8[[#This Row],[Spain cum. Cases]]))</f>
        <v>2</v>
      </c>
      <c r="F47" s="146">
        <f>IFERROR(Kt*_xlfn.LOGNORM.DIST((Tabella8[[#This Row],[Day]]-Days_back),mu_t,sigma_t,TRUE),0)</f>
        <v>1.9202273422868463E-14</v>
      </c>
      <c r="G47" s="147">
        <f>Tabella8[[#This Row],[Spain cum. fit]]/Kt</f>
        <v>6.8579573467728937E-20</v>
      </c>
      <c r="H47" s="324">
        <f>Tabella8[[#This Row],[Spain cum. fit]]*NOT(ISBLANK(Tabella8[[#This Row],[Spain cum. Cases]]))</f>
        <v>1.9202273422868463E-14</v>
      </c>
      <c r="I47" s="10">
        <f>Tabella8[[#This Row],[Spain cum. fit]]+CIt</f>
        <v>8706.1787626415862</v>
      </c>
      <c r="J47" s="10">
        <f>MAX(Tabella8[[#This Row],[Spain cum. fit]]-CIt,0)</f>
        <v>0</v>
      </c>
      <c r="K47" s="153"/>
      <c r="L47" s="10">
        <f>Tabella8[[#This Row],[Lombardy]]*NOT(ISBLANK(Tabella8[[#This Row],[Lombardy]]))</f>
        <v>0</v>
      </c>
      <c r="M47" s="123">
        <f>IFERROR(Kr*_xlfn.LOGNORM.DIST((Tabella8[[#This Row],[Day]]-pr),mu_r,sigma_r,TRUE),0)</f>
        <v>4.7268540916532139E-4</v>
      </c>
      <c r="N47" s="123">
        <f>Tabella8[[#This Row],[Lombardy fit]]/Kr</f>
        <v>5.4331656225899009E-9</v>
      </c>
      <c r="O47" s="10">
        <f>Tabella8[[#This Row],[Lombardy fit]]*NOT(ISBLANK(Tabella8[[#This Row],[Lombardy]]))</f>
        <v>0</v>
      </c>
      <c r="P47" s="10" t="e">
        <f>Tabella8[[#This Row],[Lombardy fit]]+CIr</f>
        <v>#NUM!</v>
      </c>
      <c r="Q47" s="10" t="e">
        <f>MAX(Tabella8[[#This Row],[Lombardy fit]]-CIr,0)</f>
        <v>#NUM!</v>
      </c>
      <c r="R47" s="155"/>
      <c r="S47" s="10">
        <f>Tabella8[[#This Row],[rest of Italy ]]*NOT(ISBLANK(Tabella8[[#This Row],[rest of Italy ]]))</f>
        <v>0</v>
      </c>
      <c r="T47" s="124">
        <f>IFERROR(Ko*_xlfn.LOGNORM.DIST((Tabella8[[#This Row],[Day]]-po),mu_o,sigma_o,TRUE),0)</f>
        <v>9.0611137748086005E-19</v>
      </c>
      <c r="U47" s="124">
        <f>Tabella8[[#This Row],[rest of Italy fit]]/Ko</f>
        <v>6.1223748848828497E-24</v>
      </c>
      <c r="V47" s="22">
        <f>Tabella8[[#This Row],[rest of Italy fit]]*NOT(ISBLANK(Tabella8[[#This Row],[rest of Italy ]]))</f>
        <v>0</v>
      </c>
      <c r="W47" s="10">
        <f>Tabella8[[#This Row],[rest of Italy fit]]+CIo</f>
        <v>104195.92689792225</v>
      </c>
      <c r="X47" s="10">
        <f>MAX(Tabella8[[#This Row],[rest of Italy fit]]-CIo,0)</f>
        <v>0</v>
      </c>
      <c r="Z47" s="2" t="s">
        <v>4</v>
      </c>
      <c r="AA47" s="7" cm="1">
        <f t="array" ref="AA47">1-SUM((Tabella8[Colonna1]-Tabella8[Colonna3])^2)/SUM((Tabella8[Colonna1]-Mean_of_yt)^2)</f>
        <v>0.99794590512500236</v>
      </c>
      <c r="AU47" s="83"/>
      <c r="AV47" s="83"/>
      <c r="AX47" s="32"/>
      <c r="AY47" s="32"/>
      <c r="BA47" s="86"/>
      <c r="BB47" s="86"/>
      <c r="BD47" s="2"/>
      <c r="BE47" s="2"/>
    </row>
    <row r="48" spans="2:57" x14ac:dyDescent="0.3">
      <c r="B48" s="148">
        <v>43871</v>
      </c>
      <c r="C48" s="4">
        <v>41</v>
      </c>
      <c r="D48" s="90">
        <v>2</v>
      </c>
      <c r="E48" s="10">
        <f>Tabella8[[#This Row],[Spain cum. Cases]]*NOT(ISBLANK(Tabella8[[#This Row],[Spain cum. Cases]]))</f>
        <v>2</v>
      </c>
      <c r="F48" s="146">
        <f>IFERROR(Kt*_xlfn.LOGNORM.DIST((Tabella8[[#This Row],[Day]]-Days_back),mu_t,sigma_t,TRUE),0)</f>
        <v>4.0875309750293764E-12</v>
      </c>
      <c r="G48" s="147">
        <f>Tabella8[[#This Row],[Spain cum. fit]]/Kt</f>
        <v>1.4598330345083174E-17</v>
      </c>
      <c r="H48" s="324">
        <f>Tabella8[[#This Row],[Spain cum. fit]]*NOT(ISBLANK(Tabella8[[#This Row],[Spain cum. Cases]]))</f>
        <v>4.0875309750293764E-12</v>
      </c>
      <c r="I48" s="10">
        <f>Tabella8[[#This Row],[Spain cum. fit]]+CIt</f>
        <v>8706.1787626415899</v>
      </c>
      <c r="J48" s="10">
        <f>MAX(Tabella8[[#This Row],[Spain cum. fit]]-CIt,0)</f>
        <v>0</v>
      </c>
      <c r="K48" s="153"/>
      <c r="L48" s="10">
        <f>Tabella8[[#This Row],[Lombardy]]*NOT(ISBLANK(Tabella8[[#This Row],[Lombardy]]))</f>
        <v>0</v>
      </c>
      <c r="M48" s="123">
        <f>IFERROR(Kr*_xlfn.LOGNORM.DIST((Tabella8[[#This Row],[Day]]-pr),mu_r,sigma_r,TRUE),0)</f>
        <v>2.9037514905089928E-3</v>
      </c>
      <c r="N48" s="123">
        <f>Tabella8[[#This Row],[Lombardy fit]]/Kr</f>
        <v>3.3376453913896467E-8</v>
      </c>
      <c r="O48" s="10">
        <f>Tabella8[[#This Row],[Lombardy fit]]*NOT(ISBLANK(Tabella8[[#This Row],[Lombardy]]))</f>
        <v>0</v>
      </c>
      <c r="P48" s="10" t="e">
        <f>Tabella8[[#This Row],[Lombardy fit]]+CIr</f>
        <v>#NUM!</v>
      </c>
      <c r="Q48" s="10" t="e">
        <f>MAX(Tabella8[[#This Row],[Lombardy fit]]-CIr,0)</f>
        <v>#NUM!</v>
      </c>
      <c r="R48" s="155"/>
      <c r="S48" s="10">
        <f>Tabella8[[#This Row],[rest of Italy ]]*NOT(ISBLANK(Tabella8[[#This Row],[rest of Italy ]]))</f>
        <v>0</v>
      </c>
      <c r="T48" s="124">
        <f>IFERROR(Ko*_xlfn.LOGNORM.DIST((Tabella8[[#This Row],[Day]]-po),mu_o,sigma_o,TRUE),0)</f>
        <v>4.4611368624324991E-14</v>
      </c>
      <c r="U48" s="124">
        <f>Tabella8[[#This Row],[rest of Italy fit]]/Ko</f>
        <v>3.0142820147028492E-19</v>
      </c>
      <c r="V48" s="22">
        <f>Tabella8[[#This Row],[rest of Italy fit]]*NOT(ISBLANK(Tabella8[[#This Row],[rest of Italy ]]))</f>
        <v>0</v>
      </c>
      <c r="W48" s="10">
        <f>Tabella8[[#This Row],[rest of Italy fit]]+CIo</f>
        <v>104195.92689792225</v>
      </c>
      <c r="X48" s="10">
        <f>MAX(Tabella8[[#This Row],[rest of Italy fit]]-CIo,0)</f>
        <v>0</v>
      </c>
      <c r="Z48" s="2" t="s">
        <v>5</v>
      </c>
      <c r="AA48" s="7">
        <f>TINV(0.05,dft)</f>
        <v>1.9855234418666059</v>
      </c>
      <c r="AU48" s="83"/>
      <c r="AV48" s="83"/>
      <c r="AX48" s="32"/>
      <c r="AY48" s="32"/>
      <c r="BA48" s="86"/>
      <c r="BB48" s="86"/>
      <c r="BD48" s="2"/>
      <c r="BE48" s="2"/>
    </row>
    <row r="49" spans="2:375" x14ac:dyDescent="0.3">
      <c r="B49" s="148">
        <v>43872</v>
      </c>
      <c r="C49" s="4">
        <v>42</v>
      </c>
      <c r="D49" s="90">
        <v>2</v>
      </c>
      <c r="E49" s="10">
        <f>Tabella8[[#This Row],[Spain cum. Cases]]*NOT(ISBLANK(Tabella8[[#This Row],[Spain cum. Cases]]))</f>
        <v>2</v>
      </c>
      <c r="F49" s="146">
        <f>IFERROR(Kt*_xlfn.LOGNORM.DIST((Tabella8[[#This Row],[Day]]-Days_back),mu_t,sigma_t,TRUE),0)</f>
        <v>3.0772466840732951E-10</v>
      </c>
      <c r="G49" s="147">
        <f>Tabella8[[#This Row],[Spain cum. fit]]/Kt</f>
        <v>1.099017081995101E-15</v>
      </c>
      <c r="H49" s="324">
        <f>Tabella8[[#This Row],[Spain cum. fit]]*NOT(ISBLANK(Tabella8[[#This Row],[Spain cum. Cases]]))</f>
        <v>3.0772466840732951E-10</v>
      </c>
      <c r="I49" s="10">
        <f>Tabella8[[#This Row],[Spain cum. fit]]+CIt</f>
        <v>8706.1787626418936</v>
      </c>
      <c r="J49" s="10">
        <f>MAX(Tabella8[[#This Row],[Spain cum. fit]]-CIt,0)</f>
        <v>0</v>
      </c>
      <c r="K49" s="153"/>
      <c r="L49" s="10">
        <f>Tabella8[[#This Row],[Lombardy]]*NOT(ISBLANK(Tabella8[[#This Row],[Lombardy]]))</f>
        <v>0</v>
      </c>
      <c r="M49" s="123">
        <f>IFERROR(Kr*_xlfn.LOGNORM.DIST((Tabella8[[#This Row],[Day]]-pr),mu_r,sigma_r,TRUE),0)</f>
        <v>1.3744676008109632E-2</v>
      </c>
      <c r="N49" s="123">
        <f>Tabella8[[#This Row],[Lombardy fit]]/Kr</f>
        <v>1.5798478170240956E-7</v>
      </c>
      <c r="O49" s="10">
        <f>Tabella8[[#This Row],[Lombardy fit]]*NOT(ISBLANK(Tabella8[[#This Row],[Lombardy]]))</f>
        <v>0</v>
      </c>
      <c r="P49" s="10" t="e">
        <f>Tabella8[[#This Row],[Lombardy fit]]+CIr</f>
        <v>#NUM!</v>
      </c>
      <c r="Q49" s="10" t="e">
        <f>MAX(Tabella8[[#This Row],[Lombardy fit]]-CIr,0)</f>
        <v>#NUM!</v>
      </c>
      <c r="R49" s="155"/>
      <c r="S49" s="10">
        <f>Tabella8[[#This Row],[rest of Italy ]]*NOT(ISBLANK(Tabella8[[#This Row],[rest of Italy ]]))</f>
        <v>0</v>
      </c>
      <c r="T49" s="124">
        <f>IFERROR(Ko*_xlfn.LOGNORM.DIST((Tabella8[[#This Row],[Day]]-po),mu_o,sigma_o,TRUE),0)</f>
        <v>5.4492801872499963E-11</v>
      </c>
      <c r="U49" s="124">
        <f>Tabella8[[#This Row],[rest of Italy fit]]/Ko</f>
        <v>3.6819465010871482E-16</v>
      </c>
      <c r="V49" s="22">
        <f>Tabella8[[#This Row],[rest of Italy fit]]*NOT(ISBLANK(Tabella8[[#This Row],[rest of Italy ]]))</f>
        <v>0</v>
      </c>
      <c r="W49" s="10">
        <f>Tabella8[[#This Row],[rest of Italy fit]]+CIo</f>
        <v>104195.92689792231</v>
      </c>
      <c r="X49" s="10">
        <f>MAX(Tabella8[[#This Row],[rest of Italy fit]]-CIo,0)</f>
        <v>0</v>
      </c>
      <c r="Z49" s="2" t="s">
        <v>6</v>
      </c>
      <c r="AA49" s="1">
        <f>Critical_tt*SE_of_yt</f>
        <v>8706.1787626415862</v>
      </c>
      <c r="AU49" s="83"/>
      <c r="AV49" s="83"/>
      <c r="AX49" s="32"/>
      <c r="AY49" s="32"/>
      <c r="BA49" s="86"/>
      <c r="BB49" s="86"/>
      <c r="BD49" s="2"/>
      <c r="BE49" s="2"/>
    </row>
    <row r="50" spans="2:375" x14ac:dyDescent="0.3">
      <c r="B50" s="148">
        <v>43873</v>
      </c>
      <c r="C50" s="4">
        <v>43</v>
      </c>
      <c r="D50" s="90">
        <v>2</v>
      </c>
      <c r="E50" s="10">
        <f>Tabella8[[#This Row],[Spain cum. Cases]]*NOT(ISBLANK(Tabella8[[#This Row],[Spain cum. Cases]]))</f>
        <v>2</v>
      </c>
      <c r="F50" s="146">
        <f>IFERROR(Kt*_xlfn.LOGNORM.DIST((Tabella8[[#This Row],[Day]]-Days_back),mu_t,sigma_t,TRUE),0)</f>
        <v>1.0942553966102273E-8</v>
      </c>
      <c r="G50" s="147">
        <f>Tabella8[[#This Row],[Spain cum. fit]]/Kt</f>
        <v>3.9080564426771833E-14</v>
      </c>
      <c r="H50" s="324">
        <f>Tabella8[[#This Row],[Spain cum. fit]]*NOT(ISBLANK(Tabella8[[#This Row],[Spain cum. Cases]]))</f>
        <v>1.0942553966102273E-8</v>
      </c>
      <c r="I50" s="10">
        <f>Tabella8[[#This Row],[Spain cum. fit]]+CIt</f>
        <v>8706.1787626525293</v>
      </c>
      <c r="J50" s="10">
        <f>MAX(Tabella8[[#This Row],[Spain cum. fit]]-CIt,0)</f>
        <v>0</v>
      </c>
      <c r="K50" s="153"/>
      <c r="L50" s="10">
        <f>Tabella8[[#This Row],[Lombardy]]*NOT(ISBLANK(Tabella8[[#This Row],[Lombardy]]))</f>
        <v>0</v>
      </c>
      <c r="M50" s="123">
        <f>IFERROR(Kr*_xlfn.LOGNORM.DIST((Tabella8[[#This Row],[Day]]-pr),mu_r,sigma_r,TRUE),0)</f>
        <v>5.289229195701816E-2</v>
      </c>
      <c r="N50" s="123">
        <f>Tabella8[[#This Row],[Lombardy fit]]/Kr</f>
        <v>6.079573788163007E-7</v>
      </c>
      <c r="O50" s="10">
        <f>Tabella8[[#This Row],[Lombardy fit]]*NOT(ISBLANK(Tabella8[[#This Row],[Lombardy]]))</f>
        <v>0</v>
      </c>
      <c r="P50" s="10" t="e">
        <f>Tabella8[[#This Row],[Lombardy fit]]+CIr</f>
        <v>#NUM!</v>
      </c>
      <c r="Q50" s="10" t="e">
        <f>MAX(Tabella8[[#This Row],[Lombardy fit]]-CIr,0)</f>
        <v>#NUM!</v>
      </c>
      <c r="R50" s="155"/>
      <c r="S50" s="10">
        <f>Tabella8[[#This Row],[rest of Italy ]]*NOT(ISBLANK(Tabella8[[#This Row],[rest of Italy ]]))</f>
        <v>0</v>
      </c>
      <c r="T50" s="124">
        <f>IFERROR(Ko*_xlfn.LOGNORM.DIST((Tabella8[[#This Row],[Day]]-po),mu_o,sigma_o,TRUE),0)</f>
        <v>9.2374410644758984E-9</v>
      </c>
      <c r="U50" s="124">
        <f>Tabella8[[#This Row],[rest of Italy fit]]/Ko</f>
        <v>6.2415149593381372E-14</v>
      </c>
      <c r="V50" s="22">
        <f>Tabella8[[#This Row],[rest of Italy fit]]*NOT(ISBLANK(Tabella8[[#This Row],[rest of Italy ]]))</f>
        <v>0</v>
      </c>
      <c r="W50" s="10">
        <f>Tabella8[[#This Row],[rest of Italy fit]]+CIo</f>
        <v>104195.92689793149</v>
      </c>
      <c r="X50" s="10">
        <f>MAX(Tabella8[[#This Row],[rest of Italy fit]]-CIo,0)</f>
        <v>0</v>
      </c>
      <c r="Z50" s="78" t="s">
        <v>74</v>
      </c>
      <c r="AA50" s="152">
        <v>34.333377297288806</v>
      </c>
      <c r="AU50" s="83"/>
      <c r="AV50" s="83"/>
      <c r="AX50" s="32"/>
      <c r="AY50" s="32"/>
      <c r="BA50" s="86"/>
      <c r="BB50" s="86"/>
      <c r="BD50" s="2"/>
      <c r="BE50" s="2"/>
    </row>
    <row r="51" spans="2:375" x14ac:dyDescent="0.3">
      <c r="B51" s="148">
        <v>43874</v>
      </c>
      <c r="C51" s="4">
        <v>44</v>
      </c>
      <c r="D51" s="90">
        <v>2</v>
      </c>
      <c r="E51" s="10">
        <f>Tabella8[[#This Row],[Spain cum. Cases]]*NOT(ISBLANK(Tabella8[[#This Row],[Spain cum. Cases]]))</f>
        <v>2</v>
      </c>
      <c r="F51" s="146">
        <f>IFERROR(Kt*_xlfn.LOGNORM.DIST((Tabella8[[#This Row],[Day]]-Days_back),mu_t,sigma_t,TRUE),0)</f>
        <v>2.2163279682573175E-7</v>
      </c>
      <c r="G51" s="147">
        <f>Tabella8[[#This Row],[Spain cum. fit]]/Kt</f>
        <v>7.9154599760396443E-13</v>
      </c>
      <c r="H51" s="324">
        <f>Tabella8[[#This Row],[Spain cum. fit]]*NOT(ISBLANK(Tabella8[[#This Row],[Spain cum. Cases]]))</f>
        <v>2.2163279682573175E-7</v>
      </c>
      <c r="I51" s="10">
        <f>Tabella8[[#This Row],[Spain cum. fit]]+CIt</f>
        <v>8706.1787628632192</v>
      </c>
      <c r="J51" s="10">
        <f>MAX(Tabella8[[#This Row],[Spain cum. fit]]-CIt,0)</f>
        <v>0</v>
      </c>
      <c r="K51" s="153"/>
      <c r="L51" s="10">
        <f>Tabella8[[#This Row],[Lombardy]]*NOT(ISBLANK(Tabella8[[#This Row],[Lombardy]]))</f>
        <v>0</v>
      </c>
      <c r="M51" s="123">
        <f>IFERROR(Kr*_xlfn.LOGNORM.DIST((Tabella8[[#This Row],[Day]]-pr),mu_r,sigma_r,TRUE),0)</f>
        <v>0.17211805434560609</v>
      </c>
      <c r="N51" s="123">
        <f>Tabella8[[#This Row],[Lombardy fit]]/Kr</f>
        <v>1.978368440754093E-6</v>
      </c>
      <c r="O51" s="10">
        <f>Tabella8[[#This Row],[Lombardy fit]]*NOT(ISBLANK(Tabella8[[#This Row],[Lombardy]]))</f>
        <v>0</v>
      </c>
      <c r="P51" s="10" t="e">
        <f>Tabella8[[#This Row],[Lombardy fit]]+CIr</f>
        <v>#NUM!</v>
      </c>
      <c r="Q51" s="10" t="e">
        <f>MAX(Tabella8[[#This Row],[Lombardy fit]]-CIr,0)</f>
        <v>#NUM!</v>
      </c>
      <c r="R51" s="155"/>
      <c r="S51" s="10">
        <f>Tabella8[[#This Row],[rest of Italy ]]*NOT(ISBLANK(Tabella8[[#This Row],[rest of Italy ]]))</f>
        <v>0</v>
      </c>
      <c r="T51" s="124">
        <f>IFERROR(Ko*_xlfn.LOGNORM.DIST((Tabella8[[#This Row],[Day]]-po),mu_o,sigma_o,TRUE),0)</f>
        <v>4.6753772985919447E-7</v>
      </c>
      <c r="U51" s="124">
        <f>Tabella8[[#This Row],[rest of Italy fit]]/Ko</f>
        <v>3.1590390830133224E-12</v>
      </c>
      <c r="V51" s="22">
        <f>Tabella8[[#This Row],[rest of Italy fit]]*NOT(ISBLANK(Tabella8[[#This Row],[rest of Italy ]]))</f>
        <v>0</v>
      </c>
      <c r="W51" s="10">
        <f>Tabella8[[#This Row],[rest of Italy fit]]+CIo</f>
        <v>104195.92689838979</v>
      </c>
      <c r="X51" s="10">
        <f>MAX(Tabella8[[#This Row],[rest of Italy fit]]-CIo,0)</f>
        <v>0</v>
      </c>
      <c r="Z51" s="283"/>
      <c r="AA51" s="72"/>
      <c r="AU51" s="83"/>
      <c r="AV51" s="83"/>
      <c r="AX51" s="32"/>
      <c r="AY51" s="32"/>
      <c r="BA51" s="86"/>
      <c r="BB51" s="86"/>
      <c r="BD51" s="2"/>
      <c r="BE51" s="2"/>
    </row>
    <row r="52" spans="2:375" x14ac:dyDescent="0.3">
      <c r="B52" s="148">
        <v>43875</v>
      </c>
      <c r="C52" s="4">
        <v>45</v>
      </c>
      <c r="D52" s="90">
        <v>2</v>
      </c>
      <c r="E52" s="10">
        <f>Tabella8[[#This Row],[Spain cum. Cases]]*NOT(ISBLANK(Tabella8[[#This Row],[Spain cum. Cases]]))</f>
        <v>2</v>
      </c>
      <c r="F52" s="146">
        <f>IFERROR(Kt*_xlfn.LOGNORM.DIST((Tabella8[[#This Row],[Day]]-Days_back),mu_t,sigma_t,TRUE),0)</f>
        <v>2.9043852103089976E-6</v>
      </c>
      <c r="G52" s="147">
        <f>Tabella8[[#This Row],[Spain cum. fit]]/Kt</f>
        <v>1.0372808183835205E-11</v>
      </c>
      <c r="H52" s="324">
        <f>Tabella8[[#This Row],[Spain cum. fit]]*NOT(ISBLANK(Tabella8[[#This Row],[Spain cum. Cases]]))</f>
        <v>2.9043852103089976E-6</v>
      </c>
      <c r="I52" s="10">
        <f>Tabella8[[#This Row],[Spain cum. fit]]+CIt</f>
        <v>8706.1787655459721</v>
      </c>
      <c r="J52" s="10">
        <f>MAX(Tabella8[[#This Row],[Spain cum. fit]]-CIt,0)</f>
        <v>0</v>
      </c>
      <c r="K52" s="153"/>
      <c r="L52" s="10">
        <f>Tabella8[[#This Row],[Lombardy]]*NOT(ISBLANK(Tabella8[[#This Row],[Lombardy]]))</f>
        <v>0</v>
      </c>
      <c r="M52" s="123">
        <f>IFERROR(Kr*_xlfn.LOGNORM.DIST((Tabella8[[#This Row],[Day]]-pr),mu_r,sigma_r,TRUE),0)</f>
        <v>0.48787673256248693</v>
      </c>
      <c r="N52" s="123">
        <f>Tabella8[[#This Row],[Lombardy fit]]/Kr</f>
        <v>5.6077785352009989E-6</v>
      </c>
      <c r="O52" s="10">
        <f>Tabella8[[#This Row],[Lombardy fit]]*NOT(ISBLANK(Tabella8[[#This Row],[Lombardy]]))</f>
        <v>0</v>
      </c>
      <c r="P52" s="10" t="e">
        <f>Tabella8[[#This Row],[Lombardy fit]]+CIr</f>
        <v>#NUM!</v>
      </c>
      <c r="Q52" s="10" t="e">
        <f>MAX(Tabella8[[#This Row],[Lombardy fit]]-CIr,0)</f>
        <v>#NUM!</v>
      </c>
      <c r="R52" s="155"/>
      <c r="S52" s="10">
        <f>Tabella8[[#This Row],[rest of Italy ]]*NOT(ISBLANK(Tabella8[[#This Row],[rest of Italy ]]))</f>
        <v>0</v>
      </c>
      <c r="T52" s="124">
        <f>IFERROR(Ko*_xlfn.LOGNORM.DIST((Tabella8[[#This Row],[Day]]-po),mu_o,sigma_o,TRUE),0)</f>
        <v>1.0569392149442228E-5</v>
      </c>
      <c r="U52" s="124">
        <f>Tabella8[[#This Row],[rest of Italy fit]]/Ko</f>
        <v>7.1414820134062305E-11</v>
      </c>
      <c r="V52" s="22">
        <f>Tabella8[[#This Row],[rest of Italy fit]]*NOT(ISBLANK(Tabella8[[#This Row],[rest of Italy ]]))</f>
        <v>0</v>
      </c>
      <c r="W52" s="10">
        <f>Tabella8[[#This Row],[rest of Italy fit]]+CIo</f>
        <v>104195.92690849165</v>
      </c>
      <c r="X52" s="10">
        <f>MAX(Tabella8[[#This Row],[rest of Italy fit]]-CIo,0)</f>
        <v>0</v>
      </c>
      <c r="Z52" s="283"/>
      <c r="AA52" s="253"/>
      <c r="AU52" s="83"/>
      <c r="AV52" s="83"/>
      <c r="AX52" s="32"/>
      <c r="AY52" s="32"/>
      <c r="BA52" s="86"/>
      <c r="BB52" s="86"/>
      <c r="BD52" s="2"/>
      <c r="BE52" s="2"/>
    </row>
    <row r="53" spans="2:375" x14ac:dyDescent="0.3">
      <c r="B53" s="148">
        <v>43876</v>
      </c>
      <c r="C53" s="4">
        <v>46</v>
      </c>
      <c r="D53" s="90">
        <v>2</v>
      </c>
      <c r="E53" s="10">
        <f>Tabella8[[#This Row],[Spain cum. Cases]]*NOT(ISBLANK(Tabella8[[#This Row],[Spain cum. Cases]]))</f>
        <v>2</v>
      </c>
      <c r="F53" s="146">
        <f>IFERROR(Kt*_xlfn.LOGNORM.DIST((Tabella8[[#This Row],[Day]]-Days_back),mu_t,sigma_t,TRUE),0)</f>
        <v>2.695184938652669E-5</v>
      </c>
      <c r="G53" s="147">
        <f>Tabella8[[#This Row],[Spain cum. fit]]/Kt</f>
        <v>9.6256640783649649E-11</v>
      </c>
      <c r="H53" s="324">
        <f>Tabella8[[#This Row],[Spain cum. fit]]*NOT(ISBLANK(Tabella8[[#This Row],[Spain cum. Cases]]))</f>
        <v>2.695184938652669E-5</v>
      </c>
      <c r="I53" s="10">
        <f>Tabella8[[#This Row],[Spain cum. fit]]+CIt</f>
        <v>8706.1787895934358</v>
      </c>
      <c r="J53" s="10">
        <f>MAX(Tabella8[[#This Row],[Spain cum. fit]]-CIt,0)</f>
        <v>0</v>
      </c>
      <c r="K53" s="153"/>
      <c r="L53" s="10">
        <f>Tabella8[[#This Row],[Lombardy]]*NOT(ISBLANK(Tabella8[[#This Row],[Lombardy]]))</f>
        <v>0</v>
      </c>
      <c r="M53" s="123">
        <f>IFERROR(Kr*_xlfn.LOGNORM.DIST((Tabella8[[#This Row],[Day]]-pr),mu_r,sigma_r,TRUE),0)</f>
        <v>1.232404561241581</v>
      </c>
      <c r="N53" s="123">
        <f>Tabella8[[#This Row],[Lombardy fit]]/Kr</f>
        <v>1.4165569669443461E-5</v>
      </c>
      <c r="O53" s="10">
        <f>Tabella8[[#This Row],[Lombardy fit]]*NOT(ISBLANK(Tabella8[[#This Row],[Lombardy]]))</f>
        <v>0</v>
      </c>
      <c r="P53" s="10" t="e">
        <f>Tabella8[[#This Row],[Lombardy fit]]+CIr</f>
        <v>#NUM!</v>
      </c>
      <c r="Q53" s="10" t="e">
        <f>MAX(Tabella8[[#This Row],[Lombardy fit]]-CIr,0)</f>
        <v>#NUM!</v>
      </c>
      <c r="R53" s="155"/>
      <c r="S53" s="10">
        <f>Tabella8[[#This Row],[rest of Italy ]]*NOT(ISBLANK(Tabella8[[#This Row],[rest of Italy ]]))</f>
        <v>0</v>
      </c>
      <c r="T53" s="124">
        <f>IFERROR(Ko*_xlfn.LOGNORM.DIST((Tabella8[[#This Row],[Day]]-po),mu_o,sigma_o,TRUE),0)</f>
        <v>1.3509330492944511E-4</v>
      </c>
      <c r="U53" s="124">
        <f>Tabella8[[#This Row],[rest of Italy fit]]/Ko</f>
        <v>9.1279270713420225E-10</v>
      </c>
      <c r="V53" s="22">
        <f>Tabella8[[#This Row],[rest of Italy fit]]*NOT(ISBLANK(Tabella8[[#This Row],[rest of Italy ]]))</f>
        <v>0</v>
      </c>
      <c r="W53" s="10">
        <f>Tabella8[[#This Row],[rest of Italy fit]]+CIo</f>
        <v>104195.92703301556</v>
      </c>
      <c r="X53" s="10">
        <f>MAX(Tabella8[[#This Row],[rest of Italy fit]]-CIo,0)</f>
        <v>0</v>
      </c>
      <c r="AU53" s="83"/>
      <c r="AV53" s="83"/>
      <c r="AX53" s="32"/>
      <c r="AY53" s="32"/>
      <c r="BA53" s="86"/>
      <c r="BB53" s="86"/>
      <c r="BD53" s="2"/>
      <c r="BE53" s="2"/>
    </row>
    <row r="54" spans="2:375" x14ac:dyDescent="0.3">
      <c r="B54" s="148">
        <v>43877</v>
      </c>
      <c r="C54" s="4">
        <v>47</v>
      </c>
      <c r="D54" s="90">
        <v>2</v>
      </c>
      <c r="E54" s="10">
        <f>Tabella8[[#This Row],[Spain cum. Cases]]*NOT(ISBLANK(Tabella8[[#This Row],[Spain cum. Cases]]))</f>
        <v>2</v>
      </c>
      <c r="F54" s="146">
        <f>IFERROR(Kt*_xlfn.LOGNORM.DIST((Tabella8[[#This Row],[Day]]-Days_back),mu_t,sigma_t,TRUE),0)</f>
        <v>1.8920105202496204E-4</v>
      </c>
      <c r="G54" s="147">
        <f>Tabella8[[#This Row],[Spain cum. fit]]/Kt</f>
        <v>6.7571829448407129E-10</v>
      </c>
      <c r="H54" s="324">
        <f>Tabella8[[#This Row],[Spain cum. fit]]*NOT(ISBLANK(Tabella8[[#This Row],[Spain cum. Cases]]))</f>
        <v>1.8920105202496204E-4</v>
      </c>
      <c r="I54" s="10">
        <f>Tabella8[[#This Row],[Spain cum. fit]]+CIt</f>
        <v>8706.1789518426376</v>
      </c>
      <c r="J54" s="10">
        <f>MAX(Tabella8[[#This Row],[Spain cum. fit]]-CIt,0)</f>
        <v>0</v>
      </c>
      <c r="K54" s="153"/>
      <c r="L54" s="10">
        <f>Tabella8[[#This Row],[Lombardy]]*NOT(ISBLANK(Tabella8[[#This Row],[Lombardy]]))</f>
        <v>0</v>
      </c>
      <c r="M54" s="123">
        <f>IFERROR(Kr*_xlfn.LOGNORM.DIST((Tabella8[[#This Row],[Day]]-pr),mu_r,sigma_r,TRUE),0)</f>
        <v>2.8244131218996005</v>
      </c>
      <c r="N54" s="123">
        <f>Tabella8[[#This Row],[Lombardy fit]]/Kr</f>
        <v>3.2464518642524143E-5</v>
      </c>
      <c r="O54" s="10">
        <f>Tabella8[[#This Row],[Lombardy fit]]*NOT(ISBLANK(Tabella8[[#This Row],[Lombardy]]))</f>
        <v>0</v>
      </c>
      <c r="P54" s="10" t="e">
        <f>Tabella8[[#This Row],[Lombardy fit]]+CIr</f>
        <v>#NUM!</v>
      </c>
      <c r="Q54" s="10" t="e">
        <f>MAX(Tabella8[[#This Row],[Lombardy fit]]-CIr,0)</f>
        <v>#NUM!</v>
      </c>
      <c r="R54" s="155"/>
      <c r="S54" s="10">
        <f>Tabella8[[#This Row],[rest of Italy ]]*NOT(ISBLANK(Tabella8[[#This Row],[rest of Italy ]]))</f>
        <v>0</v>
      </c>
      <c r="T54" s="124">
        <f>IFERROR(Ko*_xlfn.LOGNORM.DIST((Tabella8[[#This Row],[Day]]-po),mu_o,sigma_o,TRUE),0)</f>
        <v>1.1329276107491756E-3</v>
      </c>
      <c r="U54" s="124">
        <f>Tabella8[[#This Row],[rest of Italy fit]]/Ko</f>
        <v>7.6549171799662131E-9</v>
      </c>
      <c r="V54" s="22">
        <f>Tabella8[[#This Row],[rest of Italy fit]]*NOT(ISBLANK(Tabella8[[#This Row],[rest of Italy ]]))</f>
        <v>0</v>
      </c>
      <c r="W54" s="10">
        <f>Tabella8[[#This Row],[rest of Italy fit]]+CIo</f>
        <v>104195.92803084987</v>
      </c>
      <c r="X54" s="10">
        <f>MAX(Tabella8[[#This Row],[rest of Italy fit]]-CIo,0)</f>
        <v>0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 s="83"/>
      <c r="AV54" s="83"/>
      <c r="AW54"/>
      <c r="AX54" s="32"/>
      <c r="AY54" s="32"/>
      <c r="AZ54"/>
      <c r="BA54" s="86"/>
      <c r="BB54" s="86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</row>
    <row r="55" spans="2:375" x14ac:dyDescent="0.3">
      <c r="B55" s="148">
        <v>43878</v>
      </c>
      <c r="C55" s="4">
        <v>48</v>
      </c>
      <c r="D55" s="90">
        <v>2</v>
      </c>
      <c r="E55" s="10">
        <f>Tabella8[[#This Row],[Spain cum. Cases]]*NOT(ISBLANK(Tabella8[[#This Row],[Spain cum. Cases]]))</f>
        <v>2</v>
      </c>
      <c r="F55" s="146">
        <f>IFERROR(Kt*_xlfn.LOGNORM.DIST((Tabella8[[#This Row],[Day]]-Days_back),mu_t,sigma_t,TRUE),0)</f>
        <v>1.0558727403052776E-3</v>
      </c>
      <c r="G55" s="147">
        <f>Tabella8[[#This Row],[Spain cum. fit]]/Kt</f>
        <v>3.7709754762736401E-9</v>
      </c>
      <c r="H55" s="324">
        <f>Tabella8[[#This Row],[Spain cum. fit]]*NOT(ISBLANK(Tabella8[[#This Row],[Spain cum. Cases]]))</f>
        <v>1.0558727403052776E-3</v>
      </c>
      <c r="I55" s="10">
        <f>Tabella8[[#This Row],[Spain cum. fit]]+CIt</f>
        <v>8706.1798185143271</v>
      </c>
      <c r="J55" s="10">
        <f>MAX(Tabella8[[#This Row],[Spain cum. fit]]-CIt,0)</f>
        <v>0</v>
      </c>
      <c r="K55" s="153"/>
      <c r="L55" s="10">
        <f>Tabella8[[#This Row],[Lombardy]]*NOT(ISBLANK(Tabella8[[#This Row],[Lombardy]]))</f>
        <v>0</v>
      </c>
      <c r="M55" s="123">
        <f>IFERROR(Kr*_xlfn.LOGNORM.DIST((Tabella8[[#This Row],[Day]]-pr),mu_r,sigma_r,TRUE),0)</f>
        <v>5.9570265831536959</v>
      </c>
      <c r="N55" s="123">
        <f>Tabella8[[#This Row],[Lombardy fit]]/Kr</f>
        <v>6.8471569921306846E-5</v>
      </c>
      <c r="O55" s="10">
        <f>Tabella8[[#This Row],[Lombardy fit]]*NOT(ISBLANK(Tabella8[[#This Row],[Lombardy]]))</f>
        <v>0</v>
      </c>
      <c r="P55" s="10" t="e">
        <f>Tabella8[[#This Row],[Lombardy fit]]+CIr</f>
        <v>#NUM!</v>
      </c>
      <c r="Q55" s="10" t="e">
        <f>MAX(Tabella8[[#This Row],[Lombardy fit]]-CIr,0)</f>
        <v>#NUM!</v>
      </c>
      <c r="R55" s="155"/>
      <c r="S55" s="10">
        <f>Tabella8[[#This Row],[rest of Italy ]]*NOT(ISBLANK(Tabella8[[#This Row],[rest of Italy ]]))</f>
        <v>0</v>
      </c>
      <c r="T55" s="124">
        <f>IFERROR(Ko*_xlfn.LOGNORM.DIST((Tabella8[[#This Row],[Day]]-po),mu_o,sigma_o,TRUE),0)</f>
        <v>6.8853047554286546E-3</v>
      </c>
      <c r="U55" s="124">
        <f>Tabella8[[#This Row],[rest of Italy fit]]/Ko</f>
        <v>4.6522334844307022E-8</v>
      </c>
      <c r="V55" s="22">
        <f>Tabella8[[#This Row],[rest of Italy fit]]*NOT(ISBLANK(Tabella8[[#This Row],[rest of Italy ]]))</f>
        <v>0</v>
      </c>
      <c r="W55" s="10">
        <f>Tabella8[[#This Row],[rest of Italy fit]]+CIo</f>
        <v>104195.93378322701</v>
      </c>
      <c r="X55" s="10">
        <f>MAX(Tabella8[[#This Row],[rest of Italy fit]]-CIo,0)</f>
        <v>0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 s="83"/>
      <c r="AV55" s="83"/>
      <c r="AW55"/>
      <c r="AX55" s="32"/>
      <c r="AY55" s="32"/>
      <c r="AZ55"/>
      <c r="BA55" s="86"/>
      <c r="BB55" s="86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</row>
    <row r="56" spans="2:375" x14ac:dyDescent="0.3">
      <c r="B56" s="148">
        <v>43879</v>
      </c>
      <c r="C56" s="4">
        <v>49</v>
      </c>
      <c r="D56" s="90">
        <v>2</v>
      </c>
      <c r="E56" s="10">
        <f>Tabella8[[#This Row],[Spain cum. Cases]]*NOT(ISBLANK(Tabella8[[#This Row],[Spain cum. Cases]]))</f>
        <v>2</v>
      </c>
      <c r="F56" s="146">
        <f>IFERROR(Kt*_xlfn.LOGNORM.DIST((Tabella8[[#This Row],[Day]]-Days_back),mu_t,sigma_t,TRUE),0)</f>
        <v>4.8664258884566283E-3</v>
      </c>
      <c r="G56" s="147">
        <f>Tabella8[[#This Row],[Spain cum. fit]]/Kt</f>
        <v>1.7380098928557763E-8</v>
      </c>
      <c r="H56" s="324">
        <f>Tabella8[[#This Row],[Spain cum. fit]]*NOT(ISBLANK(Tabella8[[#This Row],[Spain cum. Cases]]))</f>
        <v>4.8664258884566283E-3</v>
      </c>
      <c r="I56" s="10">
        <f>Tabella8[[#This Row],[Spain cum. fit]]+CIt</f>
        <v>8706.1836290674746</v>
      </c>
      <c r="J56" s="10">
        <f>MAX(Tabella8[[#This Row],[Spain cum. fit]]-CIt,0)</f>
        <v>0</v>
      </c>
      <c r="K56" s="153"/>
      <c r="L56" s="10">
        <f>Tabella8[[#This Row],[Lombardy]]*NOT(ISBLANK(Tabella8[[#This Row],[Lombardy]]))</f>
        <v>0</v>
      </c>
      <c r="M56" s="123">
        <f>IFERROR(Kr*_xlfn.LOGNORM.DIST((Tabella8[[#This Row],[Day]]-pr),mu_r,sigma_r,TRUE),0)</f>
        <v>11.696728324452055</v>
      </c>
      <c r="N56" s="123">
        <f>Tabella8[[#This Row],[Lombardy fit]]/Kr</f>
        <v>1.3444515315462133E-4</v>
      </c>
      <c r="O56" s="10">
        <f>Tabella8[[#This Row],[Lombardy fit]]*NOT(ISBLANK(Tabella8[[#This Row],[Lombardy]]))</f>
        <v>0</v>
      </c>
      <c r="P56" s="10" t="e">
        <f>Tabella8[[#This Row],[Lombardy fit]]+CIr</f>
        <v>#NUM!</v>
      </c>
      <c r="Q56" s="10" t="e">
        <f>MAX(Tabella8[[#This Row],[Lombardy fit]]-CIr,0)</f>
        <v>#NUM!</v>
      </c>
      <c r="R56" s="155"/>
      <c r="S56" s="10">
        <f>Tabella8[[#This Row],[rest of Italy ]]*NOT(ISBLANK(Tabella8[[#This Row],[rest of Italy ]]))</f>
        <v>0</v>
      </c>
      <c r="T56" s="124">
        <f>IFERROR(Ko*_xlfn.LOGNORM.DIST((Tabella8[[#This Row],[Day]]-po),mu_o,sigma_o,TRUE),0)</f>
        <v>3.250241220883384E-2</v>
      </c>
      <c r="U56" s="124">
        <f>Tabella8[[#This Row],[rest of Italy fit]]/Ko</f>
        <v>2.19610918868169E-7</v>
      </c>
      <c r="V56" s="22">
        <f>Tabella8[[#This Row],[rest of Italy fit]]*NOT(ISBLANK(Tabella8[[#This Row],[rest of Italy ]]))</f>
        <v>0</v>
      </c>
      <c r="W56" s="10">
        <f>Tabella8[[#This Row],[rest of Italy fit]]+CIo</f>
        <v>104195.95940033447</v>
      </c>
      <c r="X56" s="10">
        <f>MAX(Tabella8[[#This Row],[rest of Italy fit]]-CIo,0)</f>
        <v>0</v>
      </c>
      <c r="Z56"/>
      <c r="AA56"/>
      <c r="AB56" s="70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 s="83"/>
      <c r="AV56" s="83"/>
      <c r="AW56"/>
      <c r="AX56" s="32"/>
      <c r="AY56" s="32"/>
      <c r="AZ56"/>
      <c r="BA56" s="86"/>
      <c r="BB56" s="8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</row>
    <row r="57" spans="2:375" x14ac:dyDescent="0.3">
      <c r="B57" s="148">
        <v>43880</v>
      </c>
      <c r="C57" s="4">
        <v>50</v>
      </c>
      <c r="D57" s="90">
        <v>2</v>
      </c>
      <c r="E57" s="10">
        <f>Tabella8[[#This Row],[Spain cum. Cases]]*NOT(ISBLANK(Tabella8[[#This Row],[Spain cum. Cases]]))</f>
        <v>2</v>
      </c>
      <c r="F57" s="146">
        <f>IFERROR(Kt*_xlfn.LOGNORM.DIST((Tabella8[[#This Row],[Day]]-Days_back),mu_t,sigma_t,TRUE),0)</f>
        <v>1.9084594537011553E-2</v>
      </c>
      <c r="G57" s="147">
        <f>Tabella8[[#This Row],[Spain cum. fit]]/Kt</f>
        <v>6.8159291576074736E-8</v>
      </c>
      <c r="H57" s="324">
        <f>Tabella8[[#This Row],[Spain cum. fit]]*NOT(ISBLANK(Tabella8[[#This Row],[Spain cum. Cases]]))</f>
        <v>1.9084594537011553E-2</v>
      </c>
      <c r="I57" s="10">
        <f>Tabella8[[#This Row],[Spain cum. fit]]+CIt</f>
        <v>8706.1978472361225</v>
      </c>
      <c r="J57" s="10">
        <f>MAX(Tabella8[[#This Row],[Spain cum. fit]]-CIt,0)</f>
        <v>0</v>
      </c>
      <c r="K57" s="153"/>
      <c r="L57" s="10">
        <f>Tabella8[[#This Row],[Lombardy]]*NOT(ISBLANK(Tabella8[[#This Row],[Lombardy]]))</f>
        <v>0</v>
      </c>
      <c r="M57" s="123">
        <f>IFERROR(Kr*_xlfn.LOGNORM.DIST((Tabella8[[#This Row],[Day]]-pr),mu_r,sigma_r,TRUE),0)</f>
        <v>21.583926129223123</v>
      </c>
      <c r="N57" s="123">
        <f>Tabella8[[#This Row],[Lombardy fit]]/Kr</f>
        <v>2.4809110493359912E-4</v>
      </c>
      <c r="O57" s="10">
        <f>Tabella8[[#This Row],[Lombardy fit]]*NOT(ISBLANK(Tabella8[[#This Row],[Lombardy]]))</f>
        <v>0</v>
      </c>
      <c r="P57" s="10" t="e">
        <f>Tabella8[[#This Row],[Lombardy fit]]+CIr</f>
        <v>#NUM!</v>
      </c>
      <c r="Q57" s="10" t="e">
        <f>MAX(Tabella8[[#This Row],[Lombardy fit]]-CIr,0)</f>
        <v>#NUM!</v>
      </c>
      <c r="R57" s="155"/>
      <c r="S57" s="10">
        <f>Tabella8[[#This Row],[rest of Italy ]]*NOT(ISBLANK(Tabella8[[#This Row],[rest of Italy ]]))</f>
        <v>0</v>
      </c>
      <c r="T57" s="124">
        <f>IFERROR(Ko*_xlfn.LOGNORM.DIST((Tabella8[[#This Row],[Day]]-po),mu_o,sigma_o,TRUE),0)</f>
        <v>0.12529684172525352</v>
      </c>
      <c r="U57" s="124">
        <f>Tabella8[[#This Row],[rest of Italy fit]]/Ko</f>
        <v>8.4660038048141327E-7</v>
      </c>
      <c r="V57" s="22">
        <f>Tabella8[[#This Row],[rest of Italy fit]]*NOT(ISBLANK(Tabella8[[#This Row],[rest of Italy ]]))</f>
        <v>0</v>
      </c>
      <c r="W57" s="10">
        <f>Tabella8[[#This Row],[rest of Italy fit]]+CIo</f>
        <v>104196.05219476398</v>
      </c>
      <c r="X57" s="10">
        <f>MAX(Tabella8[[#This Row],[rest of Italy fit]]-CIo,0)</f>
        <v>0</v>
      </c>
      <c r="Z57"/>
      <c r="AA57"/>
      <c r="AB57" s="70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 s="83"/>
      <c r="AV57" s="83"/>
      <c r="AW57"/>
      <c r="AX57" s="32"/>
      <c r="AY57" s="32"/>
      <c r="AZ57"/>
      <c r="BA57" s="86"/>
      <c r="BB57" s="86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</row>
    <row r="58" spans="2:375" x14ac:dyDescent="0.3">
      <c r="B58" s="148">
        <v>43881</v>
      </c>
      <c r="C58" s="4">
        <v>51</v>
      </c>
      <c r="D58" s="90">
        <v>2</v>
      </c>
      <c r="E58" s="10">
        <f>Tabella8[[#This Row],[Spain cum. Cases]]*NOT(ISBLANK(Tabella8[[#This Row],[Spain cum. Cases]]))</f>
        <v>2</v>
      </c>
      <c r="F58" s="146">
        <f>IFERROR(Kt*_xlfn.LOGNORM.DIST((Tabella8[[#This Row],[Day]]-Days_back),mu_t,sigma_t,TRUE),0)</f>
        <v>6.5215008287316051E-2</v>
      </c>
      <c r="G58" s="147">
        <f>Tabella8[[#This Row],[Spain cum. fit]]/Kt</f>
        <v>2.3291083058489471E-7</v>
      </c>
      <c r="H58" s="324">
        <f>Tabella8[[#This Row],[Spain cum. fit]]*NOT(ISBLANK(Tabella8[[#This Row],[Spain cum. Cases]]))</f>
        <v>6.5215008287316051E-2</v>
      </c>
      <c r="I58" s="10">
        <f>Tabella8[[#This Row],[Spain cum. fit]]+CIt</f>
        <v>8706.2439776498741</v>
      </c>
      <c r="J58" s="10">
        <f>MAX(Tabella8[[#This Row],[Spain cum. fit]]-CIt,0)</f>
        <v>0</v>
      </c>
      <c r="K58" s="153"/>
      <c r="L58" s="10">
        <f>Tabella8[[#This Row],[Lombardy]]*NOT(ISBLANK(Tabella8[[#This Row],[Lombardy]]))</f>
        <v>0</v>
      </c>
      <c r="M58" s="123">
        <f>IFERROR(Kr*_xlfn.LOGNORM.DIST((Tabella8[[#This Row],[Day]]-pr),mu_r,sigma_r,TRUE),0)</f>
        <v>37.724019062370473</v>
      </c>
      <c r="N58" s="123">
        <f>Tabella8[[#This Row],[Lombardy fit]]/Kr</f>
        <v>4.3360941451000542E-4</v>
      </c>
      <c r="O58" s="10">
        <f>Tabella8[[#This Row],[Lombardy fit]]*NOT(ISBLANK(Tabella8[[#This Row],[Lombardy]]))</f>
        <v>0</v>
      </c>
      <c r="P58" s="10" t="e">
        <f>Tabella8[[#This Row],[Lombardy fit]]+CIr</f>
        <v>#NUM!</v>
      </c>
      <c r="Q58" s="10" t="e">
        <f>MAX(Tabella8[[#This Row],[Lombardy fit]]-CIr,0)</f>
        <v>#NUM!</v>
      </c>
      <c r="R58" s="155"/>
      <c r="S58" s="10">
        <f>Tabella8[[#This Row],[rest of Italy ]]*NOT(ISBLANK(Tabella8[[#This Row],[rest of Italy ]]))</f>
        <v>0</v>
      </c>
      <c r="T58" s="124">
        <f>IFERROR(Ko*_xlfn.LOGNORM.DIST((Tabella8[[#This Row],[Day]]-po),mu_o,sigma_o,TRUE),0)</f>
        <v>0.40942503163152882</v>
      </c>
      <c r="U58" s="124">
        <f>Tabella8[[#This Row],[rest of Italy fit]]/Ko</f>
        <v>2.7663856709008015E-6</v>
      </c>
      <c r="V58" s="22">
        <f>Tabella8[[#This Row],[rest of Italy fit]]*NOT(ISBLANK(Tabella8[[#This Row],[rest of Italy ]]))</f>
        <v>0</v>
      </c>
      <c r="W58" s="10">
        <f>Tabella8[[#This Row],[rest of Italy fit]]+CIo</f>
        <v>104196.33632295388</v>
      </c>
      <c r="X58" s="10">
        <f>MAX(Tabella8[[#This Row],[rest of Italy fit]]-CIo,0)</f>
        <v>0</v>
      </c>
      <c r="Z58"/>
      <c r="AA58"/>
      <c r="AB58" s="70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s="83"/>
      <c r="AV58" s="83"/>
      <c r="AW58"/>
      <c r="AX58" s="32"/>
      <c r="AY58" s="32"/>
      <c r="AZ58"/>
      <c r="BA58" s="86"/>
      <c r="BB58" s="86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</row>
    <row r="59" spans="2:375" x14ac:dyDescent="0.3">
      <c r="B59" s="148">
        <v>43882</v>
      </c>
      <c r="C59" s="4">
        <v>52</v>
      </c>
      <c r="D59" s="90">
        <v>2</v>
      </c>
      <c r="E59" s="10">
        <f>Tabella8[[#This Row],[Spain cum. Cases]]*NOT(ISBLANK(Tabella8[[#This Row],[Spain cum. Cases]]))</f>
        <v>2</v>
      </c>
      <c r="F59" s="146">
        <f>IFERROR(Kt*_xlfn.LOGNORM.DIST((Tabella8[[#This Row],[Day]]-Days_back),mu_t,sigma_t,TRUE),0)</f>
        <v>0.19793985251156093</v>
      </c>
      <c r="G59" s="147">
        <f>Tabella8[[#This Row],[Spain cum. fit]]/Kt</f>
        <v>7.0692830783992787E-7</v>
      </c>
      <c r="H59" s="324">
        <f>Tabella8[[#This Row],[Spain cum. fit]]*NOT(ISBLANK(Tabella8[[#This Row],[Spain cum. Cases]]))</f>
        <v>0.19793985251156093</v>
      </c>
      <c r="I59" s="10">
        <f>Tabella8[[#This Row],[Spain cum. fit]]+CIt</f>
        <v>8706.3767024940971</v>
      </c>
      <c r="J59" s="10">
        <f>MAX(Tabella8[[#This Row],[Spain cum. fit]]-CIt,0)</f>
        <v>0</v>
      </c>
      <c r="K59" s="153"/>
      <c r="L59" s="10">
        <f>Tabella8[[#This Row],[Lombardy]]*NOT(ISBLANK(Tabella8[[#This Row],[Lombardy]]))</f>
        <v>0</v>
      </c>
      <c r="M59" s="123">
        <f>IFERROR(Kr*_xlfn.LOGNORM.DIST((Tabella8[[#This Row],[Day]]-pr),mu_r,sigma_r,TRUE),0)</f>
        <v>62.857858736043291</v>
      </c>
      <c r="N59" s="123">
        <f>Tabella8[[#This Row],[Lombardy fit]]/Kr</f>
        <v>7.2250412340279645E-4</v>
      </c>
      <c r="O59" s="10">
        <f>Tabella8[[#This Row],[Lombardy fit]]*NOT(ISBLANK(Tabella8[[#This Row],[Lombardy]]))</f>
        <v>0</v>
      </c>
      <c r="P59" s="10" t="e">
        <f>Tabella8[[#This Row],[Lombardy fit]]+CIr</f>
        <v>#NUM!</v>
      </c>
      <c r="Q59" s="10" t="e">
        <f>MAX(Tabella8[[#This Row],[Lombardy fit]]-CIr,0)</f>
        <v>#NUM!</v>
      </c>
      <c r="R59" s="155"/>
      <c r="S59" s="10">
        <f>Tabella8[[#This Row],[rest of Italy ]]*NOT(ISBLANK(Tabella8[[#This Row],[rest of Italy ]]))</f>
        <v>0</v>
      </c>
      <c r="T59" s="124">
        <f>IFERROR(Ko*_xlfn.LOGNORM.DIST((Tabella8[[#This Row],[Day]]-po),mu_o,sigma_o,TRUE),0)</f>
        <v>1.166635984039708</v>
      </c>
      <c r="U59" s="124">
        <f>Tabella8[[#This Row],[rest of Italy fit]]/Ko</f>
        <v>7.8826764854701008E-6</v>
      </c>
      <c r="V59" s="22">
        <f>Tabella8[[#This Row],[rest of Italy fit]]*NOT(ISBLANK(Tabella8[[#This Row],[rest of Italy ]]))</f>
        <v>0</v>
      </c>
      <c r="W59" s="10">
        <f>Tabella8[[#This Row],[rest of Italy fit]]+CIo</f>
        <v>104197.0935339063</v>
      </c>
      <c r="X59" s="10">
        <f>MAX(Tabella8[[#This Row],[rest of Italy fit]]-CIo,0)</f>
        <v>0</v>
      </c>
      <c r="Z59"/>
      <c r="AA59"/>
      <c r="AB59" s="70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 s="83"/>
      <c r="AV59" s="83"/>
      <c r="AW59"/>
      <c r="AX59" s="32"/>
      <c r="AY59" s="32"/>
      <c r="AZ59"/>
      <c r="BA59" s="86"/>
      <c r="BB59" s="86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</row>
    <row r="60" spans="2:375" x14ac:dyDescent="0.3">
      <c r="B60" s="148">
        <v>43883</v>
      </c>
      <c r="C60" s="4">
        <v>53</v>
      </c>
      <c r="D60" s="90">
        <v>2</v>
      </c>
      <c r="E60" s="10">
        <f>Tabella8[[#This Row],[Spain cum. Cases]]*NOT(ISBLANK(Tabella8[[#This Row],[Spain cum. Cases]]))</f>
        <v>2</v>
      </c>
      <c r="F60" s="146">
        <f>IFERROR(Kt*_xlfn.LOGNORM.DIST((Tabella8[[#This Row],[Day]]-Days_back),mu_t,sigma_t,TRUE),0)</f>
        <v>0.54206203254796037</v>
      </c>
      <c r="G60" s="147">
        <f>Tabella8[[#This Row],[Spain cum. fit]]/Kt</f>
        <v>1.9359365511855189E-6</v>
      </c>
      <c r="H60" s="324">
        <f>Tabella8[[#This Row],[Spain cum. fit]]*NOT(ISBLANK(Tabella8[[#This Row],[Spain cum. Cases]]))</f>
        <v>0.54206203254796037</v>
      </c>
      <c r="I60" s="10">
        <f>Tabella8[[#This Row],[Spain cum. fit]]+CIt</f>
        <v>8706.7208246741338</v>
      </c>
      <c r="J60" s="10">
        <f>MAX(Tabella8[[#This Row],[Spain cum. fit]]-CIt,0)</f>
        <v>0</v>
      </c>
      <c r="K60" s="153"/>
      <c r="L60" s="10">
        <f>Tabella8[[#This Row],[Lombardy]]*NOT(ISBLANK(Tabella8[[#This Row],[Lombardy]]))</f>
        <v>0</v>
      </c>
      <c r="M60" s="123">
        <f>IFERROR(Kr*_xlfn.LOGNORM.DIST((Tabella8[[#This Row],[Day]]-pr),mu_r,sigma_r,TRUE),0)</f>
        <v>100.40214228955595</v>
      </c>
      <c r="N60" s="123">
        <f>Tabella8[[#This Row],[Lombardy fit]]/Kr</f>
        <v>1.1540476125236317E-3</v>
      </c>
      <c r="O60" s="10">
        <f>Tabella8[[#This Row],[Lombardy fit]]*NOT(ISBLANK(Tabella8[[#This Row],[Lombardy]]))</f>
        <v>0</v>
      </c>
      <c r="P60" s="10" t="e">
        <f>Tabella8[[#This Row],[Lombardy fit]]+CIr</f>
        <v>#NUM!</v>
      </c>
      <c r="Q60" s="10" t="e">
        <f>MAX(Tabella8[[#This Row],[Lombardy fit]]-CIr,0)</f>
        <v>#NUM!</v>
      </c>
      <c r="R60" s="155"/>
      <c r="S60" s="10">
        <f>Tabella8[[#This Row],[rest of Italy ]]*NOT(ISBLANK(Tabella8[[#This Row],[rest of Italy ]]))</f>
        <v>0</v>
      </c>
      <c r="T60" s="124">
        <f>IFERROR(Ko*_xlfn.LOGNORM.DIST((Tabella8[[#This Row],[Day]]-po),mu_o,sigma_o,TRUE),0)</f>
        <v>2.9634107340692979</v>
      </c>
      <c r="U60" s="124">
        <f>Tabella8[[#This Row],[rest of Italy fit]]/Ko</f>
        <v>2.0023047831381367E-5</v>
      </c>
      <c r="V60" s="22">
        <f>Tabella8[[#This Row],[rest of Italy fit]]*NOT(ISBLANK(Tabella8[[#This Row],[rest of Italy ]]))</f>
        <v>0</v>
      </c>
      <c r="W60" s="10">
        <f>Tabella8[[#This Row],[rest of Italy fit]]+CIo</f>
        <v>104198.89030865632</v>
      </c>
      <c r="X60" s="10">
        <f>MAX(Tabella8[[#This Row],[rest of Italy fit]]-CIo,0)</f>
        <v>0</v>
      </c>
      <c r="Z60"/>
      <c r="AA60"/>
      <c r="AB60" s="7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 s="83"/>
      <c r="AV60" s="83"/>
      <c r="AW60"/>
      <c r="AX60" s="32"/>
      <c r="AY60" s="32"/>
      <c r="AZ60"/>
      <c r="BA60" s="86"/>
      <c r="BB60" s="86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</row>
    <row r="61" spans="2:375" x14ac:dyDescent="0.3">
      <c r="B61" s="148">
        <v>43884</v>
      </c>
      <c r="C61" s="4">
        <v>54</v>
      </c>
      <c r="D61" s="90">
        <v>2</v>
      </c>
      <c r="E61" s="10">
        <f>Tabella8[[#This Row],[Spain cum. Cases]]*NOT(ISBLANK(Tabella8[[#This Row],[Spain cum. Cases]]))</f>
        <v>2</v>
      </c>
      <c r="F61" s="146">
        <f>IFERROR(Kt*_xlfn.LOGNORM.DIST((Tabella8[[#This Row],[Day]]-Days_back),mu_t,sigma_t,TRUE),0)</f>
        <v>1.3568228241408331</v>
      </c>
      <c r="G61" s="147">
        <f>Tabella8[[#This Row],[Spain cum. fit]]/Kt</f>
        <v>4.8457976043629177E-6</v>
      </c>
      <c r="H61" s="324">
        <f>Tabella8[[#This Row],[Spain cum. fit]]*NOT(ISBLANK(Tabella8[[#This Row],[Spain cum. Cases]]))</f>
        <v>1.3568228241408331</v>
      </c>
      <c r="I61" s="10">
        <f>Tabella8[[#This Row],[Spain cum. fit]]+CIt</f>
        <v>8707.5355854657264</v>
      </c>
      <c r="J61" s="10">
        <f>MAX(Tabella8[[#This Row],[Spain cum. fit]]-CIt,0)</f>
        <v>0</v>
      </c>
      <c r="K61" s="153"/>
      <c r="L61" s="10">
        <f>Tabella8[[#This Row],[Lombardy]]*NOT(ISBLANK(Tabella8[[#This Row],[Lombardy]]))</f>
        <v>0</v>
      </c>
      <c r="M61" s="123">
        <f>IFERROR(Kr*_xlfn.LOGNORM.DIST((Tabella8[[#This Row],[Day]]-pr),mu_r,sigma_r,TRUE),0)</f>
        <v>154.45315185535208</v>
      </c>
      <c r="N61" s="123">
        <f>Tabella8[[#This Row],[Lombardy fit]]/Kr</f>
        <v>1.7753235845442768E-3</v>
      </c>
      <c r="O61" s="10">
        <f>Tabella8[[#This Row],[Lombardy fit]]*NOT(ISBLANK(Tabella8[[#This Row],[Lombardy]]))</f>
        <v>0</v>
      </c>
      <c r="P61" s="10" t="e">
        <f>Tabella8[[#This Row],[Lombardy fit]]+CIr</f>
        <v>#NUM!</v>
      </c>
      <c r="Q61" s="10" t="e">
        <f>MAX(Tabella8[[#This Row],[Lombardy fit]]-CIr,0)</f>
        <v>#NUM!</v>
      </c>
      <c r="R61" s="155"/>
      <c r="S61" s="10">
        <f>Tabella8[[#This Row],[rest of Italy ]]*NOT(ISBLANK(Tabella8[[#This Row],[rest of Italy ]]))</f>
        <v>0</v>
      </c>
      <c r="T61" s="124">
        <f>IFERROR(Ko*_xlfn.LOGNORM.DIST((Tabella8[[#This Row],[Day]]-po),mu_o,sigma_o,TRUE),0)</f>
        <v>6.8282200200796863</v>
      </c>
      <c r="U61" s="124">
        <f>Tabella8[[#This Row],[rest of Italy fit]]/Ko</f>
        <v>4.6136627128129388E-5</v>
      </c>
      <c r="V61" s="22">
        <f>Tabella8[[#This Row],[rest of Italy fit]]*NOT(ISBLANK(Tabella8[[#This Row],[rest of Italy ]]))</f>
        <v>0</v>
      </c>
      <c r="W61" s="10">
        <f>Tabella8[[#This Row],[rest of Italy fit]]+CIo</f>
        <v>104202.75511794233</v>
      </c>
      <c r="X61" s="10">
        <f>MAX(Tabella8[[#This Row],[rest of Italy fit]]-CIo,0)</f>
        <v>0</v>
      </c>
      <c r="Z61"/>
      <c r="AA61"/>
      <c r="AB61" s="70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 s="83"/>
      <c r="AV61" s="83"/>
      <c r="AW61"/>
      <c r="AX61" s="32"/>
      <c r="AY61" s="32"/>
      <c r="AZ61"/>
      <c r="BA61" s="86"/>
      <c r="BB61" s="86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</row>
    <row r="62" spans="2:375" x14ac:dyDescent="0.3">
      <c r="B62" s="15">
        <v>43885</v>
      </c>
      <c r="C62" s="4">
        <v>55</v>
      </c>
      <c r="D62" s="90">
        <v>2</v>
      </c>
      <c r="E62" s="10">
        <f>Tabella8[[#This Row],[Spain cum. Cases]]*NOT(ISBLANK(Tabella8[[#This Row],[Spain cum. Cases]]))</f>
        <v>2</v>
      </c>
      <c r="F62" s="146">
        <f>IFERROR(Kt*_xlfn.LOGNORM.DIST((Tabella8[[#This Row],[Day]]-Days_back),mu_t,sigma_t,TRUE),0)</f>
        <v>3.1380110425677619</v>
      </c>
      <c r="G62" s="125">
        <f>Tabella8[[#This Row],[Spain cum. fit]]/Kt</f>
        <v>1.1207186466787281E-5</v>
      </c>
      <c r="H62" s="324">
        <f>Tabella8[[#This Row],[Spain cum. fit]]*NOT(ISBLANK(Tabella8[[#This Row],[Spain cum. Cases]]))</f>
        <v>3.1380110425677619</v>
      </c>
      <c r="I62" s="10">
        <f>Tabella8[[#This Row],[Spain cum. fit]]+CIt</f>
        <v>8709.3167736841533</v>
      </c>
      <c r="J62" s="10">
        <f>MAX(Tabella8[[#This Row],[Spain cum. fit]]-CIt,0)</f>
        <v>0</v>
      </c>
      <c r="K62" s="74"/>
      <c r="L62" s="10">
        <f>Tabella8[[#This Row],[Lombardy]]*NOT(ISBLANK(Tabella8[[#This Row],[Lombardy]]))</f>
        <v>0</v>
      </c>
      <c r="M62" s="123">
        <f>IFERROR(Kr*_xlfn.LOGNORM.DIST((Tabella8[[#This Row],[Day]]-pr),mu_r,sigma_r,TRUE),0)</f>
        <v>229.75081032074394</v>
      </c>
      <c r="N62" s="123">
        <f>Tabella8[[#This Row],[Lombardy fit]]/Kr</f>
        <v>2.640813911732689E-3</v>
      </c>
      <c r="O62" s="10">
        <f>Tabella8[[#This Row],[Lombardy fit]]*NOT(ISBLANK(Tabella8[[#This Row],[Lombardy]]))</f>
        <v>0</v>
      </c>
      <c r="P62" s="10" t="e">
        <f>Tabella8[[#This Row],[Lombardy fit]]+CIr</f>
        <v>#NUM!</v>
      </c>
      <c r="Q62" s="10" t="e">
        <f>MAX(Tabella8[[#This Row],[Lombardy fit]]-CIr,0)</f>
        <v>#NUM!</v>
      </c>
      <c r="R62" s="10">
        <f>Tabella8[[#This Row],[Spain cum. Cases]]-Tabella8[[#This Row],[Lombardy]]</f>
        <v>2</v>
      </c>
      <c r="S62" s="10">
        <f>Tabella8[[#This Row],[rest of Italy ]]*NOT(ISBLANK(Tabella8[[#This Row],[rest of Italy ]]))</f>
        <v>2</v>
      </c>
      <c r="T62" s="124">
        <f>IFERROR(Ko*_xlfn.LOGNORM.DIST((Tabella8[[#This Row],[Day]]-po),mu_o,sigma_o,TRUE),0)</f>
        <v>14.472768060535266</v>
      </c>
      <c r="U62" s="124">
        <f>Tabella8[[#This Row],[rest of Italy fit]]/Ko</f>
        <v>9.7788984765757959E-5</v>
      </c>
      <c r="V62" s="22">
        <f>Tabella8[[#This Row],[rest of Italy fit]]*NOT(ISBLANK(Tabella8[[#This Row],[rest of Italy ]]))</f>
        <v>14.472768060535266</v>
      </c>
      <c r="W62" s="10">
        <f>Tabella8[[#This Row],[rest of Italy fit]]+CIo</f>
        <v>104210.39966598278</v>
      </c>
      <c r="X62" s="10">
        <f>MAX(Tabella8[[#This Row],[rest of Italy fit]]-CIo,0)</f>
        <v>0</v>
      </c>
      <c r="Z62"/>
      <c r="AA62"/>
      <c r="AB62" s="70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 s="83"/>
      <c r="AV62" s="83"/>
      <c r="AW62"/>
      <c r="AX62" s="32"/>
      <c r="AY62" s="32"/>
      <c r="AZ62"/>
      <c r="BA62" s="86"/>
      <c r="BB62" s="86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</row>
    <row r="63" spans="2:375" x14ac:dyDescent="0.3">
      <c r="B63" s="9">
        <v>43886</v>
      </c>
      <c r="C63" s="4">
        <v>56</v>
      </c>
      <c r="D63" s="90">
        <v>6</v>
      </c>
      <c r="E63" s="10">
        <f>Tabella8[[#This Row],[Spain cum. Cases]]*NOT(ISBLANK(Tabella8[[#This Row],[Spain cum. Cases]]))</f>
        <v>6</v>
      </c>
      <c r="F63" s="146">
        <f>IFERROR(Kt*_xlfn.LOGNORM.DIST((Tabella8[[#This Row],[Day]]-Days_back),mu_t,sigma_t,TRUE),0)</f>
        <v>6.7670716910929674</v>
      </c>
      <c r="G63" s="125">
        <f>Tabella8[[#This Row],[Spain cum. fit]]/Kt</f>
        <v>2.4168122179117138E-5</v>
      </c>
      <c r="H63" s="324">
        <f>Tabella8[[#This Row],[Spain cum. fit]]*NOT(ISBLANK(Tabella8[[#This Row],[Spain cum. Cases]]))</f>
        <v>6.7670716910929674</v>
      </c>
      <c r="I63" s="10">
        <f>Tabella8[[#This Row],[Spain cum. fit]]+CIt</f>
        <v>8712.9458343326787</v>
      </c>
      <c r="J63" s="10">
        <f>MAX(Tabella8[[#This Row],[Spain cum. fit]]-CIt,0)</f>
        <v>0</v>
      </c>
      <c r="K63" s="74"/>
      <c r="L63" s="10">
        <f>Tabella8[[#This Row],[Lombardy]]*NOT(ISBLANK(Tabella8[[#This Row],[Lombardy]]))</f>
        <v>0</v>
      </c>
      <c r="M63" s="123">
        <f>IFERROR(Kr*_xlfn.LOGNORM.DIST((Tabella8[[#This Row],[Day]]-pr),mu_r,sigma_r,TRUE),0)</f>
        <v>331.60368823539022</v>
      </c>
      <c r="N63" s="123">
        <f>Tabella8[[#This Row],[Lombardy fit]]/Kr</f>
        <v>3.8115366463837958E-3</v>
      </c>
      <c r="O63" s="10">
        <f>Tabella8[[#This Row],[Lombardy fit]]*NOT(ISBLANK(Tabella8[[#This Row],[Lombardy]]))</f>
        <v>0</v>
      </c>
      <c r="P63" s="10" t="e">
        <f>Tabella8[[#This Row],[Lombardy fit]]+CIr</f>
        <v>#NUM!</v>
      </c>
      <c r="Q63" s="10" t="e">
        <f>MAX(Tabella8[[#This Row],[Lombardy fit]]-CIr,0)</f>
        <v>#NUM!</v>
      </c>
      <c r="R63" s="10">
        <f>Tabella8[[#This Row],[Spain cum. Cases]]-Tabella8[[#This Row],[Lombardy]]</f>
        <v>6</v>
      </c>
      <c r="S63" s="10">
        <f>Tabella8[[#This Row],[rest of Italy ]]*NOT(ISBLANK(Tabella8[[#This Row],[rest of Italy ]]))</f>
        <v>6</v>
      </c>
      <c r="T63" s="124">
        <f>IFERROR(Ko*_xlfn.LOGNORM.DIST((Tabella8[[#This Row],[Day]]-po),mu_o,sigma_o,TRUE),0)</f>
        <v>28.540319273609629</v>
      </c>
      <c r="U63" s="124">
        <f>Tabella8[[#This Row],[rest of Italy fit]]/Ko</f>
        <v>1.9284001754075368E-4</v>
      </c>
      <c r="V63" s="22">
        <f>Tabella8[[#This Row],[rest of Italy fit]]*NOT(ISBLANK(Tabella8[[#This Row],[rest of Italy ]]))</f>
        <v>28.540319273609629</v>
      </c>
      <c r="W63" s="10">
        <f>Tabella8[[#This Row],[rest of Italy fit]]+CIo</f>
        <v>104224.46721719587</v>
      </c>
      <c r="X63" s="10">
        <f>MAX(Tabella8[[#This Row],[rest of Italy fit]]-CIo,0)</f>
        <v>0</v>
      </c>
      <c r="Z63"/>
      <c r="AA63"/>
      <c r="AB63" s="70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 s="83"/>
      <c r="AV63" s="83"/>
      <c r="AW63"/>
      <c r="AX63" s="32"/>
      <c r="AY63" s="32"/>
      <c r="AZ63"/>
      <c r="BA63" s="86"/>
      <c r="BB63" s="86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</row>
    <row r="64" spans="2:375" x14ac:dyDescent="0.3">
      <c r="B64" s="9">
        <v>43887</v>
      </c>
      <c r="C64" s="4">
        <v>57</v>
      </c>
      <c r="D64" s="90">
        <v>13</v>
      </c>
      <c r="E64" s="10">
        <f>Tabella8[[#This Row],[Spain cum. Cases]]*NOT(ISBLANK(Tabella8[[#This Row],[Spain cum. Cases]]))</f>
        <v>13</v>
      </c>
      <c r="F64" s="146">
        <f>IFERROR(Kt*_xlfn.LOGNORM.DIST((Tabella8[[#This Row],[Day]]-Days_back),mu_t,sigma_t,TRUE),0)</f>
        <v>13.712690643239494</v>
      </c>
      <c r="G64" s="125">
        <f>Tabella8[[#This Row],[Spain cum. fit]]/Kt</f>
        <v>4.8973913385085116E-5</v>
      </c>
      <c r="H64" s="324">
        <f>Tabella8[[#This Row],[Spain cum. fit]]*NOT(ISBLANK(Tabella8[[#This Row],[Spain cum. Cases]]))</f>
        <v>13.712690643239494</v>
      </c>
      <c r="I64" s="10">
        <f>Tabella8[[#This Row],[Spain cum. fit]]+CIt</f>
        <v>8719.8914532848248</v>
      </c>
      <c r="J64" s="10">
        <f>MAX(Tabella8[[#This Row],[Spain cum. fit]]-CIt,0)</f>
        <v>0</v>
      </c>
      <c r="K64" s="74"/>
      <c r="L64" s="10">
        <f>Tabella8[[#This Row],[Lombardy]]*NOT(ISBLANK(Tabella8[[#This Row],[Lombardy]]))</f>
        <v>0</v>
      </c>
      <c r="M64" s="123">
        <f>IFERROR(Kr*_xlfn.LOGNORM.DIST((Tabella8[[#This Row],[Day]]-pr),mu_r,sigma_r,TRUE),0)</f>
        <v>465.77889435556489</v>
      </c>
      <c r="N64" s="123">
        <f>Tabella8[[#This Row],[Lombardy fit]]/Kr</f>
        <v>5.3537803948915507E-3</v>
      </c>
      <c r="O64" s="10">
        <f>Tabella8[[#This Row],[Lombardy fit]]*NOT(ISBLANK(Tabella8[[#This Row],[Lombardy]]))</f>
        <v>0</v>
      </c>
      <c r="P64" s="10" t="e">
        <f>Tabella8[[#This Row],[Lombardy fit]]+CIr</f>
        <v>#NUM!</v>
      </c>
      <c r="Q64" s="10" t="e">
        <f>MAX(Tabella8[[#This Row],[Lombardy fit]]-CIr,0)</f>
        <v>#NUM!</v>
      </c>
      <c r="R64" s="10">
        <f>Tabella8[[#This Row],[Spain cum. Cases]]-Tabella8[[#This Row],[Lombardy]]</f>
        <v>13</v>
      </c>
      <c r="S64" s="10">
        <f>Tabella8[[#This Row],[rest of Italy ]]*NOT(ISBLANK(Tabella8[[#This Row],[rest of Italy ]]))</f>
        <v>13</v>
      </c>
      <c r="T64" s="124">
        <f>IFERROR(Ko*_xlfn.LOGNORM.DIST((Tabella8[[#This Row],[Day]]-po),mu_o,sigma_o,TRUE),0)</f>
        <v>52.855278634221321</v>
      </c>
      <c r="U64" s="124">
        <f>Tabella8[[#This Row],[rest of Italy fit]]/Ko</f>
        <v>3.5713030261611206E-4</v>
      </c>
      <c r="V64" s="22">
        <f>Tabella8[[#This Row],[rest of Italy fit]]*NOT(ISBLANK(Tabella8[[#This Row],[rest of Italy ]]))</f>
        <v>52.855278634221321</v>
      </c>
      <c r="W64" s="10">
        <f>Tabella8[[#This Row],[rest of Italy fit]]+CIo</f>
        <v>104248.78217655647</v>
      </c>
      <c r="X64" s="10">
        <f>MAX(Tabella8[[#This Row],[rest of Italy fit]]-CIo,0)</f>
        <v>0</v>
      </c>
      <c r="Z64"/>
      <c r="AA64"/>
      <c r="AB64" s="70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 s="83"/>
      <c r="AV64" s="83"/>
      <c r="AW64" s="97"/>
      <c r="AX64" s="32"/>
      <c r="AY64" s="32"/>
      <c r="AZ64" s="97"/>
      <c r="BA64" s="86"/>
      <c r="BB64" s="86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</row>
    <row r="65" spans="2:375" x14ac:dyDescent="0.3">
      <c r="B65" s="9">
        <v>43888</v>
      </c>
      <c r="C65" s="4">
        <v>58</v>
      </c>
      <c r="D65" s="90">
        <v>15</v>
      </c>
      <c r="E65" s="10">
        <f>Tabella8[[#This Row],[Spain cum. Cases]]*NOT(ISBLANK(Tabella8[[#This Row],[Spain cum. Cases]]))</f>
        <v>15</v>
      </c>
      <c r="F65" s="146">
        <f>IFERROR(Kt*_xlfn.LOGNORM.DIST((Tabella8[[#This Row],[Day]]-Days_back),mu_t,sigma_t,TRUE),0)</f>
        <v>26.284190338676385</v>
      </c>
      <c r="G65" s="125">
        <f>Tabella8[[#This Row],[Spain cum. fit]]/Kt</f>
        <v>9.387214329654928E-5</v>
      </c>
      <c r="H65" s="324">
        <f>Tabella8[[#This Row],[Spain cum. fit]]*NOT(ISBLANK(Tabella8[[#This Row],[Spain cum. Cases]]))</f>
        <v>26.284190338676385</v>
      </c>
      <c r="I65" s="10">
        <f>Tabella8[[#This Row],[Spain cum. fit]]+CIt</f>
        <v>8732.4629529802623</v>
      </c>
      <c r="J65" s="10">
        <f>MAX(Tabella8[[#This Row],[Spain cum. fit]]-CIt,0)</f>
        <v>0</v>
      </c>
      <c r="K65" s="74"/>
      <c r="L65" s="10">
        <f>Tabella8[[#This Row],[Lombardy]]*NOT(ISBLANK(Tabella8[[#This Row],[Lombardy]]))</f>
        <v>0</v>
      </c>
      <c r="M65" s="123">
        <f>IFERROR(Kr*_xlfn.LOGNORM.DIST((Tabella8[[#This Row],[Day]]-pr),mu_r,sigma_r,TRUE),0)</f>
        <v>638.36338064302606</v>
      </c>
      <c r="N65" s="123">
        <f>Tabella8[[#This Row],[Lombardy fit]]/Kr</f>
        <v>7.337510122333633E-3</v>
      </c>
      <c r="O65" s="10">
        <f>Tabella8[[#This Row],[Lombardy fit]]*NOT(ISBLANK(Tabella8[[#This Row],[Lombardy]]))</f>
        <v>0</v>
      </c>
      <c r="P65" s="10" t="e">
        <f>Tabella8[[#This Row],[Lombardy fit]]+CIr</f>
        <v>#NUM!</v>
      </c>
      <c r="Q65" s="10" t="e">
        <f>MAX(Tabella8[[#This Row],[Lombardy fit]]-CIr,0)</f>
        <v>#NUM!</v>
      </c>
      <c r="R65" s="10">
        <f>Tabella8[[#This Row],[Spain cum. Cases]]-Tabella8[[#This Row],[Lombardy]]</f>
        <v>15</v>
      </c>
      <c r="S65" s="10">
        <f>Tabella8[[#This Row],[rest of Italy ]]*NOT(ISBLANK(Tabella8[[#This Row],[rest of Italy ]]))</f>
        <v>15</v>
      </c>
      <c r="T65" s="124">
        <f>IFERROR(Ko*_xlfn.LOGNORM.DIST((Tabella8[[#This Row],[Day]]-po),mu_o,sigma_o,TRUE),0)</f>
        <v>92.643298386472409</v>
      </c>
      <c r="U65" s="124">
        <f>Tabella8[[#This Row],[rest of Italy fit]]/Ko</f>
        <v>6.2596830521094242E-4</v>
      </c>
      <c r="V65" s="22">
        <f>Tabella8[[#This Row],[rest of Italy fit]]*NOT(ISBLANK(Tabella8[[#This Row],[rest of Italy ]]))</f>
        <v>92.643298386472409</v>
      </c>
      <c r="W65" s="10">
        <f>Tabella8[[#This Row],[rest of Italy fit]]+CIo</f>
        <v>104288.57019630872</v>
      </c>
      <c r="X65" s="10">
        <f>MAX(Tabella8[[#This Row],[rest of Italy fit]]-CIo,0)</f>
        <v>0</v>
      </c>
      <c r="Z65"/>
      <c r="AA65"/>
      <c r="AB65" s="70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 s="83"/>
      <c r="AV65" s="83"/>
      <c r="AW65" s="97"/>
      <c r="AX65" s="32"/>
      <c r="AY65" s="32"/>
      <c r="AZ65" s="97"/>
      <c r="BA65" s="86"/>
      <c r="BB65" s="86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</row>
    <row r="66" spans="2:375" x14ac:dyDescent="0.3">
      <c r="B66" s="9">
        <v>43889</v>
      </c>
      <c r="C66" s="4">
        <v>59</v>
      </c>
      <c r="D66" s="90">
        <v>32</v>
      </c>
      <c r="E66" s="10">
        <f>Tabella8[[#This Row],[Spain cum. Cases]]*NOT(ISBLANK(Tabella8[[#This Row],[Spain cum. Cases]]))</f>
        <v>32</v>
      </c>
      <c r="F66" s="146">
        <f>IFERROR(Kt*_xlfn.LOGNORM.DIST((Tabella8[[#This Row],[Day]]-Days_back),mu_t,sigma_t,TRUE),0)</f>
        <v>47.928250132156059</v>
      </c>
      <c r="G66" s="125">
        <f>Tabella8[[#This Row],[Spain cum. fit]]/Kt</f>
        <v>1.7117238561989415E-4</v>
      </c>
      <c r="H66" s="324">
        <f>Tabella8[[#This Row],[Spain cum. fit]]*NOT(ISBLANK(Tabella8[[#This Row],[Spain cum. Cases]]))</f>
        <v>47.928250132156059</v>
      </c>
      <c r="I66" s="10">
        <f>Tabella8[[#This Row],[Spain cum. fit]]+CIt</f>
        <v>8754.1070127737421</v>
      </c>
      <c r="J66" s="10">
        <f>MAX(Tabella8[[#This Row],[Spain cum. fit]]-CIt,0)</f>
        <v>0</v>
      </c>
      <c r="K66" s="74"/>
      <c r="L66" s="10">
        <f>Tabella8[[#This Row],[Lombardy]]*NOT(ISBLANK(Tabella8[[#This Row],[Lombardy]]))</f>
        <v>0</v>
      </c>
      <c r="M66" s="123">
        <f>IFERROR(Kr*_xlfn.LOGNORM.DIST((Tabella8[[#This Row],[Day]]-pr),mu_r,sigma_r,TRUE),0)</f>
        <v>855.6049183896896</v>
      </c>
      <c r="N66" s="123">
        <f>Tabella8[[#This Row],[Lombardy fit]]/Kr</f>
        <v>9.8345392918355121E-3</v>
      </c>
      <c r="O66" s="10">
        <f>Tabella8[[#This Row],[Lombardy fit]]*NOT(ISBLANK(Tabella8[[#This Row],[Lombardy]]))</f>
        <v>0</v>
      </c>
      <c r="P66" s="10" t="e">
        <f>Tabella8[[#This Row],[Lombardy fit]]+CIr</f>
        <v>#NUM!</v>
      </c>
      <c r="Q66" s="10" t="e">
        <f>MAX(Tabella8[[#This Row],[Lombardy fit]]-CIr,0)</f>
        <v>#NUM!</v>
      </c>
      <c r="R66" s="10">
        <f>Tabella8[[#This Row],[Spain cum. Cases]]-Tabella8[[#This Row],[Lombardy]]</f>
        <v>32</v>
      </c>
      <c r="S66" s="10">
        <f>Tabella8[[#This Row],[rest of Italy ]]*NOT(ISBLANK(Tabella8[[#This Row],[rest of Italy ]]))</f>
        <v>32</v>
      </c>
      <c r="T66" s="124">
        <f>IFERROR(Ko*_xlfn.LOGNORM.DIST((Tabella8[[#This Row],[Day]]-po),mu_o,sigma_o,TRUE),0)</f>
        <v>154.69135092058042</v>
      </c>
      <c r="U66" s="124">
        <f>Tabella8[[#This Row],[rest of Italy fit]]/Ko</f>
        <v>1.0452119522191591E-3</v>
      </c>
      <c r="V66" s="22">
        <f>Tabella8[[#This Row],[rest of Italy fit]]*NOT(ISBLANK(Tabella8[[#This Row],[rest of Italy ]]))</f>
        <v>154.69135092058042</v>
      </c>
      <c r="W66" s="10">
        <f>Tabella8[[#This Row],[rest of Italy fit]]+CIo</f>
        <v>104350.61824884283</v>
      </c>
      <c r="X66" s="10">
        <f>MAX(Tabella8[[#This Row],[rest of Italy fit]]-CIo,0)</f>
        <v>0</v>
      </c>
      <c r="Z66"/>
      <c r="AA66"/>
      <c r="AB66" s="70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 s="83"/>
      <c r="AV66" s="83"/>
      <c r="AW66" s="97"/>
      <c r="AX66" s="32"/>
      <c r="AY66" s="32"/>
      <c r="AZ66" s="97"/>
      <c r="BA66" s="86"/>
      <c r="BB66" s="8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</row>
    <row r="67" spans="2:375" x14ac:dyDescent="0.3">
      <c r="B67" s="9">
        <v>43890</v>
      </c>
      <c r="C67" s="4">
        <v>60</v>
      </c>
      <c r="D67" s="90">
        <v>45</v>
      </c>
      <c r="E67" s="10">
        <f>Tabella8[[#This Row],[Spain cum. Cases]]*NOT(ISBLANK(Tabella8[[#This Row],[Spain cum. Cases]]))</f>
        <v>45</v>
      </c>
      <c r="F67" s="146">
        <f>IFERROR(Kt*_xlfn.LOGNORM.DIST((Tabella8[[#This Row],[Day]]-Days_back),mu_t,sigma_t,TRUE),0)</f>
        <v>83.552170188598097</v>
      </c>
      <c r="G67" s="125">
        <f>Tabella8[[#This Row],[Spain cum. fit]]/Kt</f>
        <v>2.9840071889681506E-4</v>
      </c>
      <c r="H67" s="324">
        <f>Tabella8[[#This Row],[Spain cum. fit]]*NOT(ISBLANK(Tabella8[[#This Row],[Spain cum. Cases]]))</f>
        <v>83.552170188598097</v>
      </c>
      <c r="I67" s="10">
        <f>Tabella8[[#This Row],[Spain cum. fit]]+CIt</f>
        <v>8789.7309328301835</v>
      </c>
      <c r="J67" s="10">
        <f>MAX(Tabella8[[#This Row],[Spain cum. fit]]-CIt,0)</f>
        <v>0</v>
      </c>
      <c r="K67" s="74"/>
      <c r="L67" s="10">
        <f>Tabella8[[#This Row],[Lombardy]]*NOT(ISBLANK(Tabella8[[#This Row],[Lombardy]]))</f>
        <v>0</v>
      </c>
      <c r="M67" s="123">
        <f>IFERROR(Kr*_xlfn.LOGNORM.DIST((Tabella8[[#This Row],[Day]]-pr),mu_r,sigma_r,TRUE),0)</f>
        <v>1123.7418244760652</v>
      </c>
      <c r="N67" s="123">
        <f>Tabella8[[#This Row],[Lombardy fit]]/Kr</f>
        <v>1.2916572695127186E-2</v>
      </c>
      <c r="O67" s="10">
        <f>Tabella8[[#This Row],[Lombardy fit]]*NOT(ISBLANK(Tabella8[[#This Row],[Lombardy]]))</f>
        <v>0</v>
      </c>
      <c r="P67" s="10" t="e">
        <f>Tabella8[[#This Row],[Lombardy fit]]+CIr</f>
        <v>#NUM!</v>
      </c>
      <c r="Q67" s="10" t="e">
        <f>MAX(Tabella8[[#This Row],[Lombardy fit]]-CIr,0)</f>
        <v>#NUM!</v>
      </c>
      <c r="R67" s="10">
        <f>Tabella8[[#This Row],[Spain cum. Cases]]-Tabella8[[#This Row],[Lombardy]]</f>
        <v>45</v>
      </c>
      <c r="S67" s="10">
        <f>Tabella8[[#This Row],[rest of Italy ]]*NOT(ISBLANK(Tabella8[[#This Row],[rest of Italy ]]))</f>
        <v>45</v>
      </c>
      <c r="T67" s="124">
        <f>IFERROR(Ko*_xlfn.LOGNORM.DIST((Tabella8[[#This Row],[Day]]-po),mu_o,sigma_o,TRUE),0)</f>
        <v>247.42222963734693</v>
      </c>
      <c r="U67" s="124">
        <f>Tabella8[[#This Row],[rest of Italy fit]]/Ko</f>
        <v>1.6717720164874626E-3</v>
      </c>
      <c r="V67" s="22">
        <f>Tabella8[[#This Row],[rest of Italy fit]]*NOT(ISBLANK(Tabella8[[#This Row],[rest of Italy ]]))</f>
        <v>247.42222963734693</v>
      </c>
      <c r="W67" s="10">
        <f>Tabella8[[#This Row],[rest of Italy fit]]+CIo</f>
        <v>104443.3491275596</v>
      </c>
      <c r="X67" s="10">
        <f>MAX(Tabella8[[#This Row],[rest of Italy fit]]-CIo,0)</f>
        <v>0</v>
      </c>
      <c r="Z67"/>
      <c r="AA67"/>
      <c r="AB67" s="70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 s="83"/>
      <c r="AV67" s="83"/>
      <c r="AW67" s="97"/>
      <c r="AX67" s="32"/>
      <c r="AY67" s="32"/>
      <c r="AZ67" s="97"/>
      <c r="BA67" s="86"/>
      <c r="BB67" s="86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</row>
    <row r="68" spans="2:375" x14ac:dyDescent="0.3">
      <c r="B68" s="15">
        <v>43891</v>
      </c>
      <c r="C68" s="4">
        <v>61</v>
      </c>
      <c r="D68" s="90">
        <v>84</v>
      </c>
      <c r="E68" s="10">
        <f>Tabella8[[#This Row],[Spain cum. Cases]]*NOT(ISBLANK(Tabella8[[#This Row],[Spain cum. Cases]]))</f>
        <v>84</v>
      </c>
      <c r="F68" s="146">
        <f>IFERROR(Kt*_xlfn.LOGNORM.DIST((Tabella8[[#This Row],[Day]]-Days_back),mu_t,sigma_t,TRUE),0)</f>
        <v>139.84954028570687</v>
      </c>
      <c r="G68" s="125">
        <f>Tabella8[[#This Row],[Spain cum. fit]]/Kt</f>
        <v>4.9946282980377755E-4</v>
      </c>
      <c r="H68" s="324">
        <f>Tabella8[[#This Row],[Spain cum. fit]]*NOT(ISBLANK(Tabella8[[#This Row],[Spain cum. Cases]]))</f>
        <v>139.84954028570687</v>
      </c>
      <c r="I68" s="10">
        <f>Tabella8[[#This Row],[Spain cum. fit]]+CIt</f>
        <v>8846.0283029272923</v>
      </c>
      <c r="J68" s="10">
        <f>MAX(Tabella8[[#This Row],[Spain cum. fit]]-CIt,0)</f>
        <v>0</v>
      </c>
      <c r="K68" s="74"/>
      <c r="L68" s="10">
        <f>Tabella8[[#This Row],[Lombardy]]*NOT(ISBLANK(Tabella8[[#This Row],[Lombardy]]))</f>
        <v>0</v>
      </c>
      <c r="M68" s="123">
        <f>IFERROR(Kr*_xlfn.LOGNORM.DIST((Tabella8[[#This Row],[Day]]-pr),mu_r,sigma_r,TRUE),0)</f>
        <v>1448.8305134421209</v>
      </c>
      <c r="N68" s="123">
        <f>Tabella8[[#This Row],[Lombardy fit]]/Kr</f>
        <v>1.6653224292438172E-2</v>
      </c>
      <c r="O68" s="10">
        <f>Tabella8[[#This Row],[Lombardy fit]]*NOT(ISBLANK(Tabella8[[#This Row],[Lombardy]]))</f>
        <v>0</v>
      </c>
      <c r="P68" s="10" t="e">
        <f>Tabella8[[#This Row],[Lombardy fit]]+CIr</f>
        <v>#NUM!</v>
      </c>
      <c r="Q68" s="10" t="e">
        <f>MAX(Tabella8[[#This Row],[Lombardy fit]]-CIr,0)</f>
        <v>#NUM!</v>
      </c>
      <c r="R68" s="10">
        <f>Tabella8[[#This Row],[Spain cum. Cases]]-Tabella8[[#This Row],[Lombardy]]</f>
        <v>84</v>
      </c>
      <c r="S68" s="10">
        <f>Tabella8[[#This Row],[rest of Italy ]]*NOT(ISBLANK(Tabella8[[#This Row],[rest of Italy ]]))</f>
        <v>84</v>
      </c>
      <c r="T68" s="124">
        <f>IFERROR(Ko*_xlfn.LOGNORM.DIST((Tabella8[[#This Row],[Day]]-po),mu_o,sigma_o,TRUE),0)</f>
        <v>380.86663026803939</v>
      </c>
      <c r="U68" s="124">
        <f>Tabella8[[#This Row],[rest of Italy fit]]/Ko</f>
        <v>2.5734234770628532E-3</v>
      </c>
      <c r="V68" s="22">
        <f>Tabella8[[#This Row],[rest of Italy fit]]*NOT(ISBLANK(Tabella8[[#This Row],[rest of Italy ]]))</f>
        <v>380.86663026803939</v>
      </c>
      <c r="W68" s="10">
        <f>Tabella8[[#This Row],[rest of Italy fit]]+CIo</f>
        <v>104576.79352819029</v>
      </c>
      <c r="X68" s="10">
        <f>MAX(Tabella8[[#This Row],[rest of Italy fit]]-CIo,0)</f>
        <v>0</v>
      </c>
      <c r="Z68"/>
      <c r="AA68"/>
      <c r="AB68" s="70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 s="83"/>
      <c r="AV68" s="83"/>
      <c r="AW68" s="97"/>
      <c r="AX68" s="32"/>
      <c r="AY68" s="32"/>
      <c r="AZ68" s="97"/>
      <c r="BA68" s="86"/>
      <c r="BB68" s="86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</row>
    <row r="69" spans="2:375" x14ac:dyDescent="0.3">
      <c r="B69" s="9">
        <v>43892</v>
      </c>
      <c r="C69" s="4">
        <v>62</v>
      </c>
      <c r="D69" s="90">
        <v>120</v>
      </c>
      <c r="E69" s="10">
        <f>Tabella8[[#This Row],[Spain cum. Cases]]*NOT(ISBLANK(Tabella8[[#This Row],[Spain cum. Cases]]))</f>
        <v>120</v>
      </c>
      <c r="F69" s="146">
        <f>IFERROR(Kt*_xlfn.LOGNORM.DIST((Tabella8[[#This Row],[Day]]-Days_back),mu_t,sigma_t,TRUE),0)</f>
        <v>225.59905763868508</v>
      </c>
      <c r="G69" s="125">
        <f>Tabella8[[#This Row],[Spain cum. fit]]/Kt</f>
        <v>8.0571122006612198E-4</v>
      </c>
      <c r="H69" s="324">
        <f>Tabella8[[#This Row],[Spain cum. fit]]*NOT(ISBLANK(Tabella8[[#This Row],[Spain cum. Cases]]))</f>
        <v>225.59905763868508</v>
      </c>
      <c r="I69" s="10">
        <f>Tabella8[[#This Row],[Spain cum. fit]]+CIt</f>
        <v>8931.777820280271</v>
      </c>
      <c r="J69" s="10">
        <f>MAX(Tabella8[[#This Row],[Spain cum. fit]]-CIt,0)</f>
        <v>0</v>
      </c>
      <c r="K69" s="74"/>
      <c r="L69" s="10">
        <f>Tabella8[[#This Row],[Lombardy]]*NOT(ISBLANK(Tabella8[[#This Row],[Lombardy]]))</f>
        <v>0</v>
      </c>
      <c r="M69" s="123">
        <f>IFERROR(Kr*_xlfn.LOGNORM.DIST((Tabella8[[#This Row],[Day]]-pr),mu_r,sigma_r,TRUE),0)</f>
        <v>1836.5792702222441</v>
      </c>
      <c r="N69" s="123">
        <f>Tabella8[[#This Row],[Lombardy fit]]/Kr</f>
        <v>2.1110106554278668E-2</v>
      </c>
      <c r="O69" s="10">
        <f>Tabella8[[#This Row],[Lombardy fit]]*NOT(ISBLANK(Tabella8[[#This Row],[Lombardy]]))</f>
        <v>0</v>
      </c>
      <c r="P69" s="10" t="e">
        <f>Tabella8[[#This Row],[Lombardy fit]]+CIr</f>
        <v>#NUM!</v>
      </c>
      <c r="Q69" s="10" t="e">
        <f>MAX(Tabella8[[#This Row],[Lombardy fit]]-CIr,0)</f>
        <v>#NUM!</v>
      </c>
      <c r="R69" s="10">
        <f>Tabella8[[#This Row],[Spain cum. Cases]]-Tabella8[[#This Row],[Lombardy]]</f>
        <v>120</v>
      </c>
      <c r="S69" s="10">
        <f>Tabella8[[#This Row],[rest of Italy ]]*NOT(ISBLANK(Tabella8[[#This Row],[rest of Italy ]]))</f>
        <v>120</v>
      </c>
      <c r="T69" s="124">
        <f>IFERROR(Ko*_xlfn.LOGNORM.DIST((Tabella8[[#This Row],[Day]]-po),mu_o,sigma_o,TRUE),0)</f>
        <v>566.52661474504566</v>
      </c>
      <c r="U69" s="124">
        <f>Tabella8[[#This Row],[rest of Italy fit]]/Ko</f>
        <v>3.827882977670739E-3</v>
      </c>
      <c r="V69" s="22">
        <f>Tabella8[[#This Row],[rest of Italy fit]]*NOT(ISBLANK(Tabella8[[#This Row],[rest of Italy ]]))</f>
        <v>566.52661474504566</v>
      </c>
      <c r="W69" s="10">
        <f>Tabella8[[#This Row],[rest of Italy fit]]+CIo</f>
        <v>104762.4535126673</v>
      </c>
      <c r="X69" s="10">
        <f>MAX(Tabella8[[#This Row],[rest of Italy fit]]-CIo,0)</f>
        <v>0</v>
      </c>
      <c r="Z69"/>
      <c r="AA69"/>
      <c r="AB69" s="70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 s="83"/>
      <c r="AV69" s="83"/>
      <c r="AW69" s="97"/>
      <c r="AX69" s="32"/>
      <c r="AY69" s="32"/>
      <c r="AZ69" s="97"/>
      <c r="BA69" s="86"/>
      <c r="BB69" s="86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</row>
    <row r="70" spans="2:375" x14ac:dyDescent="0.3">
      <c r="B70" s="9">
        <v>43893</v>
      </c>
      <c r="C70" s="4">
        <v>63</v>
      </c>
      <c r="D70" s="90">
        <v>165</v>
      </c>
      <c r="E70" s="10">
        <f>Tabella8[[#This Row],[Spain cum. Cases]]*NOT(ISBLANK(Tabella8[[#This Row],[Spain cum. Cases]]))</f>
        <v>165</v>
      </c>
      <c r="F70" s="146">
        <f>IFERROR(Kt*_xlfn.LOGNORM.DIST((Tabella8[[#This Row],[Day]]-Days_back),mu_t,sigma_t,TRUE),0)</f>
        <v>351.90529176290045</v>
      </c>
      <c r="G70" s="125">
        <f>Tabella8[[#This Row],[Spain cum. fit]]/Kt</f>
        <v>1.2568050812876779E-3</v>
      </c>
      <c r="H70" s="324">
        <f>Tabella8[[#This Row],[Spain cum. fit]]*NOT(ISBLANK(Tabella8[[#This Row],[Spain cum. Cases]]))</f>
        <v>351.90529176290045</v>
      </c>
      <c r="I70" s="10">
        <f>Tabella8[[#This Row],[Spain cum. fit]]+CIt</f>
        <v>9058.0840544044859</v>
      </c>
      <c r="J70" s="10">
        <f>MAX(Tabella8[[#This Row],[Spain cum. fit]]-CIt,0)</f>
        <v>0</v>
      </c>
      <c r="K70" s="74"/>
      <c r="L70" s="10">
        <f>Tabella8[[#This Row],[Lombardy]]*NOT(ISBLANK(Tabella8[[#This Row],[Lombardy]]))</f>
        <v>0</v>
      </c>
      <c r="M70" s="123">
        <f>IFERROR(Kr*_xlfn.LOGNORM.DIST((Tabella8[[#This Row],[Day]]-pr),mu_r,sigma_r,TRUE),0)</f>
        <v>2292.1954624306022</v>
      </c>
      <c r="N70" s="123">
        <f>Tabella8[[#This Row],[Lombardy fit]]/Kr</f>
        <v>2.6347074280811521E-2</v>
      </c>
      <c r="O70" s="10">
        <f>Tabella8[[#This Row],[Lombardy fit]]*NOT(ISBLANK(Tabella8[[#This Row],[Lombardy]]))</f>
        <v>0</v>
      </c>
      <c r="P70" s="10" t="e">
        <f>Tabella8[[#This Row],[Lombardy fit]]+CIr</f>
        <v>#NUM!</v>
      </c>
      <c r="Q70" s="10" t="e">
        <f>MAX(Tabella8[[#This Row],[Lombardy fit]]-CIr,0)</f>
        <v>#NUM!</v>
      </c>
      <c r="R70" s="10">
        <f>Tabella8[[#This Row],[Spain cum. Cases]]-Tabella8[[#This Row],[Lombardy]]</f>
        <v>165</v>
      </c>
      <c r="S70" s="10">
        <f>Tabella8[[#This Row],[rest of Italy ]]*NOT(ISBLANK(Tabella8[[#This Row],[rest of Italy ]]))</f>
        <v>165</v>
      </c>
      <c r="T70" s="124">
        <f>IFERROR(Ko*_xlfn.LOGNORM.DIST((Tabella8[[#This Row],[Day]]-po),mu_o,sigma_o,TRUE),0)</f>
        <v>817.13509237138612</v>
      </c>
      <c r="U70" s="124">
        <f>Tabella8[[#This Row],[rest of Italy fit]]/Ko</f>
        <v>5.5211836992927251E-3</v>
      </c>
      <c r="V70" s="22">
        <f>Tabella8[[#This Row],[rest of Italy fit]]*NOT(ISBLANK(Tabella8[[#This Row],[rest of Italy ]]))</f>
        <v>817.13509237138612</v>
      </c>
      <c r="W70" s="10">
        <f>Tabella8[[#This Row],[rest of Italy fit]]+CIo</f>
        <v>105013.06199029365</v>
      </c>
      <c r="X70" s="10">
        <f>MAX(Tabella8[[#This Row],[rest of Italy fit]]-CIo,0)</f>
        <v>0</v>
      </c>
      <c r="Z70"/>
      <c r="AA70"/>
      <c r="AB70" s="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 s="83"/>
      <c r="AV70" s="83"/>
      <c r="AW70" s="97"/>
      <c r="AX70" s="32"/>
      <c r="AY70" s="32"/>
      <c r="AZ70" s="97"/>
      <c r="BA70" s="86"/>
      <c r="BB70" s="86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</row>
    <row r="71" spans="2:375" x14ac:dyDescent="0.3">
      <c r="B71" s="9">
        <v>43894</v>
      </c>
      <c r="C71" s="4">
        <v>64</v>
      </c>
      <c r="D71" s="90">
        <v>222</v>
      </c>
      <c r="E71" s="10">
        <f>Tabella8[[#This Row],[Spain cum. Cases]]*NOT(ISBLANK(Tabella8[[#This Row],[Spain cum. Cases]]))</f>
        <v>222</v>
      </c>
      <c r="F71" s="146">
        <f>IFERROR(Kt*_xlfn.LOGNORM.DIST((Tabella8[[#This Row],[Day]]-Days_back),mu_t,sigma_t,TRUE),0)</f>
        <v>532.35181932069599</v>
      </c>
      <c r="G71" s="125">
        <f>Tabella8[[#This Row],[Spain cum. fit]]/Kt</f>
        <v>1.9012572053215325E-3</v>
      </c>
      <c r="H71" s="324">
        <f>Tabella8[[#This Row],[Spain cum. fit]]*NOT(ISBLANK(Tabella8[[#This Row],[Spain cum. Cases]]))</f>
        <v>532.35181932069599</v>
      </c>
      <c r="I71" s="10">
        <f>Tabella8[[#This Row],[Spain cum. fit]]+CIt</f>
        <v>9238.5305819622827</v>
      </c>
      <c r="J71" s="10">
        <f>MAX(Tabella8[[#This Row],[Spain cum. fit]]-CIt,0)</f>
        <v>0</v>
      </c>
      <c r="K71" s="74"/>
      <c r="L71" s="10">
        <f>Tabella8[[#This Row],[Lombardy]]*NOT(ISBLANK(Tabella8[[#This Row],[Lombardy]]))</f>
        <v>0</v>
      </c>
      <c r="M71" s="123">
        <f>IFERROR(Kr*_xlfn.LOGNORM.DIST((Tabella8[[#This Row],[Day]]-pr),mu_r,sigma_r,TRUE),0)</f>
        <v>2820.2519272416362</v>
      </c>
      <c r="N71" s="123">
        <f>Tabella8[[#This Row],[Lombardy fit]]/Kr</f>
        <v>3.2416688818869381E-2</v>
      </c>
      <c r="O71" s="10">
        <f>Tabella8[[#This Row],[Lombardy fit]]*NOT(ISBLANK(Tabella8[[#This Row],[Lombardy]]))</f>
        <v>0</v>
      </c>
      <c r="P71" s="10" t="e">
        <f>Tabella8[[#This Row],[Lombardy fit]]+CIr</f>
        <v>#NUM!</v>
      </c>
      <c r="Q71" s="10" t="e">
        <f>MAX(Tabella8[[#This Row],[Lombardy fit]]-CIr,0)</f>
        <v>#NUM!</v>
      </c>
      <c r="R71" s="10">
        <f>Tabella8[[#This Row],[Spain cum. Cases]]-Tabella8[[#This Row],[Lombardy]]</f>
        <v>222</v>
      </c>
      <c r="S71" s="10">
        <f>Tabella8[[#This Row],[rest of Italy ]]*NOT(ISBLANK(Tabella8[[#This Row],[rest of Italy ]]))</f>
        <v>222</v>
      </c>
      <c r="T71" s="124">
        <f>IFERROR(Ko*_xlfn.LOGNORM.DIST((Tabella8[[#This Row],[Day]]-po),mu_o,sigma_o,TRUE),0)</f>
        <v>1146.3254735417293</v>
      </c>
      <c r="U71" s="124">
        <f>Tabella8[[#This Row],[rest of Italy fit]]/Ko</f>
        <v>7.7454432904541801E-3</v>
      </c>
      <c r="V71" s="22">
        <f>Tabella8[[#This Row],[rest of Italy fit]]*NOT(ISBLANK(Tabella8[[#This Row],[rest of Italy ]]))</f>
        <v>1146.3254735417293</v>
      </c>
      <c r="W71" s="10">
        <f>Tabella8[[#This Row],[rest of Italy fit]]+CIo</f>
        <v>105342.25237146398</v>
      </c>
      <c r="X71" s="10">
        <f>MAX(Tabella8[[#This Row],[rest of Italy fit]]-CIo,0)</f>
        <v>0</v>
      </c>
      <c r="Z71"/>
      <c r="AA71"/>
      <c r="AB71" s="70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 s="83"/>
      <c r="AV71" s="83"/>
      <c r="AW71" s="97"/>
      <c r="AX71" s="32"/>
      <c r="AY71" s="32"/>
      <c r="AZ71" s="97"/>
      <c r="BA71" s="86"/>
      <c r="BB71" s="86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</row>
    <row r="72" spans="2:375" x14ac:dyDescent="0.3">
      <c r="B72" s="15">
        <v>43895</v>
      </c>
      <c r="C72" s="4">
        <v>65</v>
      </c>
      <c r="D72" s="90">
        <v>259</v>
      </c>
      <c r="E72" s="10">
        <f>Tabella8[[#This Row],[Spain cum. Cases]]*NOT(ISBLANK(Tabella8[[#This Row],[Spain cum. Cases]]))</f>
        <v>259</v>
      </c>
      <c r="F72" s="146">
        <f>IFERROR(Kt*_xlfn.LOGNORM.DIST((Tabella8[[#This Row],[Day]]-Days_back),mu_t,sigma_t,TRUE),0)</f>
        <v>783.04218385777278</v>
      </c>
      <c r="G72" s="125">
        <f>Tabella8[[#This Row],[Spain cum. fit]]/Kt</f>
        <v>2.7965802690972804E-3</v>
      </c>
      <c r="H72" s="324">
        <f>Tabella8[[#This Row],[Spain cum. fit]]*NOT(ISBLANK(Tabella8[[#This Row],[Spain cum. Cases]]))</f>
        <v>783.04218385777278</v>
      </c>
      <c r="I72" s="10">
        <f>Tabella8[[#This Row],[Spain cum. fit]]+CIt</f>
        <v>9489.2209464993593</v>
      </c>
      <c r="J72" s="10">
        <f>MAX(Tabella8[[#This Row],[Spain cum. fit]]-CIt,0)</f>
        <v>0</v>
      </c>
      <c r="K72" s="74"/>
      <c r="L72" s="10">
        <f>Tabella8[[#This Row],[Lombardy]]*NOT(ISBLANK(Tabella8[[#This Row],[Lombardy]]))</f>
        <v>0</v>
      </c>
      <c r="M72" s="123">
        <f>IFERROR(Kr*_xlfn.LOGNORM.DIST((Tabella8[[#This Row],[Day]]-pr),mu_r,sigma_r,TRUE),0)</f>
        <v>3424.5766475447799</v>
      </c>
      <c r="N72" s="123">
        <f>Tabella8[[#This Row],[Lombardy fit]]/Kr</f>
        <v>3.9362949971779082E-2</v>
      </c>
      <c r="O72" s="10">
        <f>Tabella8[[#This Row],[Lombardy fit]]*NOT(ISBLANK(Tabella8[[#This Row],[Lombardy]]))</f>
        <v>0</v>
      </c>
      <c r="P72" s="10" t="e">
        <f>Tabella8[[#This Row],[Lombardy fit]]+CIr</f>
        <v>#NUM!</v>
      </c>
      <c r="Q72" s="10" t="e">
        <f>MAX(Tabella8[[#This Row],[Lombardy fit]]-CIr,0)</f>
        <v>#NUM!</v>
      </c>
      <c r="R72" s="10">
        <f>Tabella8[[#This Row],[Spain cum. Cases]]-Tabella8[[#This Row],[Lombardy]]</f>
        <v>259</v>
      </c>
      <c r="S72" s="10">
        <f>Tabella8[[#This Row],[rest of Italy ]]*NOT(ISBLANK(Tabella8[[#This Row],[rest of Italy ]]))</f>
        <v>259</v>
      </c>
      <c r="T72" s="124">
        <f>IFERROR(Ko*_xlfn.LOGNORM.DIST((Tabella8[[#This Row],[Day]]-po),mu_o,sigma_o,TRUE),0)</f>
        <v>1568.2328388552471</v>
      </c>
      <c r="U72" s="124">
        <f>Tabella8[[#This Row],[rest of Italy fit]]/Ko</f>
        <v>1.0596169063619012E-2</v>
      </c>
      <c r="V72" s="22">
        <f>Tabella8[[#This Row],[rest of Italy fit]]*NOT(ISBLANK(Tabella8[[#This Row],[rest of Italy ]]))</f>
        <v>1568.2328388552471</v>
      </c>
      <c r="W72" s="10">
        <f>Tabella8[[#This Row],[rest of Italy fit]]+CIo</f>
        <v>105764.1597367775</v>
      </c>
      <c r="X72" s="10">
        <f>MAX(Tabella8[[#This Row],[rest of Italy fit]]-CIo,0)</f>
        <v>0</v>
      </c>
      <c r="Z72"/>
      <c r="AA72"/>
      <c r="AB72" s="70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 s="83"/>
      <c r="AV72" s="83"/>
      <c r="AW72" s="97"/>
      <c r="AX72" s="32"/>
      <c r="AY72" s="32"/>
      <c r="AZ72" s="97"/>
      <c r="BA72" s="86"/>
      <c r="BB72" s="86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</row>
    <row r="73" spans="2:375" x14ac:dyDescent="0.3">
      <c r="B73" s="9">
        <v>43896</v>
      </c>
      <c r="C73" s="4">
        <v>66</v>
      </c>
      <c r="D73" s="90">
        <v>400</v>
      </c>
      <c r="E73" s="10">
        <f>Tabella8[[#This Row],[Spain cum. Cases]]*NOT(ISBLANK(Tabella8[[#This Row],[Spain cum. Cases]]))</f>
        <v>400</v>
      </c>
      <c r="F73" s="146">
        <f>IFERROR(Kt*_xlfn.LOGNORM.DIST((Tabella8[[#This Row],[Day]]-Days_back),mu_t,sigma_t,TRUE),0)</f>
        <v>1122.5119249274194</v>
      </c>
      <c r="G73" s="125">
        <f>Tabella8[[#This Row],[Spain cum. fit]]/Kt</f>
        <v>4.0089726528048887E-3</v>
      </c>
      <c r="H73" s="324">
        <f>Tabella8[[#This Row],[Spain cum. fit]]*NOT(ISBLANK(Tabella8[[#This Row],[Spain cum. Cases]]))</f>
        <v>1122.5119249274194</v>
      </c>
      <c r="I73" s="10">
        <f>Tabella8[[#This Row],[Spain cum. fit]]+CIt</f>
        <v>9828.6906875690056</v>
      </c>
      <c r="J73" s="10">
        <f>MAX(Tabella8[[#This Row],[Spain cum. fit]]-CIt,0)</f>
        <v>0</v>
      </c>
      <c r="K73" s="74"/>
      <c r="L73" s="10">
        <f>Tabella8[[#This Row],[Lombardy]]*NOT(ISBLANK(Tabella8[[#This Row],[Lombardy]]))</f>
        <v>0</v>
      </c>
      <c r="M73" s="123">
        <f>IFERROR(Kr*_xlfn.LOGNORM.DIST((Tabella8[[#This Row],[Day]]-pr),mu_r,sigma_r,TRUE),0)</f>
        <v>4108.168218034295</v>
      </c>
      <c r="N73" s="123">
        <f>Tabella8[[#This Row],[Lombardy fit]]/Kr</f>
        <v>4.7220324345221783E-2</v>
      </c>
      <c r="O73" s="10">
        <f>Tabella8[[#This Row],[Lombardy fit]]*NOT(ISBLANK(Tabella8[[#This Row],[Lombardy]]))</f>
        <v>0</v>
      </c>
      <c r="P73" s="10" t="e">
        <f>Tabella8[[#This Row],[Lombardy fit]]+CIr</f>
        <v>#NUM!</v>
      </c>
      <c r="Q73" s="10" t="e">
        <f>MAX(Tabella8[[#This Row],[Lombardy fit]]-CIr,0)</f>
        <v>#NUM!</v>
      </c>
      <c r="R73" s="10">
        <f>Tabella8[[#This Row],[Spain cum. Cases]]-Tabella8[[#This Row],[Lombardy]]</f>
        <v>400</v>
      </c>
      <c r="S73" s="10">
        <f>Tabella8[[#This Row],[rest of Italy ]]*NOT(ISBLANK(Tabella8[[#This Row],[rest of Italy ]]))</f>
        <v>400</v>
      </c>
      <c r="T73" s="124">
        <f>IFERROR(Ko*_xlfn.LOGNORM.DIST((Tabella8[[#This Row],[Day]]-po),mu_o,sigma_o,TRUE),0)</f>
        <v>2097.0523245860077</v>
      </c>
      <c r="U73" s="124">
        <f>Tabella8[[#This Row],[rest of Italy fit]]/Ko</f>
        <v>1.4169274112885499E-2</v>
      </c>
      <c r="V73" s="22">
        <f>Tabella8[[#This Row],[rest of Italy fit]]*NOT(ISBLANK(Tabella8[[#This Row],[rest of Italy ]]))</f>
        <v>2097.0523245860077</v>
      </c>
      <c r="W73" s="10">
        <f>Tabella8[[#This Row],[rest of Italy fit]]+CIo</f>
        <v>106292.97922250826</v>
      </c>
      <c r="X73" s="10">
        <f>MAX(Tabella8[[#This Row],[rest of Italy fit]]-CIo,0)</f>
        <v>0</v>
      </c>
      <c r="Z73"/>
      <c r="AA73"/>
      <c r="AB73" s="70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 s="83"/>
      <c r="AV73" s="83"/>
      <c r="AW73" s="97"/>
      <c r="AX73" s="32"/>
      <c r="AY73" s="32"/>
      <c r="AZ73" s="97"/>
      <c r="BA73" s="86"/>
      <c r="BB73" s="86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</row>
    <row r="74" spans="2:375" x14ac:dyDescent="0.3">
      <c r="B74" s="9">
        <v>43897</v>
      </c>
      <c r="C74" s="4">
        <v>67</v>
      </c>
      <c r="D74" s="90">
        <v>500</v>
      </c>
      <c r="E74" s="10">
        <f>Tabella8[[#This Row],[Spain cum. Cases]]*NOT(ISBLANK(Tabella8[[#This Row],[Spain cum. Cases]]))</f>
        <v>500</v>
      </c>
      <c r="F74" s="146">
        <f>IFERROR(Kt*_xlfn.LOGNORM.DIST((Tabella8[[#This Row],[Day]]-Days_back),mu_t,sigma_t,TRUE),0)</f>
        <v>1571.5044870261806</v>
      </c>
      <c r="G74" s="125">
        <f>Tabella8[[#This Row],[Spain cum. fit]]/Kt</f>
        <v>5.6125181143670188E-3</v>
      </c>
      <c r="H74" s="324">
        <f>Tabella8[[#This Row],[Spain cum. fit]]*NOT(ISBLANK(Tabella8[[#This Row],[Spain cum. Cases]]))</f>
        <v>1571.5044870261806</v>
      </c>
      <c r="I74" s="10">
        <f>Tabella8[[#This Row],[Spain cum. fit]]+CIt</f>
        <v>10277.683249667767</v>
      </c>
      <c r="J74" s="10">
        <f>MAX(Tabella8[[#This Row],[Spain cum. fit]]-CIt,0)</f>
        <v>0</v>
      </c>
      <c r="K74" s="74"/>
      <c r="L74" s="10">
        <f>Tabella8[[#This Row],[Lombardy]]*NOT(ISBLANK(Tabella8[[#This Row],[Lombardy]]))</f>
        <v>0</v>
      </c>
      <c r="M74" s="123">
        <f>IFERROR(Kr*_xlfn.LOGNORM.DIST((Tabella8[[#This Row],[Day]]-pr),mu_r,sigma_r,TRUE),0)</f>
        <v>4873.1381029957529</v>
      </c>
      <c r="N74" s="123">
        <f>Tabella8[[#This Row],[Lombardy fit]]/Kr</f>
        <v>5.6013081643629344E-2</v>
      </c>
      <c r="O74" s="10">
        <f>Tabella8[[#This Row],[Lombardy fit]]*NOT(ISBLANK(Tabella8[[#This Row],[Lombardy]]))</f>
        <v>0</v>
      </c>
      <c r="P74" s="10" t="e">
        <f>Tabella8[[#This Row],[Lombardy fit]]+CIr</f>
        <v>#NUM!</v>
      </c>
      <c r="Q74" s="10" t="e">
        <f>MAX(Tabella8[[#This Row],[Lombardy fit]]-CIr,0)</f>
        <v>#NUM!</v>
      </c>
      <c r="R74" s="10">
        <f>Tabella8[[#This Row],[Spain cum. Cases]]-Tabella8[[#This Row],[Lombardy]]</f>
        <v>500</v>
      </c>
      <c r="S74" s="10">
        <f>Tabella8[[#This Row],[rest of Italy ]]*NOT(ISBLANK(Tabella8[[#This Row],[rest of Italy ]]))</f>
        <v>500</v>
      </c>
      <c r="T74" s="124">
        <f>IFERROR(Ko*_xlfn.LOGNORM.DIST((Tabella8[[#This Row],[Day]]-po),mu_o,sigma_o,TRUE),0)</f>
        <v>2746.5819261065622</v>
      </c>
      <c r="U74" s="124">
        <f>Tabella8[[#This Row],[rest of Italy fit]]/Ko</f>
        <v>1.8557988147569836E-2</v>
      </c>
      <c r="V74" s="22">
        <f>Tabella8[[#This Row],[rest of Italy fit]]*NOT(ISBLANK(Tabella8[[#This Row],[rest of Italy ]]))</f>
        <v>2746.5819261065622</v>
      </c>
      <c r="W74" s="10">
        <f>Tabella8[[#This Row],[rest of Italy fit]]+CIo</f>
        <v>106942.50882402882</v>
      </c>
      <c r="X74" s="10">
        <f>MAX(Tabella8[[#This Row],[rest of Italy fit]]-CIo,0)</f>
        <v>0</v>
      </c>
      <c r="Z74"/>
      <c r="AA74"/>
      <c r="AB74" s="70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 s="83"/>
      <c r="AV74" s="83"/>
      <c r="AW74" s="97"/>
      <c r="AX74" s="32"/>
      <c r="AY74" s="32"/>
      <c r="AZ74" s="97"/>
      <c r="BA74" s="86"/>
      <c r="BB74" s="86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</row>
    <row r="75" spans="2:375" x14ac:dyDescent="0.3">
      <c r="B75" s="15">
        <v>43898</v>
      </c>
      <c r="C75" s="4">
        <v>68</v>
      </c>
      <c r="D75" s="90">
        <v>673</v>
      </c>
      <c r="E75" s="10">
        <f>Tabella8[[#This Row],[Spain cum. Cases]]*NOT(ISBLANK(Tabella8[[#This Row],[Spain cum. Cases]]))</f>
        <v>673</v>
      </c>
      <c r="F75" s="146">
        <f>IFERROR(Kt*_xlfn.LOGNORM.DIST((Tabella8[[#This Row],[Day]]-Days_back),mu_t,sigma_t,TRUE),0)</f>
        <v>2152.6140325218457</v>
      </c>
      <c r="G75" s="125">
        <f>Tabella8[[#This Row],[Spain cum. fit]]/Kt</f>
        <v>7.6879101208498302E-3</v>
      </c>
      <c r="H75" s="324">
        <f>Tabella8[[#This Row],[Spain cum. fit]]*NOT(ISBLANK(Tabella8[[#This Row],[Spain cum. Cases]]))</f>
        <v>2152.6140325218457</v>
      </c>
      <c r="I75" s="10">
        <f>Tabella8[[#This Row],[Spain cum. fit]]+CIt</f>
        <v>10858.792795163432</v>
      </c>
      <c r="J75" s="10">
        <f>MAX(Tabella8[[#This Row],[Spain cum. fit]]-CIt,0)</f>
        <v>0</v>
      </c>
      <c r="K75" s="74"/>
      <c r="L75" s="10">
        <f>Tabella8[[#This Row],[Lombardy]]*NOT(ISBLANK(Tabella8[[#This Row],[Lombardy]]))</f>
        <v>0</v>
      </c>
      <c r="M75" s="123">
        <f>IFERROR(Kr*_xlfn.LOGNORM.DIST((Tabella8[[#This Row],[Day]]-pr),mu_r,sigma_r,TRUE),0)</f>
        <v>5720.6793780428634</v>
      </c>
      <c r="N75" s="123">
        <f>Tabella8[[#This Row],[Lombardy fit]]/Kr</f>
        <v>6.5754935379803023E-2</v>
      </c>
      <c r="O75" s="10">
        <f>Tabella8[[#This Row],[Lombardy fit]]*NOT(ISBLANK(Tabella8[[#This Row],[Lombardy]]))</f>
        <v>0</v>
      </c>
      <c r="P75" s="10" t="e">
        <f>Tabella8[[#This Row],[Lombardy fit]]+CIr</f>
        <v>#NUM!</v>
      </c>
      <c r="Q75" s="10" t="e">
        <f>MAX(Tabella8[[#This Row],[Lombardy fit]]-CIr,0)</f>
        <v>#NUM!</v>
      </c>
      <c r="R75" s="10">
        <f>Tabella8[[#This Row],[Spain cum. Cases]]-Tabella8[[#This Row],[Lombardy]]</f>
        <v>673</v>
      </c>
      <c r="S75" s="10">
        <f>Tabella8[[#This Row],[rest of Italy ]]*NOT(ISBLANK(Tabella8[[#This Row],[rest of Italy ]]))</f>
        <v>673</v>
      </c>
      <c r="T75" s="124">
        <f>IFERROR(Ko*_xlfn.LOGNORM.DIST((Tabella8[[#This Row],[Day]]-po),mu_o,sigma_o,TRUE),0)</f>
        <v>3529.7758891787362</v>
      </c>
      <c r="U75" s="124">
        <f>Tabella8[[#This Row],[rest of Italy fit]]/Ko</f>
        <v>2.3849839865441275E-2</v>
      </c>
      <c r="V75" s="22">
        <f>Tabella8[[#This Row],[rest of Italy fit]]*NOT(ISBLANK(Tabella8[[#This Row],[rest of Italy ]]))</f>
        <v>3529.7758891787362</v>
      </c>
      <c r="W75" s="10">
        <f>Tabella8[[#This Row],[rest of Italy fit]]+CIo</f>
        <v>107725.70278710099</v>
      </c>
      <c r="X75" s="10">
        <f>MAX(Tabella8[[#This Row],[rest of Italy fit]]-CIo,0)</f>
        <v>0</v>
      </c>
      <c r="Z75"/>
      <c r="AA75"/>
      <c r="AB75" s="70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 s="83"/>
      <c r="AV75" s="83"/>
      <c r="AW75" s="97"/>
      <c r="AX75" s="32"/>
      <c r="AY75" s="32"/>
      <c r="AZ75" s="97"/>
      <c r="BA75" s="86"/>
      <c r="BB75" s="86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</row>
    <row r="76" spans="2:375" x14ac:dyDescent="0.3">
      <c r="B76" s="9">
        <v>43899</v>
      </c>
      <c r="C76" s="4">
        <v>69</v>
      </c>
      <c r="D76" s="90">
        <v>1073</v>
      </c>
      <c r="E76" s="10">
        <f>Tabella8[[#This Row],[Spain cum. Cases]]*NOT(ISBLANK(Tabella8[[#This Row],[Spain cum. Cases]]))</f>
        <v>1073</v>
      </c>
      <c r="F76" s="146">
        <f>IFERROR(Kt*_xlfn.LOGNORM.DIST((Tabella8[[#This Row],[Day]]-Days_back),mu_t,sigma_t,TRUE),0)</f>
        <v>2889.8079451682347</v>
      </c>
      <c r="G76" s="125">
        <f>Tabella8[[#This Row],[Spain cum. fit]]/Kt</f>
        <v>1.0320746503238108E-2</v>
      </c>
      <c r="H76" s="324">
        <f>Tabella8[[#This Row],[Spain cum. fit]]*NOT(ISBLANK(Tabella8[[#This Row],[Spain cum. Cases]]))</f>
        <v>2889.8079451682347</v>
      </c>
      <c r="I76" s="10">
        <f>Tabella8[[#This Row],[Spain cum. fit]]+CIt</f>
        <v>11595.986707809821</v>
      </c>
      <c r="J76" s="10">
        <f>MAX(Tabella8[[#This Row],[Spain cum. fit]]-CIt,0)</f>
        <v>0</v>
      </c>
      <c r="K76" s="74"/>
      <c r="L76" s="10">
        <f>Tabella8[[#This Row],[Lombardy]]*NOT(ISBLANK(Tabella8[[#This Row],[Lombardy]]))</f>
        <v>0</v>
      </c>
      <c r="M76" s="123">
        <f>IFERROR(Kr*_xlfn.LOGNORM.DIST((Tabella8[[#This Row],[Day]]-pr),mu_r,sigma_r,TRUE),0)</f>
        <v>6651.0605708092144</v>
      </c>
      <c r="N76" s="123">
        <f>Tabella8[[#This Row],[Lombardy fit]]/Kr</f>
        <v>7.6448972078266828E-2</v>
      </c>
      <c r="O76" s="10">
        <f>Tabella8[[#This Row],[Lombardy fit]]*NOT(ISBLANK(Tabella8[[#This Row],[Lombardy]]))</f>
        <v>0</v>
      </c>
      <c r="P76" s="10" t="e">
        <f>Tabella8[[#This Row],[Lombardy fit]]+CIr</f>
        <v>#NUM!</v>
      </c>
      <c r="Q76" s="10" t="e">
        <f>MAX(Tabella8[[#This Row],[Lombardy fit]]-CIr,0)</f>
        <v>#NUM!</v>
      </c>
      <c r="R76" s="10">
        <f>Tabella8[[#This Row],[Spain cum. Cases]]-Tabella8[[#This Row],[Lombardy]]</f>
        <v>1073</v>
      </c>
      <c r="S76" s="10">
        <f>Tabella8[[#This Row],[rest of Italy ]]*NOT(ISBLANK(Tabella8[[#This Row],[rest of Italy ]]))</f>
        <v>1073</v>
      </c>
      <c r="T76" s="124">
        <f>IFERROR(Ko*_xlfn.LOGNORM.DIST((Tabella8[[#This Row],[Day]]-po),mu_o,sigma_o,TRUE),0)</f>
        <v>4458.3318388133321</v>
      </c>
      <c r="U76" s="124">
        <f>Tabella8[[#This Row],[rest of Italy fit]]/Ko</f>
        <v>3.0123867282530494E-2</v>
      </c>
      <c r="V76" s="22">
        <f>Tabella8[[#This Row],[rest of Italy fit]]*NOT(ISBLANK(Tabella8[[#This Row],[rest of Italy ]]))</f>
        <v>4458.3318388133321</v>
      </c>
      <c r="W76" s="10">
        <f>Tabella8[[#This Row],[rest of Italy fit]]+CIo</f>
        <v>108654.25873673559</v>
      </c>
      <c r="X76" s="10">
        <f>MAX(Tabella8[[#This Row],[rest of Italy fit]]-CIo,0)</f>
        <v>0</v>
      </c>
      <c r="Z76"/>
      <c r="AA76"/>
      <c r="AB76" s="70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 s="83"/>
      <c r="AV76" s="83"/>
      <c r="AW76" s="97"/>
      <c r="AX76" s="32"/>
      <c r="AY76" s="32"/>
      <c r="AZ76" s="97"/>
      <c r="BA76" s="86"/>
      <c r="BB76" s="8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</row>
    <row r="77" spans="2:375" x14ac:dyDescent="0.3">
      <c r="B77" s="15">
        <v>43900</v>
      </c>
      <c r="C77" s="4">
        <v>70</v>
      </c>
      <c r="D77" s="90">
        <v>1695</v>
      </c>
      <c r="E77" s="10">
        <f>Tabella8[[#This Row],[Spain cum. Cases]]*NOT(ISBLANK(Tabella8[[#This Row],[Spain cum. Cases]]))</f>
        <v>1695</v>
      </c>
      <c r="F77" s="146">
        <f>IFERROR(Kt*_xlfn.LOGNORM.DIST((Tabella8[[#This Row],[Day]]-Days_back),mu_t,sigma_t,TRUE),0)</f>
        <v>3807.8501923686786</v>
      </c>
      <c r="G77" s="125">
        <f>Tabella8[[#This Row],[Spain cum. fit]]/Kt</f>
        <v>1.3599470035181072E-2</v>
      </c>
      <c r="H77" s="324">
        <f>Tabella8[[#This Row],[Spain cum. fit]]*NOT(ISBLANK(Tabella8[[#This Row],[Spain cum. Cases]]))</f>
        <v>3807.8501923686786</v>
      </c>
      <c r="I77" s="10">
        <f>Tabella8[[#This Row],[Spain cum. fit]]+CIt</f>
        <v>12514.028955010264</v>
      </c>
      <c r="J77" s="10">
        <f>MAX(Tabella8[[#This Row],[Spain cum. fit]]-CIt,0)</f>
        <v>0</v>
      </c>
      <c r="K77" s="74"/>
      <c r="L77" s="10">
        <f>Tabella8[[#This Row],[Lombardy]]*NOT(ISBLANK(Tabella8[[#This Row],[Lombardy]]))</f>
        <v>0</v>
      </c>
      <c r="M77" s="123">
        <f>IFERROR(Kr*_xlfn.LOGNORM.DIST((Tabella8[[#This Row],[Day]]-pr),mu_r,sigma_r,TRUE),0)</f>
        <v>7663.6423871361549</v>
      </c>
      <c r="N77" s="123">
        <f>Tabella8[[#This Row],[Lombardy fit]]/Kr</f>
        <v>8.8087843530300636E-2</v>
      </c>
      <c r="O77" s="10">
        <f>Tabella8[[#This Row],[Lombardy fit]]*NOT(ISBLANK(Tabella8[[#This Row],[Lombardy]]))</f>
        <v>0</v>
      </c>
      <c r="P77" s="10" t="e">
        <f>Tabella8[[#This Row],[Lombardy fit]]+CIr</f>
        <v>#NUM!</v>
      </c>
      <c r="Q77" s="10" t="e">
        <f>MAX(Tabella8[[#This Row],[Lombardy fit]]-CIr,0)</f>
        <v>#NUM!</v>
      </c>
      <c r="R77" s="10">
        <f>Tabella8[[#This Row],[Spain cum. Cases]]-Tabella8[[#This Row],[Lombardy]]</f>
        <v>1695</v>
      </c>
      <c r="S77" s="10">
        <f>Tabella8[[#This Row],[rest of Italy ]]*NOT(ISBLANK(Tabella8[[#This Row],[rest of Italy ]]))</f>
        <v>1695</v>
      </c>
      <c r="T77" s="124">
        <f>IFERROR(Ko*_xlfn.LOGNORM.DIST((Tabella8[[#This Row],[Day]]-po),mu_o,sigma_o,TRUE),0)</f>
        <v>5542.3304236886052</v>
      </c>
      <c r="U77" s="124">
        <f>Tabella8[[#This Row],[rest of Italy fit]]/Ko</f>
        <v>3.7448182897835865E-2</v>
      </c>
      <c r="V77" s="22">
        <f>Tabella8[[#This Row],[rest of Italy fit]]*NOT(ISBLANK(Tabella8[[#This Row],[rest of Italy ]]))</f>
        <v>5542.3304236886052</v>
      </c>
      <c r="W77" s="10">
        <f>Tabella8[[#This Row],[rest of Italy fit]]+CIo</f>
        <v>109738.25732161086</v>
      </c>
      <c r="X77" s="10">
        <f>MAX(Tabella8[[#This Row],[rest of Italy fit]]-CIo,0)</f>
        <v>0</v>
      </c>
      <c r="Z77"/>
      <c r="AA77"/>
      <c r="AB77" s="70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 s="83"/>
      <c r="AV77" s="83"/>
      <c r="AW77" s="97"/>
      <c r="AX77" s="32"/>
      <c r="AY77" s="32"/>
      <c r="AZ77" s="97"/>
      <c r="BA77" s="86"/>
      <c r="BB77" s="86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</row>
    <row r="78" spans="2:375" x14ac:dyDescent="0.3">
      <c r="B78" s="9">
        <v>43901</v>
      </c>
      <c r="C78" s="4">
        <v>71</v>
      </c>
      <c r="D78" s="90">
        <v>2277</v>
      </c>
      <c r="E78" s="10">
        <f>Tabella8[[#This Row],[Spain cum. Cases]]*NOT(ISBLANK(Tabella8[[#This Row],[Spain cum. Cases]]))</f>
        <v>2277</v>
      </c>
      <c r="F78" s="146">
        <f>IFERROR(Kt*_xlfn.LOGNORM.DIST((Tabella8[[#This Row],[Day]]-Days_back),mu_t,sigma_t,TRUE),0)</f>
        <v>4931.6530450826949</v>
      </c>
      <c r="G78" s="125">
        <f>Tabella8[[#This Row],[Spain cum. fit]]/Kt</f>
        <v>1.761305314608292E-2</v>
      </c>
      <c r="H78" s="324">
        <f>Tabella8[[#This Row],[Spain cum. fit]]*NOT(ISBLANK(Tabella8[[#This Row],[Spain cum. Cases]]))</f>
        <v>4931.6530450826949</v>
      </c>
      <c r="I78" s="10">
        <f>Tabella8[[#This Row],[Spain cum. fit]]+CIt</f>
        <v>13637.83180772428</v>
      </c>
      <c r="J78" s="10">
        <f>MAX(Tabella8[[#This Row],[Spain cum. fit]]-CIt,0)</f>
        <v>0</v>
      </c>
      <c r="K78" s="74"/>
      <c r="L78" s="10">
        <f>Tabella8[[#This Row],[Lombardy]]*NOT(ISBLANK(Tabella8[[#This Row],[Lombardy]]))</f>
        <v>0</v>
      </c>
      <c r="M78" s="123">
        <f>IFERROR(Kr*_xlfn.LOGNORM.DIST((Tabella8[[#This Row],[Day]]-pr),mu_r,sigma_r,TRUE),0)</f>
        <v>8756.9145256784268</v>
      </c>
      <c r="N78" s="123">
        <f>Tabella8[[#This Row],[Lombardy fit]]/Kr</f>
        <v>0.10065418995032674</v>
      </c>
      <c r="O78" s="10">
        <f>Tabella8[[#This Row],[Lombardy fit]]*NOT(ISBLANK(Tabella8[[#This Row],[Lombardy]]))</f>
        <v>0</v>
      </c>
      <c r="P78" s="10" t="e">
        <f>Tabella8[[#This Row],[Lombardy fit]]+CIr</f>
        <v>#NUM!</v>
      </c>
      <c r="Q78" s="10" t="e">
        <f>MAX(Tabella8[[#This Row],[Lombardy fit]]-CIr,0)</f>
        <v>#NUM!</v>
      </c>
      <c r="R78" s="10">
        <f>Tabella8[[#This Row],[Spain cum. Cases]]-Tabella8[[#This Row],[Lombardy]]</f>
        <v>2277</v>
      </c>
      <c r="S78" s="10">
        <f>Tabella8[[#This Row],[rest of Italy ]]*NOT(ISBLANK(Tabella8[[#This Row],[rest of Italy ]]))</f>
        <v>2277</v>
      </c>
      <c r="T78" s="124">
        <f>IFERROR(Ko*_xlfn.LOGNORM.DIST((Tabella8[[#This Row],[Day]]-po),mu_o,sigma_o,TRUE),0)</f>
        <v>6789.9411612720642</v>
      </c>
      <c r="U78" s="124">
        <f>Tabella8[[#This Row],[rest of Italy fit]]/Ko</f>
        <v>4.5877986160131265E-2</v>
      </c>
      <c r="V78" s="22">
        <f>Tabella8[[#This Row],[rest of Italy fit]]*NOT(ISBLANK(Tabella8[[#This Row],[rest of Italy ]]))</f>
        <v>6789.9411612720642</v>
      </c>
      <c r="W78" s="10">
        <f>Tabella8[[#This Row],[rest of Italy fit]]+CIo</f>
        <v>110985.86805919431</v>
      </c>
      <c r="X78" s="10">
        <f>MAX(Tabella8[[#This Row],[rest of Italy fit]]-CIo,0)</f>
        <v>0</v>
      </c>
      <c r="Z78"/>
      <c r="AA78"/>
      <c r="AB78" s="70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 s="83"/>
      <c r="AV78" s="83"/>
      <c r="AW78" s="97"/>
      <c r="AX78" s="32"/>
      <c r="AY78" s="32"/>
      <c r="AZ78" s="97"/>
      <c r="BA78" s="86"/>
      <c r="BB78" s="86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</row>
    <row r="79" spans="2:375" x14ac:dyDescent="0.3">
      <c r="B79" s="15">
        <v>43902</v>
      </c>
      <c r="C79" s="4">
        <v>72</v>
      </c>
      <c r="D79" s="322">
        <v>2277</v>
      </c>
      <c r="E79" s="10">
        <f>Tabella8[[#This Row],[Spain cum. Cases]]*NOT(ISBLANK(Tabella8[[#This Row],[Spain cum. Cases]]))</f>
        <v>2277</v>
      </c>
      <c r="F79" s="146">
        <f>IFERROR(Kt*_xlfn.LOGNORM.DIST((Tabella8[[#This Row],[Day]]-Days_back),mu_t,sigma_t,TRUE),0)</f>
        <v>6285.5885610080541</v>
      </c>
      <c r="G79" s="125">
        <f>Tabella8[[#This Row],[Spain cum. fit]]/Kt</f>
        <v>2.2448538931551971E-2</v>
      </c>
      <c r="H79" s="324">
        <f>Tabella8[[#This Row],[Spain cum. fit]]*NOT(ISBLANK(Tabella8[[#This Row],[Spain cum. Cases]]))</f>
        <v>6285.5885610080541</v>
      </c>
      <c r="I79" s="10">
        <f>Tabella8[[#This Row],[Spain cum. fit]]+CIt</f>
        <v>14991.767323649641</v>
      </c>
      <c r="J79" s="10">
        <f>MAX(Tabella8[[#This Row],[Spain cum. fit]]-CIt,0)</f>
        <v>0</v>
      </c>
      <c r="K79" s="74"/>
      <c r="L79" s="10">
        <f>Tabella8[[#This Row],[Lombardy]]*NOT(ISBLANK(Tabella8[[#This Row],[Lombardy]]))</f>
        <v>0</v>
      </c>
      <c r="M79" s="123">
        <f>IFERROR(Kr*_xlfn.LOGNORM.DIST((Tabella8[[#This Row],[Day]]-pr),mu_r,sigma_r,TRUE),0)</f>
        <v>9928.5494264847639</v>
      </c>
      <c r="N79" s="123">
        <f>Tabella8[[#This Row],[Lombardy fit]]/Kr</f>
        <v>0.11412125777568694</v>
      </c>
      <c r="O79" s="10">
        <f>Tabella8[[#This Row],[Lombardy fit]]*NOT(ISBLANK(Tabella8[[#This Row],[Lombardy]]))</f>
        <v>0</v>
      </c>
      <c r="P79" s="10" t="e">
        <f>Tabella8[[#This Row],[Lombardy fit]]+CIr</f>
        <v>#NUM!</v>
      </c>
      <c r="Q79" s="10" t="e">
        <f>MAX(Tabella8[[#This Row],[Lombardy fit]]-CIr,0)</f>
        <v>#NUM!</v>
      </c>
      <c r="R79" s="10">
        <f>Tabella8[[#This Row],[Spain cum. Cases]]-Tabella8[[#This Row],[Lombardy]]</f>
        <v>2277</v>
      </c>
      <c r="S79" s="10">
        <f>Tabella8[[#This Row],[rest of Italy ]]*NOT(ISBLANK(Tabella8[[#This Row],[rest of Italy ]]))</f>
        <v>2277</v>
      </c>
      <c r="T79" s="124">
        <f>IFERROR(Ko*_xlfn.LOGNORM.DIST((Tabella8[[#This Row],[Day]]-po),mu_o,sigma_o,TRUE),0)</f>
        <v>8207.2029099055053</v>
      </c>
      <c r="U79" s="124">
        <f>Tabella8[[#This Row],[rest of Italy fit]]/Ko</f>
        <v>5.5454080171070688E-2</v>
      </c>
      <c r="V79" s="22">
        <f>Tabella8[[#This Row],[rest of Italy fit]]*NOT(ISBLANK(Tabella8[[#This Row],[rest of Italy ]]))</f>
        <v>8207.2029099055053</v>
      </c>
      <c r="W79" s="10">
        <f>Tabella8[[#This Row],[rest of Italy fit]]+CIo</f>
        <v>112403.12980782776</v>
      </c>
      <c r="X79" s="10">
        <f>MAX(Tabella8[[#This Row],[rest of Italy fit]]-CIo,0)</f>
        <v>0</v>
      </c>
      <c r="Z79"/>
      <c r="AA79"/>
      <c r="AB79" s="70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 s="83"/>
      <c r="AV79" s="83"/>
      <c r="AW79" s="97"/>
      <c r="AX79" s="32"/>
      <c r="AY79" s="32"/>
      <c r="AZ79" s="97"/>
      <c r="BA79" s="86"/>
      <c r="BB79" s="86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</row>
    <row r="80" spans="2:375" ht="15" thickBot="1" x14ac:dyDescent="0.35">
      <c r="B80" s="9">
        <v>43903</v>
      </c>
      <c r="C80" s="4">
        <v>73</v>
      </c>
      <c r="D80" s="90">
        <v>5232</v>
      </c>
      <c r="E80" s="10">
        <f>Tabella8[[#This Row],[Spain cum. Cases]]*NOT(ISBLANK(Tabella8[[#This Row],[Spain cum. Cases]]))</f>
        <v>5232</v>
      </c>
      <c r="F80" s="146">
        <f>IFERROR(Kt*_xlfn.LOGNORM.DIST((Tabella8[[#This Row],[Day]]-Days_back),mu_t,sigma_t,TRUE),0)</f>
        <v>7892.7926348682258</v>
      </c>
      <c r="G80" s="125">
        <f>Tabella8[[#This Row],[Spain cum. fit]]/Kt</f>
        <v>2.8188555617787756E-2</v>
      </c>
      <c r="H80" s="324">
        <f>Tabella8[[#This Row],[Spain cum. fit]]*NOT(ISBLANK(Tabella8[[#This Row],[Spain cum. Cases]]))</f>
        <v>7892.7926348682258</v>
      </c>
      <c r="I80" s="10">
        <f>Tabella8[[#This Row],[Spain cum. fit]]+CIt</f>
        <v>16598.971397509813</v>
      </c>
      <c r="J80" s="10">
        <f>MAX(Tabella8[[#This Row],[Spain cum. fit]]-CIt,0)</f>
        <v>0</v>
      </c>
      <c r="K80" s="74"/>
      <c r="L80" s="10">
        <f>Tabella8[[#This Row],[Lombardy]]*NOT(ISBLANK(Tabella8[[#This Row],[Lombardy]]))</f>
        <v>0</v>
      </c>
      <c r="M80" s="123">
        <f>IFERROR(Kr*_xlfn.LOGNORM.DIST((Tabella8[[#This Row],[Day]]-pr),mu_r,sigma_r,TRUE),0)</f>
        <v>11175.46964004266</v>
      </c>
      <c r="N80" s="123">
        <f>Tabella8[[#This Row],[Lombardy fit]]/Kr</f>
        <v>0.12845367402347885</v>
      </c>
      <c r="O80" s="10">
        <f>Tabella8[[#This Row],[Lombardy fit]]*NOT(ISBLANK(Tabella8[[#This Row],[Lombardy]]))</f>
        <v>0</v>
      </c>
      <c r="P80" s="10" t="e">
        <f>Tabella8[[#This Row],[Lombardy fit]]+CIr</f>
        <v>#NUM!</v>
      </c>
      <c r="Q80" s="10" t="e">
        <f>MAX(Tabella8[[#This Row],[Lombardy fit]]-CIr,0)</f>
        <v>#NUM!</v>
      </c>
      <c r="R80" s="10">
        <f>Tabella8[[#This Row],[Spain cum. Cases]]-Tabella8[[#This Row],[Lombardy]]</f>
        <v>5232</v>
      </c>
      <c r="S80" s="10">
        <f>Tabella8[[#This Row],[rest of Italy ]]*NOT(ISBLANK(Tabella8[[#This Row],[rest of Italy ]]))</f>
        <v>5232</v>
      </c>
      <c r="T80" s="124">
        <f>IFERROR(Ko*_xlfn.LOGNORM.DIST((Tabella8[[#This Row],[Day]]-po),mu_o,sigma_o,TRUE),0)</f>
        <v>9797.8824105135063</v>
      </c>
      <c r="U80" s="124">
        <f>Tabella8[[#This Row],[rest of Italy fit]]/Ko</f>
        <v>6.6201915885809995E-2</v>
      </c>
      <c r="V80" s="22">
        <f>Tabella8[[#This Row],[rest of Italy fit]]*NOT(ISBLANK(Tabella8[[#This Row],[rest of Italy ]]))</f>
        <v>9797.8824105135063</v>
      </c>
      <c r="W80" s="10">
        <f>Tabella8[[#This Row],[rest of Italy fit]]+CIo</f>
        <v>113993.80930843577</v>
      </c>
      <c r="X80" s="10">
        <f>MAX(Tabella8[[#This Row],[rest of Italy fit]]-CIo,0)</f>
        <v>0</v>
      </c>
      <c r="Z80"/>
      <c r="AA80"/>
      <c r="AB80" s="7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 s="83"/>
      <c r="AV80" s="83"/>
      <c r="AW80" s="97"/>
      <c r="AX80" s="32"/>
      <c r="AY80" s="32"/>
      <c r="AZ80" s="97"/>
      <c r="BA80" s="86"/>
      <c r="BB80" s="86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</row>
    <row r="81" spans="2:375" ht="15" thickBot="1" x14ac:dyDescent="0.35">
      <c r="B81" s="312">
        <v>43904</v>
      </c>
      <c r="C81" s="190">
        <v>74</v>
      </c>
      <c r="D81" s="313">
        <v>6391</v>
      </c>
      <c r="E81" s="314">
        <f>Tabella8[[#This Row],[Spain cum. Cases]]*NOT(ISBLANK(Tabella8[[#This Row],[Spain cum. Cases]]))</f>
        <v>6391</v>
      </c>
      <c r="F81" s="315">
        <f>IFERROR(Kt*_xlfn.LOGNORM.DIST((Tabella8[[#This Row],[Day]]-Days_back),mu_t,sigma_t,TRUE),0)</f>
        <v>9774.49347167622</v>
      </c>
      <c r="G81" s="316">
        <f>Tabella8[[#This Row],[Spain cum. fit]]/Kt</f>
        <v>3.4908918250916209E-2</v>
      </c>
      <c r="H81" s="324">
        <f>Tabella8[[#This Row],[Spain cum. fit]]*NOT(ISBLANK(Tabella8[[#This Row],[Spain cum. Cases]]))</f>
        <v>9774.49347167622</v>
      </c>
      <c r="I81" s="10">
        <f>Tabella8[[#This Row],[Spain cum. fit]]+CIt</f>
        <v>18480.672234317804</v>
      </c>
      <c r="J81" s="10">
        <f>MAX(Tabella8[[#This Row],[Spain cum. fit]]-CIt,0)</f>
        <v>1068.3147090346338</v>
      </c>
      <c r="K81" s="317"/>
      <c r="L81" s="314">
        <f>Tabella8[[#This Row],[Lombardy]]*NOT(ISBLANK(Tabella8[[#This Row],[Lombardy]]))</f>
        <v>0</v>
      </c>
      <c r="M81" s="318">
        <f>IFERROR(Kr*_xlfn.LOGNORM.DIST((Tabella8[[#This Row],[Day]]-pr),mu_r,sigma_r,TRUE),0)</f>
        <v>12493.925509581044</v>
      </c>
      <c r="N81" s="318">
        <f>Tabella8[[#This Row],[Lombardy fit]]/Kr</f>
        <v>0.14360833919058671</v>
      </c>
      <c r="O81" s="314">
        <f>Tabella8[[#This Row],[Lombardy fit]]*NOT(ISBLANK(Tabella8[[#This Row],[Lombardy]]))</f>
        <v>0</v>
      </c>
      <c r="P81" s="314" t="e">
        <f>Tabella8[[#This Row],[Lombardy fit]]+CIr</f>
        <v>#NUM!</v>
      </c>
      <c r="Q81" s="314" t="e">
        <f>MAX(Tabella8[[#This Row],[Lombardy fit]]-CIr,0)</f>
        <v>#NUM!</v>
      </c>
      <c r="R81" s="314">
        <f>Tabella8[[#This Row],[Spain cum. Cases]]-Tabella8[[#This Row],[Lombardy]]</f>
        <v>6391</v>
      </c>
      <c r="S81" s="314">
        <f>Tabella8[[#This Row],[rest of Italy ]]*NOT(ISBLANK(Tabella8[[#This Row],[rest of Italy ]]))</f>
        <v>6391</v>
      </c>
      <c r="T81" s="319">
        <f>IFERROR(Ko*_xlfn.LOGNORM.DIST((Tabella8[[#This Row],[Day]]-po),mu_o,sigma_o,TRUE),0)</f>
        <v>11563.409946216672</v>
      </c>
      <c r="U81" s="319">
        <f>Tabella8[[#This Row],[rest of Italy fit]]/Ko</f>
        <v>7.8131157380613422E-2</v>
      </c>
      <c r="V81" s="320">
        <f>Tabella8[[#This Row],[rest of Italy fit]]*NOT(ISBLANK(Tabella8[[#This Row],[rest of Italy ]]))</f>
        <v>11563.409946216672</v>
      </c>
      <c r="W81" s="314">
        <f>Tabella8[[#This Row],[rest of Italy fit]]+CIo</f>
        <v>115759.33684413893</v>
      </c>
      <c r="X81" s="321">
        <f>MAX(Tabella8[[#This Row],[rest of Italy fit]]-CIo,0)</f>
        <v>0</v>
      </c>
      <c r="Z81"/>
      <c r="AA81"/>
      <c r="AB81" s="70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 s="83"/>
      <c r="AV81" s="83"/>
      <c r="AW81" s="97"/>
      <c r="AX81" s="32"/>
      <c r="AY81" s="32"/>
      <c r="AZ81" s="97"/>
      <c r="BA81" s="86"/>
      <c r="BB81" s="86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</row>
    <row r="82" spans="2:375" x14ac:dyDescent="0.3">
      <c r="B82" s="9">
        <v>43905</v>
      </c>
      <c r="C82" s="4">
        <v>75</v>
      </c>
      <c r="D82" s="90">
        <v>7798</v>
      </c>
      <c r="E82" s="10">
        <f>Tabella8[[#This Row],[Spain cum. Cases]]*NOT(ISBLANK(Tabella8[[#This Row],[Spain cum. Cases]]))</f>
        <v>7798</v>
      </c>
      <c r="F82" s="146">
        <f>IFERROR(Kt*_xlfn.LOGNORM.DIST((Tabella8[[#This Row],[Day]]-Days_back),mu_t,sigma_t,TRUE),0)</f>
        <v>11949.39339252687</v>
      </c>
      <c r="G82" s="125">
        <f>Tabella8[[#This Row],[Spain cum. fit]]/Kt</f>
        <v>4.2676420859711697E-2</v>
      </c>
      <c r="H82" s="324">
        <f>Tabella8[[#This Row],[Spain cum. fit]]*NOT(ISBLANK(Tabella8[[#This Row],[Spain cum. Cases]]))</f>
        <v>11949.39339252687</v>
      </c>
      <c r="I82" s="10">
        <f>Tabella8[[#This Row],[Spain cum. fit]]+CIt</f>
        <v>20655.572155168455</v>
      </c>
      <c r="J82" s="10">
        <f>MAX(Tabella8[[#This Row],[Spain cum. fit]]-CIt,0)</f>
        <v>3243.214629885284</v>
      </c>
      <c r="K82" s="74"/>
      <c r="L82" s="10">
        <f>Tabella8[[#This Row],[Lombardy]]*NOT(ISBLANK(Tabella8[[#This Row],[Lombardy]]))</f>
        <v>0</v>
      </c>
      <c r="M82" s="123">
        <f>IFERROR(Kr*_xlfn.LOGNORM.DIST((Tabella8[[#This Row],[Day]]-pr),mu_r,sigma_r,TRUE),0)</f>
        <v>13879.579996701837</v>
      </c>
      <c r="N82" s="123">
        <f>Tabella8[[#This Row],[Lombardy fit]]/Kr</f>
        <v>0.15953540226094065</v>
      </c>
      <c r="O82" s="10">
        <f>Tabella8[[#This Row],[Lombardy fit]]*NOT(ISBLANK(Tabella8[[#This Row],[Lombardy]]))</f>
        <v>0</v>
      </c>
      <c r="P82" s="10" t="e">
        <f>Tabella8[[#This Row],[Lombardy fit]]+CIr</f>
        <v>#NUM!</v>
      </c>
      <c r="Q82" s="10" t="e">
        <f>MAX(Tabella8[[#This Row],[Lombardy fit]]-CIr,0)</f>
        <v>#NUM!</v>
      </c>
      <c r="R82" s="10">
        <f>Tabella8[[#This Row],[Spain cum. Cases]]-Tabella8[[#This Row],[Lombardy]]</f>
        <v>7798</v>
      </c>
      <c r="S82" s="10">
        <f>Tabella8[[#This Row],[rest of Italy ]]*NOT(ISBLANK(Tabella8[[#This Row],[rest of Italy ]]))</f>
        <v>7798</v>
      </c>
      <c r="T82" s="124">
        <f>IFERROR(Ko*_xlfn.LOGNORM.DIST((Tabella8[[#This Row],[Day]]-po),mu_o,sigma_o,TRUE),0)</f>
        <v>13502.887554047407</v>
      </c>
      <c r="U82" s="124">
        <f>Tabella8[[#This Row],[rest of Italy fit]]/Ko</f>
        <v>9.1235737337426057E-2</v>
      </c>
      <c r="V82" s="22">
        <f>Tabella8[[#This Row],[rest of Italy fit]]*NOT(ISBLANK(Tabella8[[#This Row],[rest of Italy ]]))</f>
        <v>13502.887554047407</v>
      </c>
      <c r="W82" s="10">
        <f>Tabella8[[#This Row],[rest of Italy fit]]+CIo</f>
        <v>117698.81445196967</v>
      </c>
      <c r="X82" s="10">
        <f>MAX(Tabella8[[#This Row],[rest of Italy fit]]-CIo,0)</f>
        <v>0</v>
      </c>
      <c r="Z82"/>
      <c r="AA82"/>
      <c r="AB82" s="70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 s="83"/>
      <c r="AV82" s="83"/>
      <c r="AW82" s="97"/>
      <c r="AX82" s="32"/>
      <c r="AY82" s="32"/>
      <c r="AZ82" s="97"/>
      <c r="BA82" s="86"/>
      <c r="BB82" s="86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</row>
    <row r="83" spans="2:375" x14ac:dyDescent="0.3">
      <c r="B83" s="9">
        <v>43906</v>
      </c>
      <c r="C83" s="4">
        <v>76</v>
      </c>
      <c r="D83" s="90">
        <v>9942</v>
      </c>
      <c r="E83" s="10">
        <f>Tabella8[[#This Row],[Spain cum. Cases]]*NOT(ISBLANK(Tabella8[[#This Row],[Spain cum. Cases]]))</f>
        <v>9942</v>
      </c>
      <c r="F83" s="146">
        <f>IFERROR(Kt*_xlfn.LOGNORM.DIST((Tabella8[[#This Row],[Day]]-Days_back),mu_t,sigma_t,TRUE),0)</f>
        <v>14433.128402287939</v>
      </c>
      <c r="G83" s="125">
        <f>Tabella8[[#This Row],[Spain cum. fit]]/Kt</f>
        <v>5.1546906339489593E-2</v>
      </c>
      <c r="H83" s="324">
        <f>Tabella8[[#This Row],[Spain cum. fit]]*NOT(ISBLANK(Tabella8[[#This Row],[Spain cum. Cases]]))</f>
        <v>14433.128402287939</v>
      </c>
      <c r="I83" s="10">
        <f>Tabella8[[#This Row],[Spain cum. fit]]+CIt</f>
        <v>23139.307164929523</v>
      </c>
      <c r="J83" s="10">
        <f>MAX(Tabella8[[#This Row],[Spain cum. fit]]-CIt,0)</f>
        <v>5726.9496396463528</v>
      </c>
      <c r="K83" s="74"/>
      <c r="L83" s="10">
        <f>Tabella8[[#This Row],[Lombardy]]*NOT(ISBLANK(Tabella8[[#This Row],[Lombardy]]))</f>
        <v>0</v>
      </c>
      <c r="M83" s="123">
        <f>IFERROR(Kr*_xlfn.LOGNORM.DIST((Tabella8[[#This Row],[Day]]-pr),mu_r,sigma_r,TRUE),0)</f>
        <v>15327.597715323067</v>
      </c>
      <c r="N83" s="123">
        <f>Tabella8[[#This Row],[Lombardy fit]]/Kr</f>
        <v>0.17617928408417319</v>
      </c>
      <c r="O83" s="10">
        <f>Tabella8[[#This Row],[Lombardy fit]]*NOT(ISBLANK(Tabella8[[#This Row],[Lombardy]]))</f>
        <v>0</v>
      </c>
      <c r="P83" s="10" t="e">
        <f>Tabella8[[#This Row],[Lombardy fit]]+CIr</f>
        <v>#NUM!</v>
      </c>
      <c r="Q83" s="10" t="e">
        <f>MAX(Tabella8[[#This Row],[Lombardy fit]]-CIr,0)</f>
        <v>#NUM!</v>
      </c>
      <c r="R83" s="10">
        <f>Tabella8[[#This Row],[Spain cum. Cases]]-Tabella8[[#This Row],[Lombardy]]</f>
        <v>9942</v>
      </c>
      <c r="S83" s="10">
        <f>Tabella8[[#This Row],[rest of Italy ]]*NOT(ISBLANK(Tabella8[[#This Row],[rest of Italy ]]))</f>
        <v>9942</v>
      </c>
      <c r="T83" s="124">
        <f>IFERROR(Ko*_xlfn.LOGNORM.DIST((Tabella8[[#This Row],[Day]]-po),mu_o,sigma_o,TRUE),0)</f>
        <v>15613.162473367664</v>
      </c>
      <c r="U83" s="124">
        <f>Tabella8[[#This Row],[rest of Italy fit]]/Ko</f>
        <v>0.10549435331702446</v>
      </c>
      <c r="V83" s="22">
        <f>Tabella8[[#This Row],[rest of Italy fit]]*NOT(ISBLANK(Tabella8[[#This Row],[rest of Italy ]]))</f>
        <v>15613.162473367664</v>
      </c>
      <c r="W83" s="10">
        <f>Tabella8[[#This Row],[rest of Italy fit]]+CIo</f>
        <v>119809.08937128991</v>
      </c>
      <c r="X83" s="10">
        <f>MAX(Tabella8[[#This Row],[rest of Italy fit]]-CIo,0)</f>
        <v>0</v>
      </c>
      <c r="Z83"/>
      <c r="AA83"/>
      <c r="AB83" s="70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 s="83"/>
      <c r="AV83" s="83"/>
      <c r="AW83" s="97"/>
      <c r="AX83" s="32"/>
      <c r="AY83" s="32"/>
      <c r="AZ83" s="97"/>
      <c r="BA83" s="86"/>
      <c r="BB83" s="86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</row>
    <row r="84" spans="2:375" x14ac:dyDescent="0.3">
      <c r="B84" s="9">
        <v>43907</v>
      </c>
      <c r="C84" s="4">
        <v>77</v>
      </c>
      <c r="D84" s="90">
        <v>11748</v>
      </c>
      <c r="E84" s="10">
        <f>Tabella8[[#This Row],[Spain cum. Cases]]*NOT(ISBLANK(Tabella8[[#This Row],[Spain cum. Cases]]))</f>
        <v>11748</v>
      </c>
      <c r="F84" s="146">
        <f>IFERROR(Kt*_xlfn.LOGNORM.DIST((Tabella8[[#This Row],[Day]]-Days_back),mu_t,sigma_t,TRUE),0)</f>
        <v>17237.824449785941</v>
      </c>
      <c r="G84" s="125">
        <f>Tabella8[[#This Row],[Spain cum. fit]]/Kt</f>
        <v>6.1563681666465718E-2</v>
      </c>
      <c r="H84" s="324">
        <f>Tabella8[[#This Row],[Spain cum. fit]]*NOT(ISBLANK(Tabella8[[#This Row],[Spain cum. Cases]]))</f>
        <v>17237.824449785941</v>
      </c>
      <c r="I84" s="10">
        <f>Tabella8[[#This Row],[Spain cum. fit]]+CIt</f>
        <v>25944.003212427528</v>
      </c>
      <c r="J84" s="10">
        <f>MAX(Tabella8[[#This Row],[Spain cum. fit]]-CIt,0)</f>
        <v>8531.6456871443552</v>
      </c>
      <c r="K84" s="74"/>
      <c r="L84" s="10">
        <f>Tabella8[[#This Row],[Lombardy]]*NOT(ISBLANK(Tabella8[[#This Row],[Lombardy]]))</f>
        <v>0</v>
      </c>
      <c r="M84" s="123">
        <f>IFERROR(Kr*_xlfn.LOGNORM.DIST((Tabella8[[#This Row],[Day]]-pr),mu_r,sigma_r,TRUE),0)</f>
        <v>16832.735540922957</v>
      </c>
      <c r="N84" s="123">
        <f>Tabella8[[#This Row],[Lombardy fit]]/Kr</f>
        <v>0.1934797188611834</v>
      </c>
      <c r="O84" s="10">
        <f>Tabella8[[#This Row],[Lombardy fit]]*NOT(ISBLANK(Tabella8[[#This Row],[Lombardy]]))</f>
        <v>0</v>
      </c>
      <c r="P84" s="10" t="e">
        <f>Tabella8[[#This Row],[Lombardy fit]]+CIr</f>
        <v>#NUM!</v>
      </c>
      <c r="Q84" s="10" t="e">
        <f>MAX(Tabella8[[#This Row],[Lombardy fit]]-CIr,0)</f>
        <v>#NUM!</v>
      </c>
      <c r="R84" s="10">
        <f>Tabella8[[#This Row],[Spain cum. Cases]]-Tabella8[[#This Row],[Lombardy]]</f>
        <v>11748</v>
      </c>
      <c r="S84" s="10">
        <f>Tabella8[[#This Row],[rest of Italy ]]*NOT(ISBLANK(Tabella8[[#This Row],[rest of Italy ]]))</f>
        <v>11748</v>
      </c>
      <c r="T84" s="124">
        <f>IFERROR(Ko*_xlfn.LOGNORM.DIST((Tabella8[[#This Row],[Day]]-po),mu_o,sigma_o,TRUE),0)</f>
        <v>17888.956629534136</v>
      </c>
      <c r="U84" s="124">
        <f>Tabella8[[#This Row],[rest of Italy fit]]/Ko</f>
        <v>0.1208713426487483</v>
      </c>
      <c r="V84" s="22">
        <f>Tabella8[[#This Row],[rest of Italy fit]]*NOT(ISBLANK(Tabella8[[#This Row],[rest of Italy ]]))</f>
        <v>17888.956629534136</v>
      </c>
      <c r="W84" s="10">
        <f>Tabella8[[#This Row],[rest of Italy fit]]+CIo</f>
        <v>122084.88352745639</v>
      </c>
      <c r="X84" s="10">
        <f>MAX(Tabella8[[#This Row],[rest of Italy fit]]-CIo,0)</f>
        <v>0</v>
      </c>
      <c r="Z84"/>
      <c r="AA84"/>
      <c r="AB84" s="70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 s="83"/>
      <c r="AV84" s="83"/>
      <c r="AW84" s="97"/>
      <c r="AX84" s="32"/>
      <c r="AY84" s="32"/>
      <c r="AZ84" s="97"/>
      <c r="BA84" s="86"/>
      <c r="BB84" s="86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</row>
    <row r="85" spans="2:375" x14ac:dyDescent="0.3">
      <c r="B85" s="9">
        <v>43908</v>
      </c>
      <c r="C85" s="4">
        <v>78</v>
      </c>
      <c r="D85" s="90">
        <v>13910</v>
      </c>
      <c r="E85" s="10">
        <f>Tabella8[[#This Row],[Spain cum. Cases]]*NOT(ISBLANK(Tabella8[[#This Row],[Spain cum. Cases]]))</f>
        <v>13910</v>
      </c>
      <c r="F85" s="146">
        <f>IFERROR(Kt*_xlfn.LOGNORM.DIST((Tabella8[[#This Row],[Day]]-Days_back),mu_t,sigma_t,TRUE),0)</f>
        <v>20371.763303539155</v>
      </c>
      <c r="G85" s="125">
        <f>Tabella8[[#This Row],[Spain cum. fit]]/Kt</f>
        <v>7.2756324596358599E-2</v>
      </c>
      <c r="H85" s="324">
        <f>Tabella8[[#This Row],[Spain cum. fit]]*NOT(ISBLANK(Tabella8[[#This Row],[Spain cum. Cases]]))</f>
        <v>20371.763303539155</v>
      </c>
      <c r="I85" s="10">
        <f>Tabella8[[#This Row],[Spain cum. fit]]+CIt</f>
        <v>29077.942066180742</v>
      </c>
      <c r="J85" s="10">
        <f>MAX(Tabella8[[#This Row],[Spain cum. fit]]-CIt,0)</f>
        <v>11665.584540897569</v>
      </c>
      <c r="K85" s="74"/>
      <c r="L85" s="10">
        <f>Tabella8[[#This Row],[Lombardy]]*NOT(ISBLANK(Tabella8[[#This Row],[Lombardy]]))</f>
        <v>0</v>
      </c>
      <c r="M85" s="123">
        <f>IFERROR(Kr*_xlfn.LOGNORM.DIST((Tabella8[[#This Row],[Day]]-pr),mu_r,sigma_r,TRUE),0)</f>
        <v>18389.432504465833</v>
      </c>
      <c r="N85" s="123">
        <f>Tabella8[[#This Row],[Lombardy fit]]/Kr</f>
        <v>0.21137278740765325</v>
      </c>
      <c r="O85" s="10">
        <f>Tabella8[[#This Row],[Lombardy fit]]*NOT(ISBLANK(Tabella8[[#This Row],[Lombardy]]))</f>
        <v>0</v>
      </c>
      <c r="P85" s="10" t="e">
        <f>Tabella8[[#This Row],[Lombardy fit]]+CIr</f>
        <v>#NUM!</v>
      </c>
      <c r="Q85" s="10" t="e">
        <f>MAX(Tabella8[[#This Row],[Lombardy fit]]-CIr,0)</f>
        <v>#NUM!</v>
      </c>
      <c r="R85" s="10">
        <f>Tabella8[[#This Row],[Spain cum. Cases]]-Tabella8[[#This Row],[Lombardy]]</f>
        <v>13910</v>
      </c>
      <c r="S85" s="10">
        <f>Tabella8[[#This Row],[rest of Italy ]]*NOT(ISBLANK(Tabella8[[#This Row],[rest of Italy ]]))</f>
        <v>13910</v>
      </c>
      <c r="T85" s="124">
        <f>IFERROR(Ko*_xlfn.LOGNORM.DIST((Tabella8[[#This Row],[Day]]-po),mu_o,sigma_o,TRUE),0)</f>
        <v>20323.041866037074</v>
      </c>
      <c r="U85" s="124">
        <f>Tabella8[[#This Row],[rest of Italy fit]]/Ko</f>
        <v>0.13731786643157598</v>
      </c>
      <c r="V85" s="22">
        <f>Tabella8[[#This Row],[rest of Italy fit]]*NOT(ISBLANK(Tabella8[[#This Row],[rest of Italy ]]))</f>
        <v>20323.041866037074</v>
      </c>
      <c r="W85" s="10">
        <f>Tabella8[[#This Row],[rest of Italy fit]]+CIo</f>
        <v>124518.96876395933</v>
      </c>
      <c r="X85" s="10">
        <f>MAX(Tabella8[[#This Row],[rest of Italy fit]]-CIo,0)</f>
        <v>0</v>
      </c>
      <c r="Z85"/>
      <c r="AA85"/>
      <c r="AB85" s="70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 s="83"/>
      <c r="AV85" s="83"/>
      <c r="AW85" s="97"/>
      <c r="AX85" s="32"/>
      <c r="AY85" s="32"/>
      <c r="AZ85" s="97"/>
      <c r="BA85" s="86"/>
      <c r="BB85" s="86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</row>
    <row r="86" spans="2:375" x14ac:dyDescent="0.3">
      <c r="B86" s="9">
        <v>43909</v>
      </c>
      <c r="C86" s="4">
        <v>79</v>
      </c>
      <c r="D86" s="90">
        <v>17963</v>
      </c>
      <c r="E86" s="10">
        <f>Tabella8[[#This Row],[Spain cum. Cases]]*NOT(ISBLANK(Tabella8[[#This Row],[Spain cum. Cases]]))</f>
        <v>17963</v>
      </c>
      <c r="F86" s="146">
        <f>IFERROR(Kt*_xlfn.LOGNORM.DIST((Tabella8[[#This Row],[Day]]-Days_back),mu_t,sigma_t,TRUE),0)</f>
        <v>23839.164911236599</v>
      </c>
      <c r="G86" s="125">
        <f>Tabella8[[#This Row],[Spain cum. fit]]/Kt</f>
        <v>8.5139906376525049E-2</v>
      </c>
      <c r="H86" s="324">
        <f>Tabella8[[#This Row],[Spain cum. fit]]*NOT(ISBLANK(Tabella8[[#This Row],[Spain cum. Cases]]))</f>
        <v>23839.164911236599</v>
      </c>
      <c r="I86" s="10">
        <f>Tabella8[[#This Row],[Spain cum. fit]]+CIt</f>
        <v>32545.343673878186</v>
      </c>
      <c r="J86" s="10">
        <f>MAX(Tabella8[[#This Row],[Spain cum. fit]]-CIt,0)</f>
        <v>15132.986148595013</v>
      </c>
      <c r="K86" s="74"/>
      <c r="L86" s="10">
        <f>Tabella8[[#This Row],[Lombardy]]*NOT(ISBLANK(Tabella8[[#This Row],[Lombardy]]))</f>
        <v>0</v>
      </c>
      <c r="M86" s="123">
        <f>IFERROR(Kr*_xlfn.LOGNORM.DIST((Tabella8[[#This Row],[Day]]-pr),mu_r,sigma_r,TRUE),0)</f>
        <v>19991.897040773845</v>
      </c>
      <c r="N86" s="123">
        <f>Tabella8[[#This Row],[Lombardy fit]]/Kr</f>
        <v>0.22979192000889478</v>
      </c>
      <c r="O86" s="10">
        <f>Tabella8[[#This Row],[Lombardy fit]]*NOT(ISBLANK(Tabella8[[#This Row],[Lombardy]]))</f>
        <v>0</v>
      </c>
      <c r="P86" s="10" t="e">
        <f>Tabella8[[#This Row],[Lombardy fit]]+CIr</f>
        <v>#NUM!</v>
      </c>
      <c r="Q86" s="10" t="e">
        <f>MAX(Tabella8[[#This Row],[Lombardy fit]]-CIr,0)</f>
        <v>#NUM!</v>
      </c>
      <c r="R86" s="10">
        <f>Tabella8[[#This Row],[Spain cum. Cases]]-Tabella8[[#This Row],[Lombardy]]</f>
        <v>17963</v>
      </c>
      <c r="S86" s="10">
        <f>Tabella8[[#This Row],[rest of Italy ]]*NOT(ISBLANK(Tabella8[[#This Row],[rest of Italy ]]))</f>
        <v>17963</v>
      </c>
      <c r="T86" s="124">
        <f>IFERROR(Ko*_xlfn.LOGNORM.DIST((Tabella8[[#This Row],[Day]]-po),mu_o,sigma_o,TRUE),0)</f>
        <v>22906.450250895345</v>
      </c>
      <c r="U86" s="124">
        <f>Tabella8[[#This Row],[rest of Italy fit]]/Ko</f>
        <v>0.15477333052344602</v>
      </c>
      <c r="V86" s="22">
        <f>Tabella8[[#This Row],[rest of Italy fit]]*NOT(ISBLANK(Tabella8[[#This Row],[rest of Italy ]]))</f>
        <v>22906.450250895345</v>
      </c>
      <c r="W86" s="10">
        <f>Tabella8[[#This Row],[rest of Italy fit]]+CIo</f>
        <v>127102.3771488176</v>
      </c>
      <c r="X86" s="10">
        <f>MAX(Tabella8[[#This Row],[rest of Italy fit]]-CIo,0)</f>
        <v>0</v>
      </c>
      <c r="Z86"/>
      <c r="AA86"/>
      <c r="AB86" s="70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 s="83"/>
      <c r="AV86" s="83"/>
      <c r="AW86" s="97"/>
      <c r="AX86" s="32"/>
      <c r="AY86" s="32"/>
      <c r="AZ86" s="97"/>
      <c r="BA86" s="86"/>
      <c r="BB86" s="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</row>
    <row r="87" spans="2:375" x14ac:dyDescent="0.3">
      <c r="B87" s="9">
        <v>43910</v>
      </c>
      <c r="C87" s="4">
        <v>80</v>
      </c>
      <c r="D87" s="90">
        <v>20410</v>
      </c>
      <c r="E87" s="10">
        <f>Tabella8[[#This Row],[Spain cum. Cases]]*NOT(ISBLANK(Tabella8[[#This Row],[Spain cum. Cases]]))</f>
        <v>20410</v>
      </c>
      <c r="F87" s="146">
        <f>IFERROR(Kt*_xlfn.LOGNORM.DIST((Tabella8[[#This Row],[Day]]-Days_back),mu_t,sigma_t,TRUE),0)</f>
        <v>27640.087393667127</v>
      </c>
      <c r="G87" s="125">
        <f>Tabella8[[#This Row],[Spain cum. fit]]/Kt</f>
        <v>9.8714634581288235E-2</v>
      </c>
      <c r="H87" s="324">
        <f>Tabella8[[#This Row],[Spain cum. fit]]*NOT(ISBLANK(Tabella8[[#This Row],[Spain cum. Cases]]))</f>
        <v>27640.087393667127</v>
      </c>
      <c r="I87" s="10">
        <f>Tabella8[[#This Row],[Spain cum. fit]]+CIt</f>
        <v>36346.266156308717</v>
      </c>
      <c r="J87" s="10">
        <f>MAX(Tabella8[[#This Row],[Spain cum. fit]]-CIt,0)</f>
        <v>18933.908631025541</v>
      </c>
      <c r="K87" s="74"/>
      <c r="L87" s="10">
        <f>Tabella8[[#This Row],[Lombardy]]*NOT(ISBLANK(Tabella8[[#This Row],[Lombardy]]))</f>
        <v>0</v>
      </c>
      <c r="M87" s="123">
        <f>IFERROR(Kr*_xlfn.LOGNORM.DIST((Tabella8[[#This Row],[Day]]-pr),mu_r,sigma_r,TRUE),0)</f>
        <v>21634.190021491242</v>
      </c>
      <c r="N87" s="123">
        <f>Tabella8[[#This Row],[Lombardy fit]]/Kr</f>
        <v>0.24866885082173842</v>
      </c>
      <c r="O87" s="10">
        <f>Tabella8[[#This Row],[Lombardy fit]]*NOT(ISBLANK(Tabella8[[#This Row],[Lombardy]]))</f>
        <v>0</v>
      </c>
      <c r="P87" s="10" t="e">
        <f>Tabella8[[#This Row],[Lombardy fit]]+CIr</f>
        <v>#NUM!</v>
      </c>
      <c r="Q87" s="10" t="e">
        <f>MAX(Tabella8[[#This Row],[Lombardy fit]]-CIr,0)</f>
        <v>#NUM!</v>
      </c>
      <c r="R87" s="10">
        <f>Tabella8[[#This Row],[Spain cum. Cases]]-Tabella8[[#This Row],[Lombardy]]</f>
        <v>20410</v>
      </c>
      <c r="S87" s="10">
        <f>Tabella8[[#This Row],[rest of Italy ]]*NOT(ISBLANK(Tabella8[[#This Row],[rest of Italy ]]))</f>
        <v>20410</v>
      </c>
      <c r="T87" s="124">
        <f>IFERROR(Ko*_xlfn.LOGNORM.DIST((Tabella8[[#This Row],[Day]]-po),mu_o,sigma_o,TRUE),0)</f>
        <v>25628.708969359228</v>
      </c>
      <c r="U87" s="124">
        <f>Tabella8[[#This Row],[rest of Italy fit]]/Ko</f>
        <v>0.17316697265429842</v>
      </c>
      <c r="V87" s="22">
        <f>Tabella8[[#This Row],[rest of Italy fit]]*NOT(ISBLANK(Tabella8[[#This Row],[rest of Italy ]]))</f>
        <v>25628.708969359228</v>
      </c>
      <c r="W87" s="10">
        <f>Tabella8[[#This Row],[rest of Italy fit]]+CIo</f>
        <v>129824.63586728148</v>
      </c>
      <c r="X87" s="10">
        <f>MAX(Tabella8[[#This Row],[rest of Italy fit]]-CIo,0)</f>
        <v>0</v>
      </c>
      <c r="Z87"/>
      <c r="AA87"/>
      <c r="AB87" s="70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 s="83"/>
      <c r="AV87" s="83"/>
      <c r="AW87" s="97"/>
      <c r="AX87" s="32"/>
      <c r="AY87" s="32"/>
      <c r="AZ87" s="97"/>
      <c r="BA87" s="86"/>
      <c r="BB87" s="86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</row>
    <row r="88" spans="2:375" x14ac:dyDescent="0.3">
      <c r="B88" s="9">
        <v>43911</v>
      </c>
      <c r="C88" s="4">
        <v>81</v>
      </c>
      <c r="D88" s="90">
        <v>25374</v>
      </c>
      <c r="E88" s="10">
        <f>Tabella8[[#This Row],[Spain cum. Cases]]*NOT(ISBLANK(Tabella8[[#This Row],[Spain cum. Cases]]))</f>
        <v>25374</v>
      </c>
      <c r="F88" s="146">
        <f>IFERROR(Kt*_xlfn.LOGNORM.DIST((Tabella8[[#This Row],[Day]]-Days_back),mu_t,sigma_t,TRUE),0)</f>
        <v>31770.44073662578</v>
      </c>
      <c r="G88" s="125">
        <f>Tabella8[[#This Row],[Spain cum. fit]]/Kt</f>
        <v>0.11346590201162145</v>
      </c>
      <c r="H88" s="324">
        <f>Tabella8[[#This Row],[Spain cum. fit]]*NOT(ISBLANK(Tabella8[[#This Row],[Spain cum. Cases]]))</f>
        <v>31770.44073662578</v>
      </c>
      <c r="I88" s="10">
        <f>Tabella8[[#This Row],[Spain cum. fit]]+CIt</f>
        <v>40476.61949926737</v>
      </c>
      <c r="J88" s="10">
        <f>MAX(Tabella8[[#This Row],[Spain cum. fit]]-CIt,0)</f>
        <v>23064.261973984194</v>
      </c>
      <c r="K88" s="74"/>
      <c r="L88" s="10">
        <f>Tabella8[[#This Row],[Lombardy]]*NOT(ISBLANK(Tabella8[[#This Row],[Lombardy]]))</f>
        <v>0</v>
      </c>
      <c r="M88" s="123">
        <f>IFERROR(Kr*_xlfn.LOGNORM.DIST((Tabella8[[#This Row],[Day]]-pr),mu_r,sigma_r,TRUE),0)</f>
        <v>23310.302349365797</v>
      </c>
      <c r="N88" s="123">
        <f>Tabella8[[#This Row],[Lombardy fit]]/Kr</f>
        <v>0.26793450976282523</v>
      </c>
      <c r="O88" s="10">
        <f>Tabella8[[#This Row],[Lombardy fit]]*NOT(ISBLANK(Tabella8[[#This Row],[Lombardy]]))</f>
        <v>0</v>
      </c>
      <c r="P88" s="10" t="e">
        <f>Tabella8[[#This Row],[Lombardy fit]]+CIr</f>
        <v>#NUM!</v>
      </c>
      <c r="Q88" s="10" t="e">
        <f>MAX(Tabella8[[#This Row],[Lombardy fit]]-CIr,0)</f>
        <v>#NUM!</v>
      </c>
      <c r="R88" s="10">
        <f>Tabella8[[#This Row],[Spain cum. Cases]]-Tabella8[[#This Row],[Lombardy]]</f>
        <v>25374</v>
      </c>
      <c r="S88" s="10">
        <f>Tabella8[[#This Row],[rest of Italy ]]*NOT(ISBLANK(Tabella8[[#This Row],[rest of Italy ]]))</f>
        <v>25374</v>
      </c>
      <c r="T88" s="124">
        <f>IFERROR(Ko*_xlfn.LOGNORM.DIST((Tabella8[[#This Row],[Day]]-po),mu_o,sigma_o,TRUE),0)</f>
        <v>28478.089944348303</v>
      </c>
      <c r="U88" s="124">
        <f>Tabella8[[#This Row],[rest of Italy fit]]/Ko</f>
        <v>0.1924195490508514</v>
      </c>
      <c r="V88" s="22">
        <f>Tabella8[[#This Row],[rest of Italy fit]]*NOT(ISBLANK(Tabella8[[#This Row],[rest of Italy ]]))</f>
        <v>28478.089944348303</v>
      </c>
      <c r="W88" s="10">
        <f>Tabella8[[#This Row],[rest of Italy fit]]+CIo</f>
        <v>132674.01684227056</v>
      </c>
      <c r="X88" s="10">
        <f>MAX(Tabella8[[#This Row],[rest of Italy fit]]-CIo,0)</f>
        <v>0</v>
      </c>
      <c r="Z88"/>
      <c r="AA88"/>
      <c r="AB88" s="70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 s="83"/>
      <c r="AV88" s="83"/>
      <c r="AW88" s="97"/>
      <c r="AX88" s="32"/>
      <c r="AY88" s="32"/>
      <c r="AZ88" s="97"/>
      <c r="BA88" s="86"/>
      <c r="BB88" s="86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</row>
    <row r="89" spans="2:375" x14ac:dyDescent="0.3">
      <c r="B89" s="9">
        <v>43912</v>
      </c>
      <c r="C89" s="4">
        <v>82</v>
      </c>
      <c r="D89" s="90">
        <v>28768</v>
      </c>
      <c r="E89" s="10">
        <f>Tabella8[[#This Row],[Spain cum. Cases]]*NOT(ISBLANK(Tabella8[[#This Row],[Spain cum. Cases]]))</f>
        <v>28768</v>
      </c>
      <c r="F89" s="146">
        <f>IFERROR(Kt*_xlfn.LOGNORM.DIST((Tabella8[[#This Row],[Day]]-Days_back),mu_t,sigma_t,TRUE),0)</f>
        <v>36222.10598532758</v>
      </c>
      <c r="G89" s="125">
        <f>Tabella8[[#This Row],[Spain cum. fit]]/Kt</f>
        <v>0.12936471238964156</v>
      </c>
      <c r="H89" s="324">
        <f>Tabella8[[#This Row],[Spain cum. fit]]*NOT(ISBLANK(Tabella8[[#This Row],[Spain cum. Cases]]))</f>
        <v>36222.10598532758</v>
      </c>
      <c r="I89" s="10">
        <f>Tabella8[[#This Row],[Spain cum. fit]]+CIt</f>
        <v>44928.28474796917</v>
      </c>
      <c r="J89" s="10">
        <f>MAX(Tabella8[[#This Row],[Spain cum. fit]]-CIt,0)</f>
        <v>27515.927222685994</v>
      </c>
      <c r="K89" s="74"/>
      <c r="L89" s="10">
        <f>Tabella8[[#This Row],[Lombardy]]*NOT(ISBLANK(Tabella8[[#This Row],[Lombardy]]))</f>
        <v>0</v>
      </c>
      <c r="M89" s="123">
        <f>IFERROR(Kr*_xlfn.LOGNORM.DIST((Tabella8[[#This Row],[Day]]-pr),mu_r,sigma_r,TRUE),0)</f>
        <v>25014.226213352795</v>
      </c>
      <c r="N89" s="123">
        <f>Tabella8[[#This Row],[Lombardy fit]]/Kr</f>
        <v>0.28751984153279075</v>
      </c>
      <c r="O89" s="10">
        <f>Tabella8[[#This Row],[Lombardy fit]]*NOT(ISBLANK(Tabella8[[#This Row],[Lombardy]]))</f>
        <v>0</v>
      </c>
      <c r="P89" s="10" t="e">
        <f>Tabella8[[#This Row],[Lombardy fit]]+CIr</f>
        <v>#NUM!</v>
      </c>
      <c r="Q89" s="10" t="e">
        <f>MAX(Tabella8[[#This Row],[Lombardy fit]]-CIr,0)</f>
        <v>#NUM!</v>
      </c>
      <c r="R89" s="10">
        <f>Tabella8[[#This Row],[Spain cum. Cases]]-Tabella8[[#This Row],[Lombardy]]</f>
        <v>28768</v>
      </c>
      <c r="S89" s="10">
        <f>Tabella8[[#This Row],[rest of Italy ]]*NOT(ISBLANK(Tabella8[[#This Row],[rest of Italy ]]))</f>
        <v>28768</v>
      </c>
      <c r="T89" s="124">
        <f>IFERROR(Ko*_xlfn.LOGNORM.DIST((Tabella8[[#This Row],[Day]]-po),mu_o,sigma_o,TRUE),0)</f>
        <v>31441.865272423573</v>
      </c>
      <c r="U89" s="124">
        <f>Tabella8[[#This Row],[rest of Italy fit]]/Ko</f>
        <v>0.21244506035553287</v>
      </c>
      <c r="V89" s="22">
        <f>Tabella8[[#This Row],[rest of Italy fit]]*NOT(ISBLANK(Tabella8[[#This Row],[rest of Italy ]]))</f>
        <v>31441.865272423573</v>
      </c>
      <c r="W89" s="10">
        <f>Tabella8[[#This Row],[rest of Italy fit]]+CIo</f>
        <v>135637.79217034584</v>
      </c>
      <c r="X89" s="10">
        <f>MAX(Tabella8[[#This Row],[rest of Italy fit]]-CIo,0)</f>
        <v>0</v>
      </c>
      <c r="Z89"/>
      <c r="AA89"/>
      <c r="AB89" s="70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 s="83"/>
      <c r="AV89" s="83"/>
      <c r="AW89" s="97"/>
      <c r="AX89" s="32"/>
      <c r="AY89" s="32"/>
      <c r="AZ89" s="97"/>
      <c r="BA89" s="86"/>
      <c r="BB89" s="86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</row>
    <row r="90" spans="2:375" x14ac:dyDescent="0.3">
      <c r="B90" s="15">
        <v>43913</v>
      </c>
      <c r="C90" s="4">
        <v>83</v>
      </c>
      <c r="D90" s="90">
        <v>35136</v>
      </c>
      <c r="E90" s="10">
        <f>Tabella8[[#This Row],[Spain cum. Cases]]*NOT(ISBLANK(Tabella8[[#This Row],[Spain cum. Cases]]))</f>
        <v>35136</v>
      </c>
      <c r="F90" s="146">
        <f>IFERROR(Kt*_xlfn.LOGNORM.DIST((Tabella8[[#This Row],[Day]]-Days_back),mu_t,sigma_t,TRUE),0)</f>
        <v>40983.148423120147</v>
      </c>
      <c r="G90" s="125">
        <f>Tabella8[[#This Row],[Spain cum. fit]]/Kt</f>
        <v>0.14636844171143745</v>
      </c>
      <c r="H90" s="324">
        <f>Tabella8[[#This Row],[Spain cum. fit]]*NOT(ISBLANK(Tabella8[[#This Row],[Spain cum. Cases]]))</f>
        <v>40983.148423120147</v>
      </c>
      <c r="I90" s="10">
        <f>Tabella8[[#This Row],[Spain cum. fit]]+CIt</f>
        <v>49689.327185761736</v>
      </c>
      <c r="J90" s="10">
        <f>MAX(Tabella8[[#This Row],[Spain cum. fit]]-CIt,0)</f>
        <v>32276.96966047856</v>
      </c>
      <c r="K90" s="74"/>
      <c r="L90" s="10">
        <f>Tabella8[[#This Row],[Lombardy]]*NOT(ISBLANK(Tabella8[[#This Row],[Lombardy]]))</f>
        <v>0</v>
      </c>
      <c r="M90" s="123">
        <f>IFERROR(Kr*_xlfn.LOGNORM.DIST((Tabella8[[#This Row],[Day]]-pr),mu_r,sigma_r,TRUE),0)</f>
        <v>26740.019396335363</v>
      </c>
      <c r="N90" s="123">
        <f>Tabella8[[#This Row],[Lombardy fit]]/Kr</f>
        <v>0.30735654478546393</v>
      </c>
      <c r="O90" s="10">
        <f>Tabella8[[#This Row],[Lombardy fit]]*NOT(ISBLANK(Tabella8[[#This Row],[Lombardy]]))</f>
        <v>0</v>
      </c>
      <c r="P90" s="10" t="e">
        <f>Tabella8[[#This Row],[Lombardy fit]]+CIr</f>
        <v>#NUM!</v>
      </c>
      <c r="Q90" s="10" t="e">
        <f>MAX(Tabella8[[#This Row],[Lombardy fit]]-CIr,0)</f>
        <v>#NUM!</v>
      </c>
      <c r="R90" s="10">
        <f>Tabella8[[#This Row],[Spain cum. Cases]]-Tabella8[[#This Row],[Lombardy]]</f>
        <v>35136</v>
      </c>
      <c r="S90" s="10">
        <f>Tabella8[[#This Row],[rest of Italy ]]*NOT(ISBLANK(Tabella8[[#This Row],[rest of Italy ]]))</f>
        <v>35136</v>
      </c>
      <c r="T90" s="124">
        <f>IFERROR(Ko*_xlfn.LOGNORM.DIST((Tabella8[[#This Row],[Day]]-po),mu_o,sigma_o,TRUE),0)</f>
        <v>34506.560712151368</v>
      </c>
      <c r="U90" s="124">
        <f>Tabella8[[#This Row],[rest of Italy fit]]/Ko</f>
        <v>0.23315246438589535</v>
      </c>
      <c r="V90" s="22">
        <f>Tabella8[[#This Row],[rest of Italy fit]]*NOT(ISBLANK(Tabella8[[#This Row],[rest of Italy ]]))</f>
        <v>34506.560712151368</v>
      </c>
      <c r="W90" s="10">
        <f>Tabella8[[#This Row],[rest of Italy fit]]+CIo</f>
        <v>138702.48761007361</v>
      </c>
      <c r="X90" s="10">
        <f>MAX(Tabella8[[#This Row],[rest of Italy fit]]-CIo,0)</f>
        <v>0</v>
      </c>
      <c r="Z90"/>
      <c r="AA90"/>
      <c r="AB90" s="7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 s="83"/>
      <c r="AV90" s="83"/>
      <c r="AW90" s="97"/>
      <c r="AX90" s="32"/>
      <c r="AY90" s="32"/>
      <c r="AZ90" s="97"/>
      <c r="BA90" s="86"/>
      <c r="BB90" s="86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</row>
    <row r="91" spans="2:375" x14ac:dyDescent="0.3">
      <c r="B91" s="9">
        <v>43914</v>
      </c>
      <c r="C91" s="4">
        <v>84</v>
      </c>
      <c r="D91" s="90">
        <v>39885</v>
      </c>
      <c r="E91" s="10">
        <f>Tabella8[[#This Row],[Spain cum. Cases]]*NOT(ISBLANK(Tabella8[[#This Row],[Spain cum. Cases]]))</f>
        <v>39885</v>
      </c>
      <c r="F91" s="146">
        <f>IFERROR(Kt*_xlfn.LOGNORM.DIST((Tabella8[[#This Row],[Day]]-Days_back),mu_t,sigma_t,TRUE),0)</f>
        <v>46038.110859469307</v>
      </c>
      <c r="G91" s="125">
        <f>Tabella8[[#This Row],[Spain cum. fit]]/Kt</f>
        <v>0.16442188570455146</v>
      </c>
      <c r="H91" s="324">
        <f>Tabella8[[#This Row],[Spain cum. fit]]*NOT(ISBLANK(Tabella8[[#This Row],[Spain cum. Cases]]))</f>
        <v>46038.110859469307</v>
      </c>
      <c r="I91" s="10">
        <f>Tabella8[[#This Row],[Spain cum. fit]]+CIt</f>
        <v>54744.289622110897</v>
      </c>
      <c r="J91" s="10">
        <f>MAX(Tabella8[[#This Row],[Spain cum. fit]]-CIt,0)</f>
        <v>37331.932096827717</v>
      </c>
      <c r="K91" s="74"/>
      <c r="L91" s="10">
        <f>Tabella8[[#This Row],[Lombardy]]*NOT(ISBLANK(Tabella8[[#This Row],[Lombardy]]))</f>
        <v>0</v>
      </c>
      <c r="M91" s="123">
        <f>IFERROR(Kr*_xlfn.LOGNORM.DIST((Tabella8[[#This Row],[Day]]-pr),mu_r,sigma_r,TRUE),0)</f>
        <v>28481.862285154002</v>
      </c>
      <c r="N91" s="123">
        <f>Tabella8[[#This Row],[Lombardy fit]]/Kr</f>
        <v>0.32737772741556326</v>
      </c>
      <c r="O91" s="10">
        <f>Tabella8[[#This Row],[Lombardy fit]]*NOT(ISBLANK(Tabella8[[#This Row],[Lombardy]]))</f>
        <v>0</v>
      </c>
      <c r="P91" s="10" t="e">
        <f>Tabella8[[#This Row],[Lombardy fit]]+CIr</f>
        <v>#NUM!</v>
      </c>
      <c r="Q91" s="10" t="e">
        <f>MAX(Tabella8[[#This Row],[Lombardy fit]]-CIr,0)</f>
        <v>#NUM!</v>
      </c>
      <c r="R91" s="10">
        <f>Tabella8[[#This Row],[Spain cum. Cases]]-Tabella8[[#This Row],[Lombardy]]</f>
        <v>39885</v>
      </c>
      <c r="S91" s="10">
        <f>Tabella8[[#This Row],[rest of Italy ]]*NOT(ISBLANK(Tabella8[[#This Row],[rest of Italy ]]))</f>
        <v>39885</v>
      </c>
      <c r="T91" s="124">
        <f>IFERROR(Ko*_xlfn.LOGNORM.DIST((Tabella8[[#This Row],[Day]]-po),mu_o,sigma_o,TRUE),0)</f>
        <v>37658.20071523654</v>
      </c>
      <c r="U91" s="124">
        <f>Tabella8[[#This Row],[rest of Italy fit]]/Ko</f>
        <v>0.25444733175057355</v>
      </c>
      <c r="V91" s="22">
        <f>Tabella8[[#This Row],[rest of Italy fit]]*NOT(ISBLANK(Tabella8[[#This Row],[rest of Italy ]]))</f>
        <v>37658.20071523654</v>
      </c>
      <c r="W91" s="10">
        <f>Tabella8[[#This Row],[rest of Italy fit]]+CIo</f>
        <v>141854.12761315878</v>
      </c>
      <c r="X91" s="10">
        <f>MAX(Tabella8[[#This Row],[rest of Italy fit]]-CIo,0)</f>
        <v>0</v>
      </c>
      <c r="Z91"/>
      <c r="AA91"/>
      <c r="AB91" s="70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 s="83"/>
      <c r="AV91" s="83"/>
      <c r="AW91" s="97"/>
      <c r="AX91" s="32"/>
      <c r="AY91" s="32"/>
      <c r="AZ91" s="97"/>
      <c r="BA91" s="86"/>
      <c r="BB91" s="86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</row>
    <row r="92" spans="2:375" x14ac:dyDescent="0.3">
      <c r="B92" s="9">
        <v>43915</v>
      </c>
      <c r="C92" s="4">
        <v>85</v>
      </c>
      <c r="D92" s="322">
        <v>49515</v>
      </c>
      <c r="E92" s="10">
        <f>Tabella8[[#This Row],[Spain cum. Cases]]*NOT(ISBLANK(Tabella8[[#This Row],[Spain cum. Cases]]))</f>
        <v>49515</v>
      </c>
      <c r="F92" s="146">
        <f>IFERROR(Kt*_xlfn.LOGNORM.DIST((Tabella8[[#This Row],[Day]]-Days_back),mu_t,sigma_t,TRUE),0)</f>
        <v>51368.371727240708</v>
      </c>
      <c r="G92" s="125">
        <f>Tabella8[[#This Row],[Spain cum. fit]]/Kt</f>
        <v>0.18345853874731829</v>
      </c>
      <c r="H92" s="324">
        <f>Tabella8[[#This Row],[Spain cum. fit]]*NOT(ISBLANK(Tabella8[[#This Row],[Spain cum. Cases]]))</f>
        <v>51368.371727240708</v>
      </c>
      <c r="I92" s="10">
        <f>Tabella8[[#This Row],[Spain cum. fit]]+CIt</f>
        <v>60074.550489882298</v>
      </c>
      <c r="J92" s="10">
        <f>MAX(Tabella8[[#This Row],[Spain cum. fit]]-CIt,0)</f>
        <v>42662.192964599119</v>
      </c>
      <c r="K92" s="74"/>
      <c r="L92" s="10">
        <f>Tabella8[[#This Row],[Lombardy]]*NOT(ISBLANK(Tabella8[[#This Row],[Lombardy]]))</f>
        <v>0</v>
      </c>
      <c r="M92" s="123">
        <f>IFERROR(Kr*_xlfn.LOGNORM.DIST((Tabella8[[#This Row],[Day]]-pr),mu_r,sigma_r,TRUE),0)</f>
        <v>30234.107454482848</v>
      </c>
      <c r="N92" s="123">
        <f>Tabella8[[#This Row],[Lombardy fit]]/Kr</f>
        <v>0.34751847648830858</v>
      </c>
      <c r="O92" s="10">
        <f>Tabella8[[#This Row],[Lombardy fit]]*NOT(ISBLANK(Tabella8[[#This Row],[Lombardy]]))</f>
        <v>0</v>
      </c>
      <c r="P92" s="10" t="e">
        <f>Tabella8[[#This Row],[Lombardy fit]]+CIr</f>
        <v>#NUM!</v>
      </c>
      <c r="Q92" s="10" t="e">
        <f>MAX(Tabella8[[#This Row],[Lombardy fit]]-CIr,0)</f>
        <v>#NUM!</v>
      </c>
      <c r="R92" s="10">
        <f>Tabella8[[#This Row],[Spain cum. Cases]]-Tabella8[[#This Row],[Lombardy]]</f>
        <v>49515</v>
      </c>
      <c r="S92" s="10">
        <f>Tabella8[[#This Row],[rest of Italy ]]*NOT(ISBLANK(Tabella8[[#This Row],[rest of Italy ]]))</f>
        <v>49515</v>
      </c>
      <c r="T92" s="124">
        <f>IFERROR(Ko*_xlfn.LOGNORM.DIST((Tabella8[[#This Row],[Day]]-po),mu_o,sigma_o,TRUE),0)</f>
        <v>40882.539768465918</v>
      </c>
      <c r="U92" s="124">
        <f>Tabella8[[#This Row],[rest of Italy fit]]/Ko</f>
        <v>0.27623340897070586</v>
      </c>
      <c r="V92" s="22">
        <f>Tabella8[[#This Row],[rest of Italy fit]]*NOT(ISBLANK(Tabella8[[#This Row],[rest of Italy ]]))</f>
        <v>40882.539768465918</v>
      </c>
      <c r="W92" s="10">
        <f>Tabella8[[#This Row],[rest of Italy fit]]+CIo</f>
        <v>145078.46666638818</v>
      </c>
      <c r="X92" s="10">
        <f>MAX(Tabella8[[#This Row],[rest of Italy fit]]-CIo,0)</f>
        <v>0</v>
      </c>
      <c r="Z92"/>
      <c r="AA92"/>
      <c r="AB92" s="70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 s="83"/>
      <c r="AV92" s="83"/>
      <c r="AW92" s="97"/>
      <c r="AX92" s="32"/>
      <c r="AY92" s="32"/>
      <c r="AZ92" s="97"/>
      <c r="BA92" s="86"/>
      <c r="BB92" s="86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</row>
    <row r="93" spans="2:375" x14ac:dyDescent="0.3">
      <c r="B93" s="9">
        <v>43916</v>
      </c>
      <c r="C93" s="4">
        <v>86</v>
      </c>
      <c r="D93" s="90">
        <v>57786</v>
      </c>
      <c r="E93" s="10">
        <f>Tabella8[[#This Row],[Spain cum. Cases]]*NOT(ISBLANK(Tabella8[[#This Row],[Spain cum. Cases]]))</f>
        <v>57786</v>
      </c>
      <c r="F93" s="146">
        <f>IFERROR(Kt*_xlfn.LOGNORM.DIST((Tabella8[[#This Row],[Day]]-Days_back),mu_t,sigma_t,TRUE),0)</f>
        <v>56952.552114453429</v>
      </c>
      <c r="G93" s="125">
        <f>Tabella8[[#This Row],[Spain cum. fit]]/Kt</f>
        <v>0.20340204755424052</v>
      </c>
      <c r="H93" s="324">
        <f>Tabella8[[#This Row],[Spain cum. fit]]*NOT(ISBLANK(Tabella8[[#This Row],[Spain cum. Cases]]))</f>
        <v>56952.552114453429</v>
      </c>
      <c r="I93" s="10">
        <f>Tabella8[[#This Row],[Spain cum. fit]]+CIt</f>
        <v>65658.730877095019</v>
      </c>
      <c r="J93" s="10">
        <f>MAX(Tabella8[[#This Row],[Spain cum. fit]]-CIt,0)</f>
        <v>48246.373351811839</v>
      </c>
      <c r="K93" s="74"/>
      <c r="L93" s="10">
        <f>Tabella8[[#This Row],[Lombardy]]*NOT(ISBLANK(Tabella8[[#This Row],[Lombardy]]))</f>
        <v>0</v>
      </c>
      <c r="M93" s="123">
        <f>IFERROR(Kr*_xlfn.LOGNORM.DIST((Tabella8[[#This Row],[Day]]-pr),mu_r,sigma_r,TRUE),0)</f>
        <v>31991.321881984775</v>
      </c>
      <c r="N93" s="123">
        <f>Tabella8[[#This Row],[Lombardy fit]]/Kr</f>
        <v>0.36771634347108939</v>
      </c>
      <c r="O93" s="10">
        <f>Tabella8[[#This Row],[Lombardy fit]]*NOT(ISBLANK(Tabella8[[#This Row],[Lombardy]]))</f>
        <v>0</v>
      </c>
      <c r="P93" s="10" t="e">
        <f>Tabella8[[#This Row],[Lombardy fit]]+CIr</f>
        <v>#NUM!</v>
      </c>
      <c r="Q93" s="10" t="e">
        <f>MAX(Tabella8[[#This Row],[Lombardy fit]]-CIr,0)</f>
        <v>#NUM!</v>
      </c>
      <c r="R93" s="10">
        <f>Tabella8[[#This Row],[Spain cum. Cases]]-Tabella8[[#This Row],[Lombardy]]</f>
        <v>57786</v>
      </c>
      <c r="S93" s="10">
        <f>Tabella8[[#This Row],[rest of Italy ]]*NOT(ISBLANK(Tabella8[[#This Row],[rest of Italy ]]))</f>
        <v>57786</v>
      </c>
      <c r="T93" s="124">
        <f>IFERROR(Ko*_xlfn.LOGNORM.DIST((Tabella8[[#This Row],[Day]]-po),mu_o,sigma_o,TRUE),0)</f>
        <v>44165.276053994246</v>
      </c>
      <c r="U93" s="124">
        <f>Tabella8[[#This Row],[rest of Italy fit]]/Ko</f>
        <v>0.29841406213068317</v>
      </c>
      <c r="V93" s="22">
        <f>Tabella8[[#This Row],[rest of Italy fit]]*NOT(ISBLANK(Tabella8[[#This Row],[rest of Italy ]]))</f>
        <v>44165.276053994246</v>
      </c>
      <c r="W93" s="10">
        <f>Tabella8[[#This Row],[rest of Italy fit]]+CIo</f>
        <v>148361.20295191649</v>
      </c>
      <c r="X93" s="10">
        <f>MAX(Tabella8[[#This Row],[rest of Italy fit]]-CIo,0)</f>
        <v>0</v>
      </c>
      <c r="Z93"/>
      <c r="AA93"/>
      <c r="AB93" s="70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 s="83"/>
      <c r="AV93" s="83"/>
      <c r="AW93" s="97"/>
      <c r="AX93" s="32"/>
      <c r="AY93" s="32"/>
      <c r="AZ93" s="97"/>
      <c r="BA93" s="86"/>
      <c r="BB93" s="86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</row>
    <row r="94" spans="2:375" x14ac:dyDescent="0.3">
      <c r="B94" s="9">
        <v>43917</v>
      </c>
      <c r="C94" s="4">
        <v>87</v>
      </c>
      <c r="D94" s="90">
        <v>65719</v>
      </c>
      <c r="E94" s="10">
        <f>Tabella8[[#This Row],[Spain cum. Cases]]*NOT(ISBLANK(Tabella8[[#This Row],[Spain cum. Cases]]))</f>
        <v>65719</v>
      </c>
      <c r="F94" s="146">
        <f>IFERROR(Kt*_xlfn.LOGNORM.DIST((Tabella8[[#This Row],[Day]]-Days_back),mu_t,sigma_t,TRUE),0)</f>
        <v>62766.956017044264</v>
      </c>
      <c r="G94" s="125">
        <f>Tabella8[[#This Row],[Spain cum. fit]]/Kt</f>
        <v>0.22416778350787492</v>
      </c>
      <c r="H94" s="324">
        <f>Tabella8[[#This Row],[Spain cum. fit]]*NOT(ISBLANK(Tabella8[[#This Row],[Spain cum. Cases]]))</f>
        <v>62766.956017044264</v>
      </c>
      <c r="I94" s="10">
        <f>Tabella8[[#This Row],[Spain cum. fit]]+CIt</f>
        <v>71473.134779685846</v>
      </c>
      <c r="J94" s="10">
        <f>MAX(Tabella8[[#This Row],[Spain cum. fit]]-CIt,0)</f>
        <v>54060.777254402681</v>
      </c>
      <c r="K94" s="74"/>
      <c r="L94" s="10">
        <f>Tabella8[[#This Row],[Lombardy]]*NOT(ISBLANK(Tabella8[[#This Row],[Lombardy]]))</f>
        <v>0</v>
      </c>
      <c r="M94" s="123">
        <f>IFERROR(Kr*_xlfn.LOGNORM.DIST((Tabella8[[#This Row],[Day]]-pr),mu_r,sigma_r,TRUE),0)</f>
        <v>33748.322003527355</v>
      </c>
      <c r="N94" s="123">
        <f>Tabella8[[#This Row],[Lombardy fit]]/Kr</f>
        <v>0.38791174716698107</v>
      </c>
      <c r="O94" s="10">
        <f>Tabella8[[#This Row],[Lombardy fit]]*NOT(ISBLANK(Tabella8[[#This Row],[Lombardy]]))</f>
        <v>0</v>
      </c>
      <c r="P94" s="10" t="e">
        <f>Tabella8[[#This Row],[Lombardy fit]]+CIr</f>
        <v>#NUM!</v>
      </c>
      <c r="Q94" s="10" t="e">
        <f>MAX(Tabella8[[#This Row],[Lombardy fit]]-CIr,0)</f>
        <v>#NUM!</v>
      </c>
      <c r="R94" s="10">
        <f>Tabella8[[#This Row],[Spain cum. Cases]]-Tabella8[[#This Row],[Lombardy]]</f>
        <v>65719</v>
      </c>
      <c r="S94" s="10">
        <f>Tabella8[[#This Row],[rest of Italy ]]*NOT(ISBLANK(Tabella8[[#This Row],[rest of Italy ]]))</f>
        <v>65719</v>
      </c>
      <c r="T94" s="124">
        <f>IFERROR(Ko*_xlfn.LOGNORM.DIST((Tabella8[[#This Row],[Day]]-po),mu_o,sigma_o,TRUE),0)</f>
        <v>47492.244591342511</v>
      </c>
      <c r="U94" s="124">
        <f>Tabella8[[#This Row],[rest of Italy fit]]/Ko</f>
        <v>0.32089358189180295</v>
      </c>
      <c r="V94" s="22">
        <f>Tabella8[[#This Row],[rest of Italy fit]]*NOT(ISBLANK(Tabella8[[#This Row],[rest of Italy ]]))</f>
        <v>47492.244591342511</v>
      </c>
      <c r="W94" s="10">
        <f>Tabella8[[#This Row],[rest of Italy fit]]+CIo</f>
        <v>151688.17148926476</v>
      </c>
      <c r="X94" s="10">
        <f>MAX(Tabella8[[#This Row],[rest of Italy fit]]-CIo,0)</f>
        <v>0</v>
      </c>
      <c r="Z94"/>
      <c r="AA94"/>
      <c r="AB94" s="70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 s="83"/>
      <c r="AV94" s="83"/>
      <c r="AW94" s="97"/>
      <c r="AX94" s="32"/>
      <c r="AY94" s="32"/>
      <c r="AZ94" s="97"/>
      <c r="BA94" s="86"/>
      <c r="BB94" s="86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</row>
    <row r="95" spans="2:375" x14ac:dyDescent="0.3">
      <c r="B95" s="9">
        <v>43918</v>
      </c>
      <c r="C95" s="4">
        <v>88</v>
      </c>
      <c r="D95" s="90">
        <v>73235</v>
      </c>
      <c r="E95" s="10">
        <f>Tabella8[[#This Row],[Spain cum. Cases]]*NOT(ISBLANK(Tabella8[[#This Row],[Spain cum. Cases]]))</f>
        <v>73235</v>
      </c>
      <c r="F95" s="146">
        <f>IFERROR(Kt*_xlfn.LOGNORM.DIST((Tabella8[[#This Row],[Day]]-Days_back),mu_t,sigma_t,TRUE),0)</f>
        <v>68786.028864851309</v>
      </c>
      <c r="G95" s="125">
        <f>Tabella8[[#This Row],[Spain cum. fit]]/Kt</f>
        <v>0.24566448025224058</v>
      </c>
      <c r="H95" s="324">
        <f>Tabella8[[#This Row],[Spain cum. fit]]*NOT(ISBLANK(Tabella8[[#This Row],[Spain cum. Cases]]))</f>
        <v>68786.028864851309</v>
      </c>
      <c r="I95" s="10">
        <f>Tabella8[[#This Row],[Spain cum. fit]]+CIt</f>
        <v>77492.207627492899</v>
      </c>
      <c r="J95" s="10">
        <f>MAX(Tabella8[[#This Row],[Spain cum. fit]]-CIt,0)</f>
        <v>60079.850102209719</v>
      </c>
      <c r="K95" s="74"/>
      <c r="L95" s="10">
        <f>Tabella8[[#This Row],[Lombardy]]*NOT(ISBLANK(Tabella8[[#This Row],[Lombardy]]))</f>
        <v>0</v>
      </c>
      <c r="M95" s="123">
        <f>IFERROR(Kr*_xlfn.LOGNORM.DIST((Tabella8[[#This Row],[Day]]-pr),mu_r,sigma_r,TRUE),0)</f>
        <v>35500.201936379526</v>
      </c>
      <c r="N95" s="123">
        <f>Tabella8[[#This Row],[Lombardy fit]]/Kr</f>
        <v>0.40804829811930488</v>
      </c>
      <c r="O95" s="10">
        <f>Tabella8[[#This Row],[Lombardy fit]]*NOT(ISBLANK(Tabella8[[#This Row],[Lombardy]]))</f>
        <v>0</v>
      </c>
      <c r="P95" s="10" t="e">
        <f>Tabella8[[#This Row],[Lombardy fit]]+CIr</f>
        <v>#NUM!</v>
      </c>
      <c r="Q95" s="10" t="e">
        <f>MAX(Tabella8[[#This Row],[Lombardy fit]]-CIr,0)</f>
        <v>#NUM!</v>
      </c>
      <c r="R95" s="10">
        <f>Tabella8[[#This Row],[Spain cum. Cases]]-Tabella8[[#This Row],[Lombardy]]</f>
        <v>73235</v>
      </c>
      <c r="S95" s="10">
        <f>Tabella8[[#This Row],[rest of Italy ]]*NOT(ISBLANK(Tabella8[[#This Row],[rest of Italy ]]))</f>
        <v>73235</v>
      </c>
      <c r="T95" s="124">
        <f>IFERROR(Ko*_xlfn.LOGNORM.DIST((Tabella8[[#This Row],[Day]]-po),mu_o,sigma_o,TRUE),0)</f>
        <v>50849.58806611818</v>
      </c>
      <c r="U95" s="124">
        <f>Tabella8[[#This Row],[rest of Italy fit]]/Ko</f>
        <v>0.34357833774051322</v>
      </c>
      <c r="V95" s="22">
        <f>Tabella8[[#This Row],[rest of Italy fit]]*NOT(ISBLANK(Tabella8[[#This Row],[rest of Italy ]]))</f>
        <v>50849.58806611818</v>
      </c>
      <c r="W95" s="10">
        <f>Tabella8[[#This Row],[rest of Italy fit]]+CIo</f>
        <v>155045.51496404043</v>
      </c>
      <c r="X95" s="10">
        <f>MAX(Tabella8[[#This Row],[rest of Italy fit]]-CIo,0)</f>
        <v>0</v>
      </c>
      <c r="Z95"/>
      <c r="AA95"/>
      <c r="AB95" s="70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 s="83"/>
      <c r="AV95" s="83"/>
      <c r="AW95" s="97"/>
      <c r="AX95" s="32"/>
      <c r="AY95" s="32"/>
      <c r="AZ95" s="97"/>
      <c r="BA95" s="86"/>
      <c r="BB95" s="86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</row>
    <row r="96" spans="2:375" x14ac:dyDescent="0.3">
      <c r="B96" s="9">
        <v>43919</v>
      </c>
      <c r="C96" s="4">
        <v>89</v>
      </c>
      <c r="D96" s="90">
        <v>80110</v>
      </c>
      <c r="E96" s="10">
        <f>Tabella8[[#This Row],[Spain cum. Cases]]*NOT(ISBLANK(Tabella8[[#This Row],[Spain cum. Cases]]))</f>
        <v>80110</v>
      </c>
      <c r="F96" s="146">
        <f>IFERROR(Kt*_xlfn.LOGNORM.DIST((Tabella8[[#This Row],[Day]]-Days_back),mu_t,sigma_t,TRUE),0)</f>
        <v>74982.820604930748</v>
      </c>
      <c r="G96" s="125">
        <f>Tabella8[[#This Row],[Spain cum. fit]]/Kt</f>
        <v>0.26779588756242306</v>
      </c>
      <c r="H96" s="324">
        <f>Tabella8[[#This Row],[Spain cum. fit]]*NOT(ISBLANK(Tabella8[[#This Row],[Spain cum. Cases]]))</f>
        <v>74982.820604930748</v>
      </c>
      <c r="I96" s="10">
        <f>Tabella8[[#This Row],[Spain cum. fit]]+CIt</f>
        <v>83688.999367572338</v>
      </c>
      <c r="J96" s="10">
        <f>MAX(Tabella8[[#This Row],[Spain cum. fit]]-CIt,0)</f>
        <v>66276.641842289158</v>
      </c>
      <c r="K96" s="74"/>
      <c r="L96" s="10">
        <f>Tabella8[[#This Row],[Lombardy]]*NOT(ISBLANK(Tabella8[[#This Row],[Lombardy]]))</f>
        <v>0</v>
      </c>
      <c r="M96" s="123">
        <f>IFERROR(Kr*_xlfn.LOGNORM.DIST((Tabella8[[#This Row],[Day]]-pr),mu_r,sigma_r,TRUE),0)</f>
        <v>37242.355288164421</v>
      </c>
      <c r="N96" s="123">
        <f>Tabella8[[#This Row],[Lombardy fit]]/Kr</f>
        <v>0.42807304928924622</v>
      </c>
      <c r="O96" s="10">
        <f>Tabella8[[#This Row],[Lombardy fit]]*NOT(ISBLANK(Tabella8[[#This Row],[Lombardy]]))</f>
        <v>0</v>
      </c>
      <c r="P96" s="10" t="e">
        <f>Tabella8[[#This Row],[Lombardy fit]]+CIr</f>
        <v>#NUM!</v>
      </c>
      <c r="Q96" s="10" t="e">
        <f>MAX(Tabella8[[#This Row],[Lombardy fit]]-CIr,0)</f>
        <v>#NUM!</v>
      </c>
      <c r="R96" s="10">
        <f>Tabella8[[#This Row],[Spain cum. Cases]]-Tabella8[[#This Row],[Lombardy]]</f>
        <v>80110</v>
      </c>
      <c r="S96" s="10">
        <f>Tabella8[[#This Row],[rest of Italy ]]*NOT(ISBLANK(Tabella8[[#This Row],[rest of Italy ]]))</f>
        <v>80110</v>
      </c>
      <c r="T96" s="124">
        <f>IFERROR(Ko*_xlfn.LOGNORM.DIST((Tabella8[[#This Row],[Day]]-po),mu_o,sigma_o,TRUE),0)</f>
        <v>54223.904460029429</v>
      </c>
      <c r="U96" s="124">
        <f>Tabella8[[#This Row],[rest of Italy fit]]/Ko</f>
        <v>0.36637777548862505</v>
      </c>
      <c r="V96" s="22">
        <f>Tabella8[[#This Row],[rest of Italy fit]]*NOT(ISBLANK(Tabella8[[#This Row],[rest of Italy ]]))</f>
        <v>54223.904460029429</v>
      </c>
      <c r="W96" s="10">
        <f>Tabella8[[#This Row],[rest of Italy fit]]+CIo</f>
        <v>158419.83135795168</v>
      </c>
      <c r="X96" s="10">
        <f>MAX(Tabella8[[#This Row],[rest of Italy fit]]-CIo,0)</f>
        <v>0</v>
      </c>
      <c r="Z96"/>
      <c r="AA96"/>
      <c r="AB96" s="70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 s="83"/>
      <c r="AV96" s="83"/>
      <c r="AW96" s="97"/>
      <c r="AX96" s="32"/>
      <c r="AY96" s="32"/>
      <c r="AZ96" s="97"/>
      <c r="BA96" s="99"/>
      <c r="BB96" s="8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</row>
    <row r="97" spans="2:375" x14ac:dyDescent="0.3">
      <c r="B97" s="9">
        <v>43920</v>
      </c>
      <c r="C97" s="4">
        <v>90</v>
      </c>
      <c r="D97" s="90">
        <v>87956</v>
      </c>
      <c r="E97" s="10">
        <f>Tabella8[[#This Row],[Spain cum. Cases]]*NOT(ISBLANK(Tabella8[[#This Row],[Spain cum. Cases]]))</f>
        <v>87956</v>
      </c>
      <c r="F97" s="146">
        <f>IFERROR(Kt*_xlfn.LOGNORM.DIST((Tabella8[[#This Row],[Day]]-Days_back),mu_t,sigma_t,TRUE),0)</f>
        <v>81329.44118971283</v>
      </c>
      <c r="G97" s="125">
        <f>Tabella8[[#This Row],[Spain cum. fit]]/Kt</f>
        <v>0.29046239808859414</v>
      </c>
      <c r="H97" s="324">
        <f>Tabella8[[#This Row],[Spain cum. fit]]*NOT(ISBLANK(Tabella8[[#This Row],[Spain cum. Cases]]))</f>
        <v>81329.44118971283</v>
      </c>
      <c r="I97" s="10">
        <f>Tabella8[[#This Row],[Spain cum. fit]]+CIt</f>
        <v>90035.61995235442</v>
      </c>
      <c r="J97" s="10">
        <f>MAX(Tabella8[[#This Row],[Spain cum. fit]]-CIt,0)</f>
        <v>72623.26242707124</v>
      </c>
      <c r="K97" s="74"/>
      <c r="L97" s="10">
        <f>Tabella8[[#This Row],[Lombardy]]*NOT(ISBLANK(Tabella8[[#This Row],[Lombardy]]))</f>
        <v>0</v>
      </c>
      <c r="M97" s="123">
        <f>IFERROR(Kr*_xlfn.LOGNORM.DIST((Tabella8[[#This Row],[Day]]-pr),mu_r,sigma_r,TRUE),0)</f>
        <v>38970.491033185979</v>
      </c>
      <c r="N97" s="123">
        <f>Tabella8[[#This Row],[Lombardy fit]]/Kr</f>
        <v>0.44793667854236757</v>
      </c>
      <c r="O97" s="10">
        <f>Tabella8[[#This Row],[Lombardy fit]]*NOT(ISBLANK(Tabella8[[#This Row],[Lombardy]]))</f>
        <v>0</v>
      </c>
      <c r="P97" s="10" t="e">
        <f>Tabella8[[#This Row],[Lombardy fit]]+CIr</f>
        <v>#NUM!</v>
      </c>
      <c r="Q97" s="10" t="e">
        <f>MAX(Tabella8[[#This Row],[Lombardy fit]]-CIr,0)</f>
        <v>#NUM!</v>
      </c>
      <c r="R97" s="10">
        <f>Tabella8[[#This Row],[Spain cum. Cases]]-Tabella8[[#This Row],[Lombardy]]</f>
        <v>87956</v>
      </c>
      <c r="S97" s="10">
        <f>Tabella8[[#This Row],[rest of Italy ]]*NOT(ISBLANK(Tabella8[[#This Row],[rest of Italy ]]))</f>
        <v>87956</v>
      </c>
      <c r="T97" s="124">
        <f>IFERROR(Ko*_xlfn.LOGNORM.DIST((Tabella8[[#This Row],[Day]]-po),mu_o,sigma_o,TRUE),0)</f>
        <v>57602.371366640451</v>
      </c>
      <c r="U97" s="124">
        <f>Tabella8[[#This Row],[rest of Italy fit]]/Ko</f>
        <v>0.38920525724472965</v>
      </c>
      <c r="V97" s="22">
        <f>Tabella8[[#This Row],[rest of Italy fit]]*NOT(ISBLANK(Tabella8[[#This Row],[rest of Italy ]]))</f>
        <v>57602.371366640451</v>
      </c>
      <c r="W97" s="10">
        <f>Tabella8[[#This Row],[rest of Italy fit]]+CIo</f>
        <v>161798.29826456271</v>
      </c>
      <c r="X97" s="10">
        <f>MAX(Tabella8[[#This Row],[rest of Italy fit]]-CIo,0)</f>
        <v>0</v>
      </c>
      <c r="Z97"/>
      <c r="AA97"/>
      <c r="AB97" s="70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 s="83"/>
      <c r="AV97" s="83"/>
      <c r="AW97"/>
      <c r="AX97" s="32"/>
      <c r="AY97" s="32"/>
      <c r="AZ97"/>
      <c r="BA97" s="99"/>
      <c r="BB97" s="86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</row>
    <row r="98" spans="2:375" x14ac:dyDescent="0.3">
      <c r="B98" s="9">
        <v>43921</v>
      </c>
      <c r="C98" s="4">
        <v>91</v>
      </c>
      <c r="D98" s="90">
        <v>95923</v>
      </c>
      <c r="E98" s="10">
        <f>Tabella8[[#This Row],[Spain cum. Cases]]*NOT(ISBLANK(Tabella8[[#This Row],[Spain cum. Cases]]))</f>
        <v>95923</v>
      </c>
      <c r="F98" s="146">
        <f>IFERROR(Kt*_xlfn.LOGNORM.DIST((Tabella8[[#This Row],[Day]]-Days_back),mu_t,sigma_t,TRUE),0)</f>
        <v>87797.498087755957</v>
      </c>
      <c r="G98" s="125">
        <f>Tabella8[[#This Row],[Spain cum. fit]]/Kt</f>
        <v>0.31356260989500107</v>
      </c>
      <c r="H98" s="324">
        <f>Tabella8[[#This Row],[Spain cum. fit]]*NOT(ISBLANK(Tabella8[[#This Row],[Spain cum. Cases]]))</f>
        <v>87797.498087755957</v>
      </c>
      <c r="I98" s="10">
        <f>Tabella8[[#This Row],[Spain cum. fit]]+CIt</f>
        <v>96503.676850397547</v>
      </c>
      <c r="J98" s="10">
        <f>MAX(Tabella8[[#This Row],[Spain cum. fit]]-CIt,0)</f>
        <v>79091.319325114368</v>
      </c>
      <c r="K98" s="74"/>
      <c r="L98" s="10">
        <f>Tabella8[[#This Row],[Lombardy]]*NOT(ISBLANK(Tabella8[[#This Row],[Lombardy]]))</f>
        <v>0</v>
      </c>
      <c r="M98" s="123">
        <f>IFERROR(Kr*_xlfn.LOGNORM.DIST((Tabella8[[#This Row],[Day]]-pr),mu_r,sigma_r,TRUE),0)</f>
        <v>40680.643978973909</v>
      </c>
      <c r="N98" s="123">
        <f>Tabella8[[#This Row],[Lombardy fit]]/Kr</f>
        <v>0.46759360895372309</v>
      </c>
      <c r="O98" s="10">
        <f>Tabella8[[#This Row],[Lombardy fit]]*NOT(ISBLANK(Tabella8[[#This Row],[Lombardy]]))</f>
        <v>0</v>
      </c>
      <c r="P98" s="10" t="e">
        <f>Tabella8[[#This Row],[Lombardy fit]]+CIr</f>
        <v>#NUM!</v>
      </c>
      <c r="Q98" s="10" t="e">
        <f>MAX(Tabella8[[#This Row],[Lombardy fit]]-CIr,0)</f>
        <v>#NUM!</v>
      </c>
      <c r="R98" s="10">
        <f>Tabella8[[#This Row],[Spain cum. Cases]]-Tabella8[[#This Row],[Lombardy]]</f>
        <v>95923</v>
      </c>
      <c r="S98" s="10">
        <f>Tabella8[[#This Row],[rest of Italy ]]*NOT(ISBLANK(Tabella8[[#This Row],[rest of Italy ]]))</f>
        <v>95923</v>
      </c>
      <c r="T98" s="124">
        <f>IFERROR(Ko*_xlfn.LOGNORM.DIST((Tabella8[[#This Row],[Day]]-po),mu_o,sigma_o,TRUE),0)</f>
        <v>60972.847507879022</v>
      </c>
      <c r="U98" s="124">
        <f>Tabella8[[#This Row],[rest of Italy fit]]/Ko</f>
        <v>0.41197874733662709</v>
      </c>
      <c r="V98" s="22">
        <f>Tabella8[[#This Row],[rest of Italy fit]]*NOT(ISBLANK(Tabella8[[#This Row],[rest of Italy ]]))</f>
        <v>60972.847507879022</v>
      </c>
      <c r="W98" s="10">
        <f>Tabella8[[#This Row],[rest of Italy fit]]+CIo</f>
        <v>165168.77440580126</v>
      </c>
      <c r="X98" s="10">
        <f>MAX(Tabella8[[#This Row],[rest of Italy fit]]-CIo,0)</f>
        <v>0</v>
      </c>
      <c r="Z98"/>
      <c r="AA98"/>
      <c r="AB98" s="70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 s="83"/>
      <c r="AV98" s="83"/>
      <c r="AW98"/>
      <c r="AX98" s="32"/>
      <c r="AY98" s="32"/>
      <c r="AZ98"/>
      <c r="BA98" s="99"/>
      <c r="BB98" s="86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</row>
    <row r="99" spans="2:375" x14ac:dyDescent="0.3">
      <c r="B99" s="9">
        <v>43922</v>
      </c>
      <c r="C99" s="4">
        <v>92</v>
      </c>
      <c r="D99" s="90">
        <v>104118</v>
      </c>
      <c r="E99" s="10">
        <f>Tabella8[[#This Row],[Spain cum. Cases]]*NOT(ISBLANK(Tabella8[[#This Row],[Spain cum. Cases]]))</f>
        <v>104118</v>
      </c>
      <c r="F99" s="146">
        <f>IFERROR(Kt*_xlfn.LOGNORM.DIST((Tabella8[[#This Row],[Day]]-Days_back),mu_t,sigma_t,TRUE),0)</f>
        <v>94358.507302191138</v>
      </c>
      <c r="G99" s="125">
        <f>Tabella8[[#This Row],[Spain cum. fit]]/Kt</f>
        <v>0.33699479438352864</v>
      </c>
      <c r="H99" s="324">
        <f>Tabella8[[#This Row],[Spain cum. fit]]*NOT(ISBLANK(Tabella8[[#This Row],[Spain cum. Cases]]))</f>
        <v>94358.507302191138</v>
      </c>
      <c r="I99" s="10">
        <f>Tabella8[[#This Row],[Spain cum. fit]]+CIt</f>
        <v>103064.68606483273</v>
      </c>
      <c r="J99" s="10">
        <f>MAX(Tabella8[[#This Row],[Spain cum. fit]]-CIt,0)</f>
        <v>85652.328539549548</v>
      </c>
      <c r="K99" s="74"/>
      <c r="L99" s="10">
        <f>Tabella8[[#This Row],[Lombardy]]*NOT(ISBLANK(Tabella8[[#This Row],[Lombardy]]))</f>
        <v>0</v>
      </c>
      <c r="M99" s="123">
        <f>IFERROR(Kr*_xlfn.LOGNORM.DIST((Tabella8[[#This Row],[Day]]-pr),mu_r,sigma_r,TRUE),0)</f>
        <v>42369.180367868961</v>
      </c>
      <c r="N99" s="123">
        <f>Tabella8[[#This Row],[Lombardy fit]]/Kr</f>
        <v>0.4870020731938961</v>
      </c>
      <c r="O99" s="10">
        <f>Tabella8[[#This Row],[Lombardy fit]]*NOT(ISBLANK(Tabella8[[#This Row],[Lombardy]]))</f>
        <v>0</v>
      </c>
      <c r="P99" s="10" t="e">
        <f>Tabella8[[#This Row],[Lombardy fit]]+CIr</f>
        <v>#NUM!</v>
      </c>
      <c r="Q99" s="10" t="e">
        <f>MAX(Tabella8[[#This Row],[Lombardy fit]]-CIr,0)</f>
        <v>#NUM!</v>
      </c>
      <c r="R99" s="10">
        <f>Tabella8[[#This Row],[Spain cum. Cases]]-Tabella8[[#This Row],[Lombardy]]</f>
        <v>104118</v>
      </c>
      <c r="S99" s="10">
        <f>Tabella8[[#This Row],[rest of Italy ]]*NOT(ISBLANK(Tabella8[[#This Row],[rest of Italy ]]))</f>
        <v>104118</v>
      </c>
      <c r="T99" s="124">
        <f>IFERROR(Ko*_xlfn.LOGNORM.DIST((Tabella8[[#This Row],[Day]]-po),mu_o,sigma_o,TRUE),0)</f>
        <v>64323.952463805501</v>
      </c>
      <c r="U99" s="124">
        <f>Tabella8[[#This Row],[rest of Italy fit]]/Ko</f>
        <v>0.43462135102604393</v>
      </c>
      <c r="V99" s="22">
        <f>Tabella8[[#This Row],[rest of Italy fit]]*NOT(ISBLANK(Tabella8[[#This Row],[rest of Italy ]]))</f>
        <v>64323.952463805501</v>
      </c>
      <c r="W99" s="10">
        <f>Tabella8[[#This Row],[rest of Italy fit]]+CIo</f>
        <v>168519.87936172774</v>
      </c>
      <c r="X99" s="10">
        <f>MAX(Tabella8[[#This Row],[rest of Italy fit]]-CIo,0)</f>
        <v>0</v>
      </c>
      <c r="Z99"/>
      <c r="AA99"/>
      <c r="AB99" s="70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 s="83"/>
      <c r="AV99" s="83"/>
      <c r="AW99"/>
      <c r="AX99" s="32"/>
      <c r="AY99" s="32"/>
      <c r="AZ99"/>
      <c r="BA99" s="99"/>
      <c r="BB99" s="86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</row>
    <row r="100" spans="2:375" x14ac:dyDescent="0.3">
      <c r="B100" s="9">
        <v>43923</v>
      </c>
      <c r="C100" s="4">
        <v>93</v>
      </c>
      <c r="D100" s="90">
        <v>112065</v>
      </c>
      <c r="E100" s="10">
        <f>Tabella8[[#This Row],[Spain cum. Cases]]*NOT(ISBLANK(Tabella8[[#This Row],[Spain cum. Cases]]))</f>
        <v>112065</v>
      </c>
      <c r="F100" s="146">
        <f>IFERROR(Kt*_xlfn.LOGNORM.DIST((Tabella8[[#This Row],[Day]]-Days_back),mu_t,sigma_t,TRUE),0)</f>
        <v>100984.27125386847</v>
      </c>
      <c r="G100" s="125">
        <f>Tabella8[[#This Row],[Spain cum. fit]]/Kt</f>
        <v>0.3606582458768679</v>
      </c>
      <c r="H100" s="324">
        <f>Tabella8[[#This Row],[Spain cum. fit]]*NOT(ISBLANK(Tabella8[[#This Row],[Spain cum. Cases]]))</f>
        <v>100984.27125386847</v>
      </c>
      <c r="I100" s="10">
        <f>Tabella8[[#This Row],[Spain cum. fit]]+CIt</f>
        <v>109690.45001651006</v>
      </c>
      <c r="J100" s="10">
        <f>MAX(Tabella8[[#This Row],[Spain cum. fit]]-CIt,0)</f>
        <v>92278.092491226882</v>
      </c>
      <c r="K100" s="74"/>
      <c r="L100" s="10">
        <f>Tabella8[[#This Row],[Lombardy]]*NOT(ISBLANK(Tabella8[[#This Row],[Lombardy]]))</f>
        <v>0</v>
      </c>
      <c r="M100" s="123">
        <f>IFERROR(Kr*_xlfn.LOGNORM.DIST((Tabella8[[#This Row],[Day]]-pr),mu_r,sigma_r,TRUE),0)</f>
        <v>44032.799164431563</v>
      </c>
      <c r="N100" s="123">
        <f>Tabella8[[#This Row],[Lombardy fit]]/Kr</f>
        <v>0.50612412832679954</v>
      </c>
      <c r="O100" s="10">
        <f>Tabella8[[#This Row],[Lombardy fit]]*NOT(ISBLANK(Tabella8[[#This Row],[Lombardy]]))</f>
        <v>0</v>
      </c>
      <c r="P100" s="10" t="e">
        <f>Tabella8[[#This Row],[Lombardy fit]]+CIr</f>
        <v>#NUM!</v>
      </c>
      <c r="Q100" s="10" t="e">
        <f>MAX(Tabella8[[#This Row],[Lombardy fit]]-CIr,0)</f>
        <v>#NUM!</v>
      </c>
      <c r="R100" s="10">
        <f>Tabella8[[#This Row],[Spain cum. Cases]]-Tabella8[[#This Row],[Lombardy]]</f>
        <v>112065</v>
      </c>
      <c r="S100" s="10">
        <f>Tabella8[[#This Row],[rest of Italy ]]*NOT(ISBLANK(Tabella8[[#This Row],[rest of Italy ]]))</f>
        <v>112065</v>
      </c>
      <c r="T100" s="124">
        <f>IFERROR(Ko*_xlfn.LOGNORM.DIST((Tabella8[[#This Row],[Day]]-po),mu_o,sigma_o,TRUE),0)</f>
        <v>67645.126002901379</v>
      </c>
      <c r="U100" s="124">
        <f>Tabella8[[#This Row],[rest of Italy fit]]/Ko</f>
        <v>0.45706171538900836</v>
      </c>
      <c r="V100" s="22">
        <f>Tabella8[[#This Row],[rest of Italy fit]]*NOT(ISBLANK(Tabella8[[#This Row],[rest of Italy ]]))</f>
        <v>67645.126002901379</v>
      </c>
      <c r="W100" s="10">
        <f>Tabella8[[#This Row],[rest of Italy fit]]+CIo</f>
        <v>171841.05290082365</v>
      </c>
      <c r="X100" s="10">
        <f>MAX(Tabella8[[#This Row],[rest of Italy fit]]-CIo,0)</f>
        <v>0</v>
      </c>
      <c r="Z100"/>
      <c r="AA100"/>
      <c r="AB100" s="7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 s="83"/>
      <c r="AV100" s="83"/>
      <c r="AW100"/>
      <c r="AX100" s="32"/>
      <c r="AY100" s="32"/>
      <c r="AZ100"/>
      <c r="BA100" s="99"/>
      <c r="BB100" s="86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</row>
    <row r="101" spans="2:375" x14ac:dyDescent="0.3">
      <c r="B101" s="9">
        <v>43924</v>
      </c>
      <c r="C101" s="4">
        <v>94</v>
      </c>
      <c r="D101" s="90">
        <v>119199</v>
      </c>
      <c r="E101" s="10">
        <f>Tabella8[[#This Row],[Spain cum. Cases]]*NOT(ISBLANK(Tabella8[[#This Row],[Spain cum. Cases]]))</f>
        <v>119199</v>
      </c>
      <c r="F101" s="146">
        <f>IFERROR(Kt*_xlfn.LOGNORM.DIST((Tabella8[[#This Row],[Day]]-Days_back),mu_t,sigma_t,TRUE),0)</f>
        <v>107647.21868857004</v>
      </c>
      <c r="G101" s="125">
        <f>Tabella8[[#This Row],[Spain cum. fit]]/Kt</f>
        <v>0.38445449557329958</v>
      </c>
      <c r="H101" s="324">
        <f>Tabella8[[#This Row],[Spain cum. fit]]*NOT(ISBLANK(Tabella8[[#This Row],[Spain cum. Cases]]))</f>
        <v>107647.21868857004</v>
      </c>
      <c r="I101" s="10">
        <f>Tabella8[[#This Row],[Spain cum. fit]]+CIt</f>
        <v>116353.39745121163</v>
      </c>
      <c r="J101" s="10">
        <f>MAX(Tabella8[[#This Row],[Spain cum. fit]]-CIt,0)</f>
        <v>98941.039925928446</v>
      </c>
      <c r="K101" s="74"/>
      <c r="L101" s="10">
        <f>Tabella8[[#This Row],[Lombardy]]*NOT(ISBLANK(Tabella8[[#This Row],[Lombardy]]))</f>
        <v>0</v>
      </c>
      <c r="M101" s="123">
        <f>IFERROR(Kr*_xlfn.LOGNORM.DIST((Tabella8[[#This Row],[Day]]-pr),mu_r,sigma_r,TRUE),0)</f>
        <v>45668.529572397463</v>
      </c>
      <c r="N101" s="123">
        <f>Tabella8[[#This Row],[Lombardy fit]]/Kr</f>
        <v>0.52492562726893632</v>
      </c>
      <c r="O101" s="10">
        <f>Tabella8[[#This Row],[Lombardy fit]]*NOT(ISBLANK(Tabella8[[#This Row],[Lombardy]]))</f>
        <v>0</v>
      </c>
      <c r="P101" s="10" t="e">
        <f>Tabella8[[#This Row],[Lombardy fit]]+CIr</f>
        <v>#NUM!</v>
      </c>
      <c r="Q101" s="10" t="e">
        <f>MAX(Tabella8[[#This Row],[Lombardy fit]]-CIr,0)</f>
        <v>#NUM!</v>
      </c>
      <c r="R101" s="10">
        <f>Tabella8[[#This Row],[Spain cum. Cases]]-Tabella8[[#This Row],[Lombardy]]</f>
        <v>119199</v>
      </c>
      <c r="S101" s="10">
        <f>Tabella8[[#This Row],[rest of Italy ]]*NOT(ISBLANK(Tabella8[[#This Row],[rest of Italy ]]))</f>
        <v>119199</v>
      </c>
      <c r="T101" s="124">
        <f>IFERROR(Ko*_xlfn.LOGNORM.DIST((Tabella8[[#This Row],[Day]]-po),mu_o,sigma_o,TRUE),0)</f>
        <v>70926.668664974175</v>
      </c>
      <c r="U101" s="124">
        <f>Tabella8[[#This Row],[rest of Italy fit]]/Ko</f>
        <v>0.47923430352469865</v>
      </c>
      <c r="V101" s="22">
        <f>Tabella8[[#This Row],[rest of Italy fit]]*NOT(ISBLANK(Tabella8[[#This Row],[rest of Italy ]]))</f>
        <v>70926.668664974175</v>
      </c>
      <c r="W101" s="10">
        <f>Tabella8[[#This Row],[rest of Italy fit]]+CIo</f>
        <v>175122.59556289643</v>
      </c>
      <c r="X101" s="10">
        <f>MAX(Tabella8[[#This Row],[rest of Italy fit]]-CIo,0)</f>
        <v>0</v>
      </c>
      <c r="Z101"/>
      <c r="AA101"/>
      <c r="AB101" s="70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 s="83"/>
      <c r="AV101" s="83"/>
      <c r="AW101"/>
      <c r="AX101" s="32"/>
      <c r="AY101" s="32"/>
      <c r="AZ101"/>
      <c r="BA101" s="99"/>
      <c r="BB101" s="86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</row>
    <row r="102" spans="2:375" x14ac:dyDescent="0.3">
      <c r="B102" s="9">
        <v>43925</v>
      </c>
      <c r="C102" s="4">
        <v>95</v>
      </c>
      <c r="D102" s="90">
        <v>126168</v>
      </c>
      <c r="E102" s="10">
        <f>Tabella8[[#This Row],[Spain cum. Cases]]*NOT(ISBLANK(Tabella8[[#This Row],[Spain cum. Cases]]))</f>
        <v>126168</v>
      </c>
      <c r="F102" s="146">
        <f>IFERROR(Kt*_xlfn.LOGNORM.DIST((Tabella8[[#This Row],[Day]]-Days_back),mu_t,sigma_t,TRUE),0)</f>
        <v>114320.70344422456</v>
      </c>
      <c r="G102" s="125">
        <f>Tabella8[[#This Row],[Spain cum. fit]]/Kt</f>
        <v>0.4082883785728581</v>
      </c>
      <c r="H102" s="324">
        <f>Tabella8[[#This Row],[Spain cum. fit]]*NOT(ISBLANK(Tabella8[[#This Row],[Spain cum. Cases]]))</f>
        <v>114320.70344422456</v>
      </c>
      <c r="I102" s="10">
        <f>Tabella8[[#This Row],[Spain cum. fit]]+CIt</f>
        <v>123026.88220686615</v>
      </c>
      <c r="J102" s="10">
        <f>MAX(Tabella8[[#This Row],[Spain cum. fit]]-CIt,0)</f>
        <v>105614.52468158297</v>
      </c>
      <c r="K102" s="74"/>
      <c r="L102" s="10">
        <f>Tabella8[[#This Row],[Lombardy]]*NOT(ISBLANK(Tabella8[[#This Row],[Lombardy]]))</f>
        <v>0</v>
      </c>
      <c r="M102" s="123">
        <f>IFERROR(Kr*_xlfn.LOGNORM.DIST((Tabella8[[#This Row],[Day]]-pr),mu_r,sigma_r,TRUE),0)</f>
        <v>47273.725307568522</v>
      </c>
      <c r="N102" s="123">
        <f>Tabella8[[#This Row],[Lombardy fit]]/Kr</f>
        <v>0.54337615296055775</v>
      </c>
      <c r="O102" s="10">
        <f>Tabella8[[#This Row],[Lombardy fit]]*NOT(ISBLANK(Tabella8[[#This Row],[Lombardy]]))</f>
        <v>0</v>
      </c>
      <c r="P102" s="10" t="e">
        <f>Tabella8[[#This Row],[Lombardy fit]]+CIr</f>
        <v>#NUM!</v>
      </c>
      <c r="Q102" s="10" t="e">
        <f>MAX(Tabella8[[#This Row],[Lombardy fit]]-CIr,0)</f>
        <v>#NUM!</v>
      </c>
      <c r="R102" s="10">
        <f>Tabella8[[#This Row],[Spain cum. Cases]]-Tabella8[[#This Row],[Lombardy]]</f>
        <v>126168</v>
      </c>
      <c r="S102" s="10">
        <f>Tabella8[[#This Row],[rest of Italy ]]*NOT(ISBLANK(Tabella8[[#This Row],[rest of Italy ]]))</f>
        <v>126168</v>
      </c>
      <c r="T102" s="124">
        <f>IFERROR(Ko*_xlfn.LOGNORM.DIST((Tabella8[[#This Row],[Day]]-po),mu_o,sigma_o,TRUE),0)</f>
        <v>74159.765417855233</v>
      </c>
      <c r="U102" s="124">
        <f>Tabella8[[#This Row],[rest of Italy fit]]/Ko</f>
        <v>0.50107955439801466</v>
      </c>
      <c r="V102" s="22">
        <f>Tabella8[[#This Row],[rest of Italy fit]]*NOT(ISBLANK(Tabella8[[#This Row],[rest of Italy ]]))</f>
        <v>74159.765417855233</v>
      </c>
      <c r="W102" s="10">
        <f>Tabella8[[#This Row],[rest of Italy fit]]+CIo</f>
        <v>178355.69231577747</v>
      </c>
      <c r="X102" s="10">
        <f>MAX(Tabella8[[#This Row],[rest of Italy fit]]-CIo,0)</f>
        <v>0</v>
      </c>
      <c r="Z102"/>
      <c r="AA102"/>
      <c r="AB102" s="70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 s="83"/>
      <c r="AV102" s="83"/>
      <c r="AW102"/>
      <c r="AX102" s="32"/>
      <c r="AY102" s="32"/>
      <c r="AZ102"/>
      <c r="BA102" s="99"/>
      <c r="BB102" s="86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</row>
    <row r="103" spans="2:375" x14ac:dyDescent="0.3">
      <c r="B103" s="9">
        <v>43926</v>
      </c>
      <c r="C103" s="4">
        <v>96</v>
      </c>
      <c r="D103" s="90">
        <v>131646</v>
      </c>
      <c r="E103" s="10">
        <f>Tabella8[[#This Row],[Spain cum. Cases]]*NOT(ISBLANK(Tabella8[[#This Row],[Spain cum. Cases]]))</f>
        <v>131646</v>
      </c>
      <c r="F103" s="146">
        <f>IFERROR(Kt*_xlfn.LOGNORM.DIST((Tabella8[[#This Row],[Day]]-Days_back),mu_t,sigma_t,TRUE),0)</f>
        <v>120979.26042532903</v>
      </c>
      <c r="G103" s="125">
        <f>Tabella8[[#This Row],[Spain cum. fit]]/Kt</f>
        <v>0.43206894807203461</v>
      </c>
      <c r="H103" s="324">
        <f>Tabella8[[#This Row],[Spain cum. fit]]*NOT(ISBLANK(Tabella8[[#This Row],[Spain cum. Cases]]))</f>
        <v>120979.26042532903</v>
      </c>
      <c r="I103" s="10">
        <f>Tabella8[[#This Row],[Spain cum. fit]]+CIt</f>
        <v>129685.43918797062</v>
      </c>
      <c r="J103" s="10">
        <f>MAX(Tabella8[[#This Row],[Spain cum. fit]]-CIt,0)</f>
        <v>112273.08166268744</v>
      </c>
      <c r="K103" s="74"/>
      <c r="L103" s="10">
        <f>Tabella8[[#This Row],[Lombardy]]*NOT(ISBLANK(Tabella8[[#This Row],[Lombardy]]))</f>
        <v>0</v>
      </c>
      <c r="M103" s="123">
        <f>IFERROR(Kr*_xlfn.LOGNORM.DIST((Tabella8[[#This Row],[Day]]-pr),mu_r,sigma_r,TRUE),0)</f>
        <v>48846.056127844786</v>
      </c>
      <c r="N103" s="123">
        <f>Tabella8[[#This Row],[Lombardy fit]]/Kr</f>
        <v>0.56144892100971022</v>
      </c>
      <c r="O103" s="10">
        <f>Tabella8[[#This Row],[Lombardy fit]]*NOT(ISBLANK(Tabella8[[#This Row],[Lombardy]]))</f>
        <v>0</v>
      </c>
      <c r="P103" s="10" t="e">
        <f>Tabella8[[#This Row],[Lombardy fit]]+CIr</f>
        <v>#NUM!</v>
      </c>
      <c r="Q103" s="10" t="e">
        <f>MAX(Tabella8[[#This Row],[Lombardy fit]]-CIr,0)</f>
        <v>#NUM!</v>
      </c>
      <c r="R103" s="10">
        <f>Tabella8[[#This Row],[Spain cum. Cases]]-Tabella8[[#This Row],[Lombardy]]</f>
        <v>131646</v>
      </c>
      <c r="S103" s="10">
        <f>Tabella8[[#This Row],[rest of Italy ]]*NOT(ISBLANK(Tabella8[[#This Row],[rest of Italy ]]))</f>
        <v>131646</v>
      </c>
      <c r="T103" s="124">
        <f>IFERROR(Ko*_xlfn.LOGNORM.DIST((Tabella8[[#This Row],[Day]]-po),mu_o,sigma_o,TRUE),0)</f>
        <v>77336.494296891717</v>
      </c>
      <c r="U103" s="124">
        <f>Tabella8[[#This Row],[rest of Italy fit]]/Ko</f>
        <v>0.52254394121453029</v>
      </c>
      <c r="V103" s="22">
        <f>Tabella8[[#This Row],[rest of Italy fit]]*NOT(ISBLANK(Tabella8[[#This Row],[rest of Italy ]]))</f>
        <v>77336.494296891717</v>
      </c>
      <c r="W103" s="10">
        <f>Tabella8[[#This Row],[rest of Italy fit]]+CIo</f>
        <v>181532.42119481397</v>
      </c>
      <c r="X103" s="10">
        <f>MAX(Tabella8[[#This Row],[rest of Italy fit]]-CIo,0)</f>
        <v>0</v>
      </c>
      <c r="Z103"/>
      <c r="AA103"/>
      <c r="AB103" s="70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 s="83"/>
      <c r="AV103" s="83"/>
      <c r="AW103"/>
      <c r="AX103" s="32"/>
      <c r="AY103" s="32"/>
      <c r="AZ103"/>
      <c r="BA103" s="99"/>
      <c r="BB103" s="86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</row>
    <row r="104" spans="2:375" x14ac:dyDescent="0.3">
      <c r="B104" s="9">
        <v>43927</v>
      </c>
      <c r="C104" s="4">
        <v>97</v>
      </c>
      <c r="D104" s="90">
        <v>136675</v>
      </c>
      <c r="E104" s="10">
        <f>Tabella8[[#This Row],[Spain cum. Cases]]*NOT(ISBLANK(Tabella8[[#This Row],[Spain cum. Cases]]))</f>
        <v>136675</v>
      </c>
      <c r="F104" s="146">
        <f>IFERROR(Kt*_xlfn.LOGNORM.DIST((Tabella8[[#This Row],[Day]]-Days_back),mu_t,sigma_t,TRUE),0)</f>
        <v>127598.81845311921</v>
      </c>
      <c r="G104" s="125">
        <f>Tabella8[[#This Row],[Spain cum. fit]]/Kt</f>
        <v>0.45571023554324058</v>
      </c>
      <c r="H104" s="324">
        <f>Tabella8[[#This Row],[Spain cum. fit]]*NOT(ISBLANK(Tabella8[[#This Row],[Spain cum. Cases]]))</f>
        <v>127598.81845311921</v>
      </c>
      <c r="I104" s="10">
        <f>Tabella8[[#This Row],[Spain cum. fit]]+CIt</f>
        <v>136304.99721576078</v>
      </c>
      <c r="J104" s="10">
        <f>MAX(Tabella8[[#This Row],[Spain cum. fit]]-CIt,0)</f>
        <v>118892.63969047762</v>
      </c>
      <c r="K104" s="74"/>
      <c r="L104" s="10">
        <f>Tabella8[[#This Row],[Lombardy]]*NOT(ISBLANK(Tabella8[[#This Row],[Lombardy]]))</f>
        <v>0</v>
      </c>
      <c r="M104" s="123">
        <f>IFERROR(Kr*_xlfn.LOGNORM.DIST((Tabella8[[#This Row],[Day]]-pr),mu_r,sigma_r,TRUE),0)</f>
        <v>50383.497090705459</v>
      </c>
      <c r="N104" s="123">
        <f>Tabella8[[#This Row],[Lombardy fit]]/Kr</f>
        <v>0.5791206562150053</v>
      </c>
      <c r="O104" s="10">
        <f>Tabella8[[#This Row],[Lombardy fit]]*NOT(ISBLANK(Tabella8[[#This Row],[Lombardy]]))</f>
        <v>0</v>
      </c>
      <c r="P104" s="10" t="e">
        <f>Tabella8[[#This Row],[Lombardy fit]]+CIr</f>
        <v>#NUM!</v>
      </c>
      <c r="Q104" s="10" t="e">
        <f>MAX(Tabella8[[#This Row],[Lombardy fit]]-CIr,0)</f>
        <v>#NUM!</v>
      </c>
      <c r="R104" s="10">
        <f>Tabella8[[#This Row],[Spain cum. Cases]]-Tabella8[[#This Row],[Lombardy]]</f>
        <v>136675</v>
      </c>
      <c r="S104" s="10">
        <f>Tabella8[[#This Row],[rest of Italy ]]*NOT(ISBLANK(Tabella8[[#This Row],[rest of Italy ]]))</f>
        <v>136675</v>
      </c>
      <c r="T104" s="124">
        <f>IFERROR(Ko*_xlfn.LOGNORM.DIST((Tabella8[[#This Row],[Day]]-po),mu_o,sigma_o,TRUE),0)</f>
        <v>80449.821956939806</v>
      </c>
      <c r="U104" s="124">
        <f>Tabella8[[#This Row],[rest of Italy fit]]/Ko</f>
        <v>0.54357994136639032</v>
      </c>
      <c r="V104" s="22">
        <f>Tabella8[[#This Row],[rest of Italy fit]]*NOT(ISBLANK(Tabella8[[#This Row],[rest of Italy ]]))</f>
        <v>80449.821956939806</v>
      </c>
      <c r="W104" s="10">
        <f>Tabella8[[#This Row],[rest of Italy fit]]+CIo</f>
        <v>184645.74885486206</v>
      </c>
      <c r="X104" s="10">
        <f>MAX(Tabella8[[#This Row],[rest of Italy fit]]-CIo,0)</f>
        <v>0</v>
      </c>
      <c r="Z104"/>
      <c r="AA104"/>
      <c r="AB104" s="70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 s="83"/>
      <c r="AV104" s="83"/>
      <c r="AW104"/>
      <c r="AX104" s="32"/>
      <c r="AY104" s="32"/>
      <c r="AZ104"/>
      <c r="BA104" s="99"/>
      <c r="BB104" s="86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</row>
    <row r="105" spans="2:375" x14ac:dyDescent="0.3">
      <c r="B105" s="9">
        <v>43928</v>
      </c>
      <c r="C105" s="4">
        <v>98</v>
      </c>
      <c r="D105" s="90">
        <v>141942</v>
      </c>
      <c r="E105" s="10">
        <f>Tabella8[[#This Row],[Spain cum. Cases]]*NOT(ISBLANK(Tabella8[[#This Row],[Spain cum. Cases]]))</f>
        <v>141942</v>
      </c>
      <c r="F105" s="146">
        <f>IFERROR(Kt*_xlfn.LOGNORM.DIST((Tabella8[[#This Row],[Day]]-Days_back),mu_t,sigma_t,TRUE),0)</f>
        <v>134156.87077949292</v>
      </c>
      <c r="G105" s="125">
        <f>Tabella8[[#This Row],[Spain cum. fit]]/Kt</f>
        <v>0.47913185971333183</v>
      </c>
      <c r="H105" s="324">
        <f>Tabella8[[#This Row],[Spain cum. fit]]*NOT(ISBLANK(Tabella8[[#This Row],[Spain cum. Cases]]))</f>
        <v>134156.87077949292</v>
      </c>
      <c r="I105" s="10">
        <f>Tabella8[[#This Row],[Spain cum. fit]]+CIt</f>
        <v>142863.04954213451</v>
      </c>
      <c r="J105" s="10">
        <f>MAX(Tabella8[[#This Row],[Spain cum. fit]]-CIt,0)</f>
        <v>125450.69201685133</v>
      </c>
      <c r="K105" s="74"/>
      <c r="L105" s="10">
        <f>Tabella8[[#This Row],[Lombardy]]*NOT(ISBLANK(Tabella8[[#This Row],[Lombardy]]))</f>
        <v>0</v>
      </c>
      <c r="M105" s="123">
        <f>IFERROR(Kr*_xlfn.LOGNORM.DIST((Tabella8[[#This Row],[Day]]-pr),mu_r,sigma_r,TRUE),0)</f>
        <v>51884.31597367175</v>
      </c>
      <c r="N105" s="123">
        <f>Tabella8[[#This Row],[Lombardy fit]]/Kr</f>
        <v>0.59637144797323849</v>
      </c>
      <c r="O105" s="10">
        <f>Tabella8[[#This Row],[Lombardy fit]]*NOT(ISBLANK(Tabella8[[#This Row],[Lombardy]]))</f>
        <v>0</v>
      </c>
      <c r="P105" s="10" t="e">
        <f>Tabella8[[#This Row],[Lombardy fit]]+CIr</f>
        <v>#NUM!</v>
      </c>
      <c r="Q105" s="10" t="e">
        <f>MAX(Tabella8[[#This Row],[Lombardy fit]]-CIr,0)</f>
        <v>#NUM!</v>
      </c>
      <c r="R105" s="10">
        <f>Tabella8[[#This Row],[Spain cum. Cases]]-Tabella8[[#This Row],[Lombardy]]</f>
        <v>141942</v>
      </c>
      <c r="S105" s="10">
        <f>Tabella8[[#This Row],[rest of Italy ]]*NOT(ISBLANK(Tabella8[[#This Row],[rest of Italy ]]))</f>
        <v>141942</v>
      </c>
      <c r="T105" s="124">
        <f>IFERROR(Ko*_xlfn.LOGNORM.DIST((Tabella8[[#This Row],[Day]]-po),mu_o,sigma_o,TRUE),0)</f>
        <v>83493.588033471126</v>
      </c>
      <c r="U105" s="124">
        <f>Tabella8[[#This Row],[rest of Italy fit]]/Ko</f>
        <v>0.56414593076409814</v>
      </c>
      <c r="V105" s="22">
        <f>Tabella8[[#This Row],[rest of Italy fit]]*NOT(ISBLANK(Tabella8[[#This Row],[rest of Italy ]]))</f>
        <v>83493.588033471126</v>
      </c>
      <c r="W105" s="10">
        <f>Tabella8[[#This Row],[rest of Italy fit]]+CIo</f>
        <v>187689.51493139338</v>
      </c>
      <c r="X105" s="10">
        <f>MAX(Tabella8[[#This Row],[rest of Italy fit]]-CIo,0)</f>
        <v>0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 s="83"/>
      <c r="AV105" s="83"/>
      <c r="AW105"/>
      <c r="AX105" s="32"/>
      <c r="AY105" s="32"/>
      <c r="AZ105"/>
      <c r="BA105" s="99"/>
      <c r="BB105" s="86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</row>
    <row r="106" spans="2:375" x14ac:dyDescent="0.3">
      <c r="B106" s="9">
        <v>43929</v>
      </c>
      <c r="C106" s="4">
        <v>99</v>
      </c>
      <c r="D106" s="90">
        <v>148220</v>
      </c>
      <c r="E106" s="10">
        <f>Tabella8[[#This Row],[Spain cum. Cases]]*NOT(ISBLANK(Tabella8[[#This Row],[Spain cum. Cases]]))</f>
        <v>148220</v>
      </c>
      <c r="F106" s="146">
        <f>IFERROR(Kt*_xlfn.LOGNORM.DIST((Tabella8[[#This Row],[Day]]-Days_back),mu_t,sigma_t,TRUE),0)</f>
        <v>140632.60496872157</v>
      </c>
      <c r="G106" s="125">
        <f>Tabella8[[#This Row],[Spain cum. fit]]/Kt</f>
        <v>0.50225949042703666</v>
      </c>
      <c r="H106" s="324">
        <f>Tabella8[[#This Row],[Spain cum. fit]]*NOT(ISBLANK(Tabella8[[#This Row],[Spain cum. Cases]]))</f>
        <v>140632.60496872157</v>
      </c>
      <c r="I106" s="10">
        <f>Tabella8[[#This Row],[Spain cum. fit]]+CIt</f>
        <v>149338.78373136316</v>
      </c>
      <c r="J106" s="10">
        <f>MAX(Tabella8[[#This Row],[Spain cum. fit]]-CIt,0)</f>
        <v>131926.42620607998</v>
      </c>
      <c r="K106" s="74"/>
      <c r="L106" s="10">
        <f>Tabella8[[#This Row],[Lombardy]]*NOT(ISBLANK(Tabella8[[#This Row],[Lombardy]]))</f>
        <v>0</v>
      </c>
      <c r="M106" s="123">
        <f>IFERROR(Kr*_xlfn.LOGNORM.DIST((Tabella8[[#This Row],[Day]]-pr),mu_r,sigma_r,TRUE),0)</f>
        <v>53347.059256157372</v>
      </c>
      <c r="N106" s="123">
        <f>Tabella8[[#This Row],[Lombardy fit]]/Kr</f>
        <v>0.61318458915123419</v>
      </c>
      <c r="O106" s="10">
        <f>Tabella8[[#This Row],[Lombardy fit]]*NOT(ISBLANK(Tabella8[[#This Row],[Lombardy]]))</f>
        <v>0</v>
      </c>
      <c r="P106" s="10" t="e">
        <f>Tabella8[[#This Row],[Lombardy fit]]+CIr</f>
        <v>#NUM!</v>
      </c>
      <c r="Q106" s="10" t="e">
        <f>MAX(Tabella8[[#This Row],[Lombardy fit]]-CIr,0)</f>
        <v>#NUM!</v>
      </c>
      <c r="R106" s="10">
        <f>Tabella8[[#This Row],[Spain cum. Cases]]-Tabella8[[#This Row],[Lombardy]]</f>
        <v>148220</v>
      </c>
      <c r="S106" s="10">
        <f>Tabella8[[#This Row],[rest of Italy ]]*NOT(ISBLANK(Tabella8[[#This Row],[rest of Italy ]]))</f>
        <v>148220</v>
      </c>
      <c r="T106" s="124">
        <f>IFERROR(Ko*_xlfn.LOGNORM.DIST((Tabella8[[#This Row],[Day]]-po),mu_o,sigma_o,TRUE),0)</f>
        <v>86462.480134613143</v>
      </c>
      <c r="U106" s="124">
        <f>Tabella8[[#This Row],[rest of Italy fit]]/Ko</f>
        <v>0.58420601486379575</v>
      </c>
      <c r="V106" s="22">
        <f>Tabella8[[#This Row],[rest of Italy fit]]*NOT(ISBLANK(Tabella8[[#This Row],[rest of Italy ]]))</f>
        <v>86462.480134613143</v>
      </c>
      <c r="W106" s="10">
        <f>Tabella8[[#This Row],[rest of Italy fit]]+CIo</f>
        <v>190658.40703253541</v>
      </c>
      <c r="X106" s="10">
        <f>MAX(Tabella8[[#This Row],[rest of Italy fit]]-CIo,0)</f>
        <v>0</v>
      </c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 s="83"/>
      <c r="AV106" s="83"/>
      <c r="AW106"/>
      <c r="AX106" s="32"/>
      <c r="AY106" s="32"/>
      <c r="AZ106"/>
      <c r="BA106" s="99"/>
      <c r="BB106" s="8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</row>
    <row r="107" spans="2:375" x14ac:dyDescent="0.3">
      <c r="B107" s="9">
        <v>43930</v>
      </c>
      <c r="C107" s="4">
        <v>100</v>
      </c>
      <c r="D107" s="90">
        <v>153222</v>
      </c>
      <c r="E107" s="10">
        <f>Tabella8[[#This Row],[Spain cum. Cases]]*NOT(ISBLANK(Tabella8[[#This Row],[Spain cum. Cases]]))</f>
        <v>153222</v>
      </c>
      <c r="F107" s="146">
        <f>IFERROR(Kt*_xlfn.LOGNORM.DIST((Tabella8[[#This Row],[Day]]-Days_back),mu_t,sigma_t,TRUE),0)</f>
        <v>147006.99457020764</v>
      </c>
      <c r="G107" s="125">
        <f>Tabella8[[#This Row],[Spain cum. fit]]/Kt</f>
        <v>0.52502517604978294</v>
      </c>
      <c r="H107" s="324">
        <f>Tabella8[[#This Row],[Spain cum. fit]]*NOT(ISBLANK(Tabella8[[#This Row],[Spain cum. Cases]]))</f>
        <v>147006.99457020764</v>
      </c>
      <c r="I107" s="10">
        <f>Tabella8[[#This Row],[Spain cum. fit]]+CIt</f>
        <v>155713.17333284923</v>
      </c>
      <c r="J107" s="10">
        <f>MAX(Tabella8[[#This Row],[Spain cum. fit]]-CIt,0)</f>
        <v>138300.81580756605</v>
      </c>
      <c r="K107" s="74"/>
      <c r="L107" s="10">
        <f>Tabella8[[#This Row],[Lombardy]]*NOT(ISBLANK(Tabella8[[#This Row],[Lombardy]]))</f>
        <v>0</v>
      </c>
      <c r="M107" s="123">
        <f>IFERROR(Kr*_xlfn.LOGNORM.DIST((Tabella8[[#This Row],[Day]]-pr),mu_r,sigma_r,TRUE),0)</f>
        <v>54770.537022930162</v>
      </c>
      <c r="N107" s="123">
        <f>Tabella8[[#This Row],[Lombardy fit]]/Kr</f>
        <v>0.62954640256241567</v>
      </c>
      <c r="O107" s="10">
        <f>Tabella8[[#This Row],[Lombardy fit]]*NOT(ISBLANK(Tabella8[[#This Row],[Lombardy]]))</f>
        <v>0</v>
      </c>
      <c r="P107" s="10" t="e">
        <f>Tabella8[[#This Row],[Lombardy fit]]+CIr</f>
        <v>#NUM!</v>
      </c>
      <c r="Q107" s="10" t="e">
        <f>MAX(Tabella8[[#This Row],[Lombardy fit]]-CIr,0)</f>
        <v>#NUM!</v>
      </c>
      <c r="R107" s="10">
        <f>Tabella8[[#This Row],[Spain cum. Cases]]-Tabella8[[#This Row],[Lombardy]]</f>
        <v>153222</v>
      </c>
      <c r="S107" s="10">
        <f>Tabella8[[#This Row],[rest of Italy ]]*NOT(ISBLANK(Tabella8[[#This Row],[rest of Italy ]]))</f>
        <v>153222</v>
      </c>
      <c r="T107" s="124">
        <f>IFERROR(Ko*_xlfn.LOGNORM.DIST((Tabella8[[#This Row],[Day]]-po),mu_o,sigma_o,TRUE),0)</f>
        <v>89352.001180257022</v>
      </c>
      <c r="U107" s="124">
        <f>Tabella8[[#This Row],[rest of Italy fit]]/Ko</f>
        <v>0.60372980798553511</v>
      </c>
      <c r="V107" s="22">
        <f>Tabella8[[#This Row],[rest of Italy fit]]*NOT(ISBLANK(Tabella8[[#This Row],[rest of Italy ]]))</f>
        <v>89352.001180257022</v>
      </c>
      <c r="W107" s="10">
        <f>Tabella8[[#This Row],[rest of Italy fit]]+CIo</f>
        <v>193547.92807817928</v>
      </c>
      <c r="X107" s="10">
        <f>MAX(Tabella8[[#This Row],[rest of Italy fit]]-CIo,0)</f>
        <v>0</v>
      </c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 s="83"/>
      <c r="AV107" s="83"/>
      <c r="AW107"/>
      <c r="AX107" s="32"/>
      <c r="AY107" s="32"/>
      <c r="AZ107"/>
      <c r="BA107" s="99"/>
      <c r="BB107" s="86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</row>
    <row r="108" spans="2:375" x14ac:dyDescent="0.3">
      <c r="B108" s="9">
        <v>43931</v>
      </c>
      <c r="C108" s="4">
        <v>101</v>
      </c>
      <c r="D108" s="90">
        <v>158273</v>
      </c>
      <c r="E108" s="10">
        <f>Tabella8[[#This Row],[Spain cum. Cases]]*NOT(ISBLANK(Tabella8[[#This Row],[Spain cum. Cases]]))</f>
        <v>158273</v>
      </c>
      <c r="F108" s="146">
        <f>IFERROR(Kt*_xlfn.LOGNORM.DIST((Tabella8[[#This Row],[Day]]-Days_back),mu_t,sigma_t,TRUE),0)</f>
        <v>153262.85554059967</v>
      </c>
      <c r="G108" s="125">
        <f>Tabella8[[#This Row],[Spain cum. fit]]/Kt</f>
        <v>0.54736754497532714</v>
      </c>
      <c r="H108" s="324">
        <f>Tabella8[[#This Row],[Spain cum. fit]]*NOT(ISBLANK(Tabella8[[#This Row],[Spain cum. Cases]]))</f>
        <v>153262.85554059967</v>
      </c>
      <c r="I108" s="10">
        <f>Tabella8[[#This Row],[Spain cum. fit]]+CIt</f>
        <v>161969.03430324126</v>
      </c>
      <c r="J108" s="10">
        <f>MAX(Tabella8[[#This Row],[Spain cum. fit]]-CIt,0)</f>
        <v>144556.67677795808</v>
      </c>
      <c r="K108" s="74"/>
      <c r="L108" s="10">
        <f>Tabella8[[#This Row],[Lombardy]]*NOT(ISBLANK(Tabella8[[#This Row],[Lombardy]]))</f>
        <v>0</v>
      </c>
      <c r="M108" s="123">
        <f>IFERROR(Kr*_xlfn.LOGNORM.DIST((Tabella8[[#This Row],[Day]]-pr),mu_r,sigma_r,TRUE),0)</f>
        <v>56153.80711118412</v>
      </c>
      <c r="N108" s="123">
        <f>Tabella8[[#This Row],[Lombardy fit]]/Kr</f>
        <v>0.64544605874924277</v>
      </c>
      <c r="O108" s="10">
        <f>Tabella8[[#This Row],[Lombardy fit]]*NOT(ISBLANK(Tabella8[[#This Row],[Lombardy]]))</f>
        <v>0</v>
      </c>
      <c r="P108" s="10" t="e">
        <f>Tabella8[[#This Row],[Lombardy fit]]+CIr</f>
        <v>#NUM!</v>
      </c>
      <c r="Q108" s="10" t="e">
        <f>MAX(Tabella8[[#This Row],[Lombardy fit]]-CIr,0)</f>
        <v>#NUM!</v>
      </c>
      <c r="R108" s="10">
        <f>Tabella8[[#This Row],[Spain cum. Cases]]-Tabella8[[#This Row],[Lombardy]]</f>
        <v>158273</v>
      </c>
      <c r="S108" s="10">
        <f>Tabella8[[#This Row],[rest of Italy ]]*NOT(ISBLANK(Tabella8[[#This Row],[rest of Italy ]]))</f>
        <v>158273</v>
      </c>
      <c r="T108" s="124">
        <f>IFERROR(Ko*_xlfn.LOGNORM.DIST((Tabella8[[#This Row],[Day]]-po),mu_o,sigma_o,TRUE),0)</f>
        <v>92158.430677105629</v>
      </c>
      <c r="U108" s="124">
        <f>Tabella8[[#This Row],[rest of Italy fit]]/Ko</f>
        <v>0.62269217165816571</v>
      </c>
      <c r="V108" s="22">
        <f>Tabella8[[#This Row],[rest of Italy fit]]*NOT(ISBLANK(Tabella8[[#This Row],[rest of Italy ]]))</f>
        <v>92158.430677105629</v>
      </c>
      <c r="W108" s="10">
        <f>Tabella8[[#This Row],[rest of Italy fit]]+CIo</f>
        <v>196354.35757502788</v>
      </c>
      <c r="X108" s="10">
        <f>MAX(Tabella8[[#This Row],[rest of Italy fit]]-CIo,0)</f>
        <v>0</v>
      </c>
      <c r="Z108"/>
      <c r="AA108"/>
      <c r="AX108" s="32"/>
      <c r="AY108" s="32"/>
      <c r="BA108" s="86"/>
      <c r="BB108" s="86"/>
      <c r="BD108" s="2"/>
      <c r="BE108" s="2"/>
    </row>
    <row r="109" spans="2:375" x14ac:dyDescent="0.3">
      <c r="B109" s="9">
        <v>43932</v>
      </c>
      <c r="C109" s="4">
        <v>102</v>
      </c>
      <c r="D109" s="90">
        <v>163027</v>
      </c>
      <c r="E109" s="10">
        <f>Tabella8[[#This Row],[Spain cum. Cases]]*NOT(ISBLANK(Tabella8[[#This Row],[Spain cum. Cases]]))</f>
        <v>163027</v>
      </c>
      <c r="F109" s="146">
        <f>IFERROR(Kt*_xlfn.LOGNORM.DIST((Tabella8[[#This Row],[Day]]-Days_back),mu_t,sigma_t,TRUE),0)</f>
        <v>159384.87074131594</v>
      </c>
      <c r="G109" s="125">
        <f>Tabella8[[#This Row],[Spain cum. fit]]/Kt</f>
        <v>0.569231893116942</v>
      </c>
      <c r="H109" s="324">
        <f>Tabella8[[#This Row],[Spain cum. fit]]*NOT(ISBLANK(Tabella8[[#This Row],[Spain cum. Cases]]))</f>
        <v>159384.87074131594</v>
      </c>
      <c r="I109" s="10">
        <f>Tabella8[[#This Row],[Spain cum. fit]]+CIt</f>
        <v>168091.04950395753</v>
      </c>
      <c r="J109" s="10">
        <f>MAX(Tabella8[[#This Row],[Spain cum. fit]]-CIt,0)</f>
        <v>150678.69197867435</v>
      </c>
      <c r="K109" s="74"/>
      <c r="L109" s="10">
        <f>Tabella8[[#This Row],[Lombardy]]*NOT(ISBLANK(Tabella8[[#This Row],[Lombardy]]))</f>
        <v>0</v>
      </c>
      <c r="M109" s="123">
        <f>IFERROR(Kr*_xlfn.LOGNORM.DIST((Tabella8[[#This Row],[Day]]-pr),mu_r,sigma_r,TRUE),0)</f>
        <v>57496.158785785505</v>
      </c>
      <c r="N109" s="123">
        <f>Tabella8[[#This Row],[Lombardy fit]]/Kr</f>
        <v>0.66087538834236215</v>
      </c>
      <c r="O109" s="10">
        <f>Tabella8[[#This Row],[Lombardy fit]]*NOT(ISBLANK(Tabella8[[#This Row],[Lombardy]]))</f>
        <v>0</v>
      </c>
      <c r="P109" s="10" t="e">
        <f>Tabella8[[#This Row],[Lombardy fit]]+CIr</f>
        <v>#NUM!</v>
      </c>
      <c r="Q109" s="10" t="e">
        <f>MAX(Tabella8[[#This Row],[Lombardy fit]]-CIr,0)</f>
        <v>#NUM!</v>
      </c>
      <c r="R109" s="10">
        <f>Tabella8[[#This Row],[Spain cum. Cases]]-Tabella8[[#This Row],[Lombardy]]</f>
        <v>163027</v>
      </c>
      <c r="S109" s="10">
        <f>Tabella8[[#This Row],[rest of Italy ]]*NOT(ISBLANK(Tabella8[[#This Row],[rest of Italy ]]))</f>
        <v>163027</v>
      </c>
      <c r="T109" s="124">
        <f>IFERROR(Ko*_xlfn.LOGNORM.DIST((Tabella8[[#This Row],[Day]]-po),mu_o,sigma_o,TRUE),0)</f>
        <v>94878.781377666935</v>
      </c>
      <c r="U109" s="124">
        <f>Tabella8[[#This Row],[rest of Italy fit]]/Ko</f>
        <v>0.64107292177466202</v>
      </c>
      <c r="V109" s="22">
        <f>Tabella8[[#This Row],[rest of Italy fit]]*NOT(ISBLANK(Tabella8[[#This Row],[rest of Italy ]]))</f>
        <v>94878.781377666935</v>
      </c>
      <c r="W109" s="10">
        <f>Tabella8[[#This Row],[rest of Italy fit]]+CIo</f>
        <v>199074.70827558919</v>
      </c>
      <c r="X109" s="10">
        <f>MAX(Tabella8[[#This Row],[rest of Italy fit]]-CIo,0)</f>
        <v>0</v>
      </c>
      <c r="Z109"/>
      <c r="AA109"/>
      <c r="AX109" s="32"/>
      <c r="AY109" s="32"/>
      <c r="BA109" s="86"/>
      <c r="BB109" s="86"/>
      <c r="BD109" s="2"/>
      <c r="BE109" s="2"/>
    </row>
    <row r="110" spans="2:375" x14ac:dyDescent="0.3">
      <c r="B110" s="9">
        <v>43933</v>
      </c>
      <c r="C110" s="4">
        <v>103</v>
      </c>
      <c r="D110" s="90">
        <v>166831</v>
      </c>
      <c r="E110" s="10">
        <f>Tabella8[[#This Row],[Spain cum. Cases]]*NOT(ISBLANK(Tabella8[[#This Row],[Spain cum. Cases]]))</f>
        <v>166831</v>
      </c>
      <c r="F110" s="146">
        <f>IFERROR(Kt*_xlfn.LOGNORM.DIST((Tabella8[[#This Row],[Day]]-Days_back),mu_t,sigma_t,TRUE),0)</f>
        <v>165359.58605732227</v>
      </c>
      <c r="G110" s="125">
        <f>Tabella8[[#This Row],[Spain cum. fit]]/Kt</f>
        <v>0.5905701700459044</v>
      </c>
      <c r="H110" s="324">
        <f>Tabella8[[#This Row],[Spain cum. fit]]*NOT(ISBLANK(Tabella8[[#This Row],[Spain cum. Cases]]))</f>
        <v>165359.58605732227</v>
      </c>
      <c r="I110" s="10">
        <f>Tabella8[[#This Row],[Spain cum. fit]]+CIt</f>
        <v>174065.76481996386</v>
      </c>
      <c r="J110" s="10">
        <f>MAX(Tabella8[[#This Row],[Spain cum. fit]]-CIt,0)</f>
        <v>156653.40729468068</v>
      </c>
      <c r="K110" s="74"/>
      <c r="L110" s="10">
        <f>Tabella8[[#This Row],[Lombardy]]*NOT(ISBLANK(Tabella8[[#This Row],[Lombardy]]))</f>
        <v>0</v>
      </c>
      <c r="M110" s="123">
        <f>IFERROR(Kr*_xlfn.LOGNORM.DIST((Tabella8[[#This Row],[Day]]-pr),mu_r,sigma_r,TRUE),0)</f>
        <v>58797.096191230899</v>
      </c>
      <c r="N110" s="123">
        <f>Tabella8[[#This Row],[Lombardy fit]]/Kr</f>
        <v>0.67582869185322869</v>
      </c>
      <c r="O110" s="10">
        <f>Tabella8[[#This Row],[Lombardy fit]]*NOT(ISBLANK(Tabella8[[#This Row],[Lombardy]]))</f>
        <v>0</v>
      </c>
      <c r="P110" s="10" t="e">
        <f>Tabella8[[#This Row],[Lombardy fit]]+CIr</f>
        <v>#NUM!</v>
      </c>
      <c r="Q110" s="10" t="e">
        <f>MAX(Tabella8[[#This Row],[Lombardy fit]]-CIr,0)</f>
        <v>#NUM!</v>
      </c>
      <c r="R110" s="10">
        <f>Tabella8[[#This Row],[Spain cum. Cases]]-Tabella8[[#This Row],[Lombardy]]</f>
        <v>166831</v>
      </c>
      <c r="S110" s="10">
        <f>Tabella8[[#This Row],[rest of Italy ]]*NOT(ISBLANK(Tabella8[[#This Row],[rest of Italy ]]))</f>
        <v>166831</v>
      </c>
      <c r="T110" s="124">
        <f>IFERROR(Ko*_xlfn.LOGNORM.DIST((Tabella8[[#This Row],[Day]]-po),mu_o,sigma_o,TRUE),0)</f>
        <v>97510.752623245149</v>
      </c>
      <c r="U110" s="124">
        <f>Tabella8[[#This Row],[rest of Italy fit]]/Ko</f>
        <v>0.65885651334202677</v>
      </c>
      <c r="V110" s="22">
        <f>Tabella8[[#This Row],[rest of Italy fit]]*NOT(ISBLANK(Tabella8[[#This Row],[rest of Italy ]]))</f>
        <v>97510.752623245149</v>
      </c>
      <c r="W110" s="10">
        <f>Tabella8[[#This Row],[rest of Italy fit]]+CIo</f>
        <v>201706.67952116742</v>
      </c>
      <c r="X110" s="10">
        <f>MAX(Tabella8[[#This Row],[rest of Italy fit]]-CIo,0)</f>
        <v>0</v>
      </c>
      <c r="Z110"/>
      <c r="AA110"/>
      <c r="AX110" s="32"/>
      <c r="AY110" s="32"/>
      <c r="BA110" s="86"/>
      <c r="BB110" s="86"/>
      <c r="BD110" s="2"/>
      <c r="BE110" s="2"/>
    </row>
    <row r="111" spans="2:375" x14ac:dyDescent="0.3">
      <c r="B111" s="9">
        <v>43934</v>
      </c>
      <c r="C111" s="4">
        <v>104</v>
      </c>
      <c r="D111" s="90">
        <v>170099</v>
      </c>
      <c r="E111" s="10">
        <f>Tabella8[[#This Row],[Spain cum. Cases]]*NOT(ISBLANK(Tabella8[[#This Row],[Spain cum. Cases]]))</f>
        <v>170099</v>
      </c>
      <c r="F111" s="146">
        <f>IFERROR(Kt*_xlfn.LOGNORM.DIST((Tabella8[[#This Row],[Day]]-Days_back),mu_t,sigma_t,TRUE),0)</f>
        <v>171175.38177547927</v>
      </c>
      <c r="G111" s="125">
        <f>Tabella8[[#This Row],[Spain cum. fit]]/Kt</f>
        <v>0.61134087677126825</v>
      </c>
      <c r="H111" s="324">
        <f>Tabella8[[#This Row],[Spain cum. fit]]*NOT(ISBLANK(Tabella8[[#This Row],[Spain cum. Cases]]))</f>
        <v>171175.38177547927</v>
      </c>
      <c r="I111" s="10">
        <f>Tabella8[[#This Row],[Spain cum. fit]]+CIt</f>
        <v>179881.56053812086</v>
      </c>
      <c r="J111" s="10">
        <f>MAX(Tabella8[[#This Row],[Spain cum. fit]]-CIt,0)</f>
        <v>162469.20301283768</v>
      </c>
      <c r="K111" s="74"/>
      <c r="L111" s="10">
        <f>Tabella8[[#This Row],[Lombardy]]*NOT(ISBLANK(Tabella8[[#This Row],[Lombardy]]))</f>
        <v>0</v>
      </c>
      <c r="M111" s="123">
        <f>IFERROR(Kr*_xlfn.LOGNORM.DIST((Tabella8[[#This Row],[Day]]-pr),mu_r,sigma_r,TRUE),0)</f>
        <v>60056.3217947015</v>
      </c>
      <c r="N111" s="123">
        <f>Tabella8[[#This Row],[Lombardy fit]]/Kr</f>
        <v>0.69030254936438507</v>
      </c>
      <c r="O111" s="10">
        <f>Tabella8[[#This Row],[Lombardy fit]]*NOT(ISBLANK(Tabella8[[#This Row],[Lombardy]]))</f>
        <v>0</v>
      </c>
      <c r="P111" s="10" t="e">
        <f>Tabella8[[#This Row],[Lombardy fit]]+CIr</f>
        <v>#NUM!</v>
      </c>
      <c r="Q111" s="10" t="e">
        <f>MAX(Tabella8[[#This Row],[Lombardy fit]]-CIr,0)</f>
        <v>#NUM!</v>
      </c>
      <c r="R111" s="10">
        <f>Tabella8[[#This Row],[Spain cum. Cases]]-Tabella8[[#This Row],[Lombardy]]</f>
        <v>170099</v>
      </c>
      <c r="S111" s="10">
        <f>Tabella8[[#This Row],[rest of Italy ]]*NOT(ISBLANK(Tabella8[[#This Row],[rest of Italy ]]))</f>
        <v>170099</v>
      </c>
      <c r="T111" s="124">
        <f>IFERROR(Ko*_xlfn.LOGNORM.DIST((Tabella8[[#This Row],[Day]]-po),mu_o,sigma_o,TRUE),0)</f>
        <v>100052.68152131849</v>
      </c>
      <c r="U111" s="124">
        <f>Tabella8[[#This Row],[rest of Italy fit]]/Ko</f>
        <v>0.67603171059866962</v>
      </c>
      <c r="V111" s="22">
        <f>Tabella8[[#This Row],[rest of Italy fit]]*NOT(ISBLANK(Tabella8[[#This Row],[rest of Italy ]]))</f>
        <v>100052.68152131849</v>
      </c>
      <c r="W111" s="10">
        <f>Tabella8[[#This Row],[rest of Italy fit]]+CIo</f>
        <v>204248.60841924074</v>
      </c>
      <c r="X111" s="10">
        <f>MAX(Tabella8[[#This Row],[rest of Italy fit]]-CIo,0)</f>
        <v>0</v>
      </c>
      <c r="Z111"/>
      <c r="AA111"/>
      <c r="AX111" s="32"/>
      <c r="AY111" s="32"/>
      <c r="BA111" s="86"/>
      <c r="BB111" s="86"/>
      <c r="BD111" s="2"/>
      <c r="BE111" s="2"/>
    </row>
    <row r="112" spans="2:375" x14ac:dyDescent="0.3">
      <c r="B112" s="9">
        <v>43935</v>
      </c>
      <c r="C112" s="4">
        <v>105</v>
      </c>
      <c r="D112" s="90">
        <v>172541</v>
      </c>
      <c r="E112" s="10">
        <f>Tabella8[[#This Row],[Spain cum. Cases]]*NOT(ISBLANK(Tabella8[[#This Row],[Spain cum. Cases]]))</f>
        <v>172541</v>
      </c>
      <c r="F112" s="146">
        <f>IFERROR(Kt*_xlfn.LOGNORM.DIST((Tabella8[[#This Row],[Day]]-Days_back),mu_t,sigma_t,TRUE),0)</f>
        <v>176822.42284665449</v>
      </c>
      <c r="G112" s="125">
        <f>Tabella8[[#This Row],[Spain cum. fit]]/Kt</f>
        <v>0.63150888810448536</v>
      </c>
      <c r="H112" s="324">
        <f>Tabella8[[#This Row],[Spain cum. fit]]*NOT(ISBLANK(Tabella8[[#This Row],[Spain cum. Cases]]))</f>
        <v>176822.42284665449</v>
      </c>
      <c r="I112" s="10">
        <f>Tabella8[[#This Row],[Spain cum. fit]]+CIt</f>
        <v>185528.60160929608</v>
      </c>
      <c r="J112" s="10">
        <f>MAX(Tabella8[[#This Row],[Spain cum. fit]]-CIt,0)</f>
        <v>168116.2440840129</v>
      </c>
      <c r="K112" s="74"/>
      <c r="L112" s="10">
        <f>Tabella8[[#This Row],[Lombardy]]*NOT(ISBLANK(Tabella8[[#This Row],[Lombardy]]))</f>
        <v>0</v>
      </c>
      <c r="M112" s="123">
        <f>IFERROR(Kr*_xlfn.LOGNORM.DIST((Tabella8[[#This Row],[Day]]-pr),mu_r,sigma_r,TRUE),0)</f>
        <v>61273.720002643167</v>
      </c>
      <c r="N112" s="123">
        <f>Tabella8[[#This Row],[Lombardy fit]]/Kr</f>
        <v>0.70429563221428926</v>
      </c>
      <c r="O112" s="10">
        <f>Tabella8[[#This Row],[Lombardy fit]]*NOT(ISBLANK(Tabella8[[#This Row],[Lombardy]]))</f>
        <v>0</v>
      </c>
      <c r="P112" s="10" t="e">
        <f>Tabella8[[#This Row],[Lombardy fit]]+CIr</f>
        <v>#NUM!</v>
      </c>
      <c r="Q112" s="10" t="e">
        <f>MAX(Tabella8[[#This Row],[Lombardy fit]]-CIr,0)</f>
        <v>#NUM!</v>
      </c>
      <c r="R112" s="10">
        <f>Tabella8[[#This Row],[Spain cum. Cases]]-Tabella8[[#This Row],[Lombardy]]</f>
        <v>172541</v>
      </c>
      <c r="S112" s="10">
        <f>Tabella8[[#This Row],[rest of Italy ]]*NOT(ISBLANK(Tabella8[[#This Row],[rest of Italy ]]))</f>
        <v>172541</v>
      </c>
      <c r="T112" s="124">
        <f>IFERROR(Ko*_xlfn.LOGNORM.DIST((Tabella8[[#This Row],[Day]]-po),mu_o,sigma_o,TRUE),0)</f>
        <v>102503.49296044245</v>
      </c>
      <c r="U112" s="124">
        <f>Tabella8[[#This Row],[rest of Italy fit]]/Ko</f>
        <v>0.69259124927722804</v>
      </c>
      <c r="V112" s="22">
        <f>Tabella8[[#This Row],[rest of Italy fit]]*NOT(ISBLANK(Tabella8[[#This Row],[rest of Italy ]]))</f>
        <v>102503.49296044245</v>
      </c>
      <c r="W112" s="10">
        <f>Tabella8[[#This Row],[rest of Italy fit]]+CIo</f>
        <v>206699.41985836471</v>
      </c>
      <c r="X112" s="10">
        <f>MAX(Tabella8[[#This Row],[rest of Italy fit]]-CIo,0)</f>
        <v>0</v>
      </c>
      <c r="Z112"/>
      <c r="AA112"/>
      <c r="AX112" s="32"/>
      <c r="AY112" s="32"/>
      <c r="BA112" s="86"/>
      <c r="BB112" s="86"/>
      <c r="BD112" s="2"/>
      <c r="BE112" s="2"/>
    </row>
    <row r="113" spans="2:57" x14ac:dyDescent="0.3">
      <c r="B113" s="9">
        <v>43936</v>
      </c>
      <c r="C113" s="4">
        <v>106</v>
      </c>
      <c r="D113" s="90">
        <v>177644</v>
      </c>
      <c r="E113" s="10">
        <f>Tabella8[[#This Row],[Spain cum. Cases]]*NOT(ISBLANK(Tabella8[[#This Row],[Spain cum. Cases]]))</f>
        <v>177644</v>
      </c>
      <c r="F113" s="146">
        <f>IFERROR(Kt*_xlfn.LOGNORM.DIST((Tabella8[[#This Row],[Day]]-Days_back),mu_t,sigma_t,TRUE),0)</f>
        <v>182292.59155520526</v>
      </c>
      <c r="G113" s="125">
        <f>Tabella8[[#This Row],[Spain cum. fit]]/Kt</f>
        <v>0.65104521219318223</v>
      </c>
      <c r="H113" s="324">
        <f>Tabella8[[#This Row],[Spain cum. fit]]*NOT(ISBLANK(Tabella8[[#This Row],[Spain cum. Cases]]))</f>
        <v>182292.59155520526</v>
      </c>
      <c r="I113" s="10">
        <f>Tabella8[[#This Row],[Spain cum. fit]]+CIt</f>
        <v>190998.77031784685</v>
      </c>
      <c r="J113" s="10">
        <f>MAX(Tabella8[[#This Row],[Spain cum. fit]]-CIt,0)</f>
        <v>173586.41279256367</v>
      </c>
      <c r="K113" s="74"/>
      <c r="L113" s="10">
        <f>Tabella8[[#This Row],[Lombardy]]*NOT(ISBLANK(Tabella8[[#This Row],[Lombardy]]))</f>
        <v>0</v>
      </c>
      <c r="M113" s="123">
        <f>IFERROR(Kr*_xlfn.LOGNORM.DIST((Tabella8[[#This Row],[Day]]-pr),mu_r,sigma_r,TRUE),0)</f>
        <v>62449.3411037525</v>
      </c>
      <c r="N113" s="123">
        <f>Tabella8[[#This Row],[Lombardy fit]]/Kr</f>
        <v>0.71780851843393678</v>
      </c>
      <c r="O113" s="10">
        <f>Tabella8[[#This Row],[Lombardy fit]]*NOT(ISBLANK(Tabella8[[#This Row],[Lombardy]]))</f>
        <v>0</v>
      </c>
      <c r="P113" s="10" t="e">
        <f>Tabella8[[#This Row],[Lombardy fit]]+CIr</f>
        <v>#NUM!</v>
      </c>
      <c r="Q113" s="10" t="e">
        <f>MAX(Tabella8[[#This Row],[Lombardy fit]]-CIr,0)</f>
        <v>#NUM!</v>
      </c>
      <c r="R113" s="10">
        <f>Tabella8[[#This Row],[Spain cum. Cases]]-Tabella8[[#This Row],[Lombardy]]</f>
        <v>177644</v>
      </c>
      <c r="S113" s="10">
        <f>Tabella8[[#This Row],[rest of Italy ]]*NOT(ISBLANK(Tabella8[[#This Row],[rest of Italy ]]))</f>
        <v>177644</v>
      </c>
      <c r="T113" s="124">
        <f>IFERROR(Ko*_xlfn.LOGNORM.DIST((Tabella8[[#This Row],[Day]]-po),mu_o,sigma_o,TRUE),0)</f>
        <v>104862.64932420803</v>
      </c>
      <c r="U113" s="124">
        <f>Tabella8[[#This Row],[rest of Italy fit]]/Ko</f>
        <v>0.70853149683397509</v>
      </c>
      <c r="V113" s="22">
        <f>Tabella8[[#This Row],[rest of Italy fit]]*NOT(ISBLANK(Tabella8[[#This Row],[rest of Italy ]]))</f>
        <v>104862.64932420803</v>
      </c>
      <c r="W113" s="10">
        <f>Tabella8[[#This Row],[rest of Italy fit]]+CIo</f>
        <v>209058.57622213027</v>
      </c>
      <c r="X113" s="10">
        <f>MAX(Tabella8[[#This Row],[rest of Italy fit]]-CIo,0)</f>
        <v>666.72242628577806</v>
      </c>
      <c r="Z113"/>
      <c r="AA113"/>
      <c r="AX113" s="32"/>
      <c r="AY113" s="32"/>
      <c r="BA113" s="86"/>
      <c r="BB113" s="86"/>
      <c r="BD113" s="2"/>
      <c r="BE113" s="2"/>
    </row>
    <row r="114" spans="2:57" x14ac:dyDescent="0.3">
      <c r="B114" s="9">
        <v>43937</v>
      </c>
      <c r="C114" s="4">
        <v>107</v>
      </c>
      <c r="D114" s="90">
        <v>184948</v>
      </c>
      <c r="E114" s="10">
        <f>Tabella8[[#This Row],[Spain cum. Cases]]*NOT(ISBLANK(Tabella8[[#This Row],[Spain cum. Cases]]))</f>
        <v>184948</v>
      </c>
      <c r="F114" s="146">
        <f>IFERROR(Kt*_xlfn.LOGNORM.DIST((Tabella8[[#This Row],[Day]]-Days_back),mu_t,sigma_t,TRUE),0)</f>
        <v>187579.40595111888</v>
      </c>
      <c r="G114" s="125">
        <f>Tabella8[[#This Row],[Spain cum. fit]]/Kt</f>
        <v>0.66992669920726755</v>
      </c>
      <c r="H114" s="324">
        <f>Tabella8[[#This Row],[Spain cum. fit]]*NOT(ISBLANK(Tabella8[[#This Row],[Spain cum. Cases]]))</f>
        <v>187579.40595111888</v>
      </c>
      <c r="I114" s="10">
        <f>Tabella8[[#This Row],[Spain cum. fit]]+CIt</f>
        <v>196285.58471376047</v>
      </c>
      <c r="J114" s="10">
        <f>MAX(Tabella8[[#This Row],[Spain cum. fit]]-CIt,0)</f>
        <v>178873.22718847729</v>
      </c>
      <c r="K114" s="74"/>
      <c r="L114" s="10">
        <f>Tabella8[[#This Row],[Lombardy]]*NOT(ISBLANK(Tabella8[[#This Row],[Lombardy]]))</f>
        <v>0</v>
      </c>
      <c r="M114" s="123">
        <f>IFERROR(Kr*_xlfn.LOGNORM.DIST((Tabella8[[#This Row],[Day]]-pr),mu_r,sigma_r,TRUE),0)</f>
        <v>63583.38566421374</v>
      </c>
      <c r="N114" s="123">
        <f>Tabella8[[#This Row],[Lombardy fit]]/Kr</f>
        <v>0.73084351338176712</v>
      </c>
      <c r="O114" s="10">
        <f>Tabella8[[#This Row],[Lombardy fit]]*NOT(ISBLANK(Tabella8[[#This Row],[Lombardy]]))</f>
        <v>0</v>
      </c>
      <c r="P114" s="10" t="e">
        <f>Tabella8[[#This Row],[Lombardy fit]]+CIr</f>
        <v>#NUM!</v>
      </c>
      <c r="Q114" s="10" t="e">
        <f>MAX(Tabella8[[#This Row],[Lombardy fit]]-CIr,0)</f>
        <v>#NUM!</v>
      </c>
      <c r="R114" s="10">
        <f>Tabella8[[#This Row],[Spain cum. Cases]]-Tabella8[[#This Row],[Lombardy]]</f>
        <v>184948</v>
      </c>
      <c r="S114" s="10">
        <f>Tabella8[[#This Row],[rest of Italy ]]*NOT(ISBLANK(Tabella8[[#This Row],[rest of Italy ]]))</f>
        <v>184948</v>
      </c>
      <c r="T114" s="124">
        <f>IFERROR(Ko*_xlfn.LOGNORM.DIST((Tabella8[[#This Row],[Day]]-po),mu_o,sigma_o,TRUE),0)</f>
        <v>107130.10063210889</v>
      </c>
      <c r="U114" s="124">
        <f>Tabella8[[#This Row],[rest of Italy fit]]/Ko</f>
        <v>0.72385211556274742</v>
      </c>
      <c r="V114" s="22">
        <f>Tabella8[[#This Row],[rest of Italy fit]]*NOT(ISBLANK(Tabella8[[#This Row],[rest of Italy ]]))</f>
        <v>107130.10063210889</v>
      </c>
      <c r="W114" s="10">
        <f>Tabella8[[#This Row],[rest of Italy fit]]+CIo</f>
        <v>211326.02753003116</v>
      </c>
      <c r="X114" s="10">
        <f>MAX(Tabella8[[#This Row],[rest of Italy fit]]-CIo,0)</f>
        <v>2934.1737341866392</v>
      </c>
      <c r="Z114"/>
      <c r="AA114"/>
      <c r="AX114" s="32"/>
      <c r="AY114" s="32"/>
      <c r="BA114" s="86"/>
      <c r="BB114" s="86"/>
      <c r="BD114" s="2"/>
      <c r="BE114" s="2"/>
    </row>
    <row r="115" spans="2:57" x14ac:dyDescent="0.3">
      <c r="B115" s="9">
        <v>43938</v>
      </c>
      <c r="C115" s="4">
        <v>108</v>
      </c>
      <c r="D115" s="90">
        <v>190839</v>
      </c>
      <c r="E115" s="10">
        <f>Tabella8[[#This Row],[Spain cum. Cases]]*NOT(ISBLANK(Tabella8[[#This Row],[Spain cum. Cases]]))</f>
        <v>190839</v>
      </c>
      <c r="F115" s="146">
        <f>IFERROR(Kt*_xlfn.LOGNORM.DIST((Tabella8[[#This Row],[Day]]-Days_back),mu_t,sigma_t,TRUE),0)</f>
        <v>192677.92718127568</v>
      </c>
      <c r="G115" s="125">
        <f>Tabella8[[#This Row],[Spain cum. fit]]/Kt</f>
        <v>0.68813571037903332</v>
      </c>
      <c r="H115" s="324">
        <f>Tabella8[[#This Row],[Spain cum. fit]]*NOT(ISBLANK(Tabella8[[#This Row],[Spain cum. Cases]]))</f>
        <v>192677.92718127568</v>
      </c>
      <c r="I115" s="10">
        <f>Tabella8[[#This Row],[Spain cum. fit]]+CIt</f>
        <v>201384.10594391727</v>
      </c>
      <c r="J115" s="10">
        <f>MAX(Tabella8[[#This Row],[Spain cum. fit]]-CIt,0)</f>
        <v>183971.74841863409</v>
      </c>
      <c r="K115" s="74"/>
      <c r="L115" s="10">
        <f>Tabella8[[#This Row],[Lombardy]]*NOT(ISBLANK(Tabella8[[#This Row],[Lombardy]]))</f>
        <v>0</v>
      </c>
      <c r="M115" s="123">
        <f>IFERROR(Kr*_xlfn.LOGNORM.DIST((Tabella8[[#This Row],[Day]]-pr),mu_r,sigma_r,TRUE),0)</f>
        <v>64676.189476553751</v>
      </c>
      <c r="N115" s="123">
        <f>Tabella8[[#This Row],[Lombardy fit]]/Kr</f>
        <v>0.74340447674199717</v>
      </c>
      <c r="O115" s="10">
        <f>Tabella8[[#This Row],[Lombardy fit]]*NOT(ISBLANK(Tabella8[[#This Row],[Lombardy]]))</f>
        <v>0</v>
      </c>
      <c r="P115" s="10" t="e">
        <f>Tabella8[[#This Row],[Lombardy fit]]+CIr</f>
        <v>#NUM!</v>
      </c>
      <c r="Q115" s="10" t="e">
        <f>MAX(Tabella8[[#This Row],[Lombardy fit]]-CIr,0)</f>
        <v>#NUM!</v>
      </c>
      <c r="R115" s="10">
        <f>Tabella8[[#This Row],[Spain cum. Cases]]-Tabella8[[#This Row],[Lombardy]]</f>
        <v>190839</v>
      </c>
      <c r="S115" s="10">
        <f>Tabella8[[#This Row],[rest of Italy ]]*NOT(ISBLANK(Tabella8[[#This Row],[rest of Italy ]]))</f>
        <v>190839</v>
      </c>
      <c r="T115" s="124">
        <f>IFERROR(Ko*_xlfn.LOGNORM.DIST((Tabella8[[#This Row],[Day]]-po),mu_o,sigma_o,TRUE),0)</f>
        <v>109306.23571102909</v>
      </c>
      <c r="U115" s="124">
        <f>Tabella8[[#This Row],[rest of Italy fit]]/Ko</f>
        <v>0.73855573267252705</v>
      </c>
      <c r="V115" s="22">
        <f>Tabella8[[#This Row],[rest of Italy fit]]*NOT(ISBLANK(Tabella8[[#This Row],[rest of Italy ]]))</f>
        <v>109306.23571102909</v>
      </c>
      <c r="W115" s="10">
        <f>Tabella8[[#This Row],[rest of Italy fit]]+CIo</f>
        <v>213502.16260895133</v>
      </c>
      <c r="X115" s="10">
        <f>MAX(Tabella8[[#This Row],[rest of Italy fit]]-CIo,0)</f>
        <v>5110.3088131068362</v>
      </c>
      <c r="Z115"/>
      <c r="AA115"/>
      <c r="AX115" s="32"/>
      <c r="AY115" s="32"/>
      <c r="BA115" s="86"/>
      <c r="BB115" s="86"/>
      <c r="BD115" s="2"/>
      <c r="BE115" s="2"/>
    </row>
    <row r="116" spans="2:57" x14ac:dyDescent="0.3">
      <c r="B116" s="9">
        <v>43939</v>
      </c>
      <c r="C116" s="4">
        <v>109</v>
      </c>
      <c r="D116" s="90">
        <v>191726</v>
      </c>
      <c r="E116" s="10">
        <f>Tabella8[[#This Row],[Spain cum. Cases]]*NOT(ISBLANK(Tabella8[[#This Row],[Spain cum. Cases]]))</f>
        <v>191726</v>
      </c>
      <c r="F116" s="146">
        <f>IFERROR(Kt*_xlfn.LOGNORM.DIST((Tabella8[[#This Row],[Day]]-Days_back),mu_t,sigma_t,TRUE),0)</f>
        <v>197584.65860212699</v>
      </c>
      <c r="G116" s="125">
        <f>Tabella8[[#This Row],[Spain cum. fit]]/Kt</f>
        <v>0.70565975769115719</v>
      </c>
      <c r="H116" s="324">
        <f>Tabella8[[#This Row],[Spain cum. fit]]*NOT(ISBLANK(Tabella8[[#This Row],[Spain cum. Cases]]))</f>
        <v>197584.65860212699</v>
      </c>
      <c r="I116" s="10">
        <f>Tabella8[[#This Row],[Spain cum. fit]]+CIt</f>
        <v>206290.83736476858</v>
      </c>
      <c r="J116" s="10">
        <f>MAX(Tabella8[[#This Row],[Spain cum. fit]]-CIt,0)</f>
        <v>188878.4798394854</v>
      </c>
      <c r="K116" s="74"/>
      <c r="L116" s="10">
        <f>Tabella8[[#This Row],[Lombardy]]*NOT(ISBLANK(Tabella8[[#This Row],[Lombardy]]))</f>
        <v>0</v>
      </c>
      <c r="M116" s="123">
        <f>IFERROR(Kr*_xlfn.LOGNORM.DIST((Tabella8[[#This Row],[Day]]-pr),mu_r,sigma_r,TRUE),0)</f>
        <v>65728.209141519241</v>
      </c>
      <c r="N116" s="123">
        <f>Tabella8[[#This Row],[Lombardy fit]]/Kr</f>
        <v>0.75549665679907174</v>
      </c>
      <c r="O116" s="10">
        <f>Tabella8[[#This Row],[Lombardy fit]]*NOT(ISBLANK(Tabella8[[#This Row],[Lombardy]]))</f>
        <v>0</v>
      </c>
      <c r="P116" s="10" t="e">
        <f>Tabella8[[#This Row],[Lombardy fit]]+CIr</f>
        <v>#NUM!</v>
      </c>
      <c r="Q116" s="10" t="e">
        <f>MAX(Tabella8[[#This Row],[Lombardy fit]]-CIr,0)</f>
        <v>#NUM!</v>
      </c>
      <c r="R116" s="10">
        <f>Tabella8[[#This Row],[Spain cum. Cases]]-Tabella8[[#This Row],[Lombardy]]</f>
        <v>191726</v>
      </c>
      <c r="S116" s="10">
        <f>Tabella8[[#This Row],[rest of Italy ]]*NOT(ISBLANK(Tabella8[[#This Row],[rest of Italy ]]))</f>
        <v>191726</v>
      </c>
      <c r="T116" s="124">
        <f>IFERROR(Ko*_xlfn.LOGNORM.DIST((Tabella8[[#This Row],[Day]]-po),mu_o,sigma_o,TRUE),0)</f>
        <v>111391.83488743517</v>
      </c>
      <c r="U116" s="124">
        <f>Tabella8[[#This Row],[rest of Italy fit]]/Ko</f>
        <v>0.75264762064005308</v>
      </c>
      <c r="V116" s="22">
        <f>Tabella8[[#This Row],[rest of Italy fit]]*NOT(ISBLANK(Tabella8[[#This Row],[rest of Italy ]]))</f>
        <v>111391.83488743517</v>
      </c>
      <c r="W116" s="10">
        <f>Tabella8[[#This Row],[rest of Italy fit]]+CIo</f>
        <v>215587.76178535743</v>
      </c>
      <c r="X116" s="10">
        <f>MAX(Tabella8[[#This Row],[rest of Italy fit]]-CIo,0)</f>
        <v>7195.9079895129107</v>
      </c>
      <c r="Z116"/>
      <c r="AA116"/>
      <c r="AX116" s="32"/>
      <c r="AY116" s="32"/>
      <c r="BA116" s="86"/>
      <c r="BB116" s="86"/>
      <c r="BD116" s="2"/>
      <c r="BE116" s="2"/>
    </row>
    <row r="117" spans="2:57" x14ac:dyDescent="0.3">
      <c r="B117" s="9">
        <v>43940</v>
      </c>
      <c r="C117" s="4">
        <v>110</v>
      </c>
      <c r="D117" s="90">
        <v>198674</v>
      </c>
      <c r="E117" s="10">
        <f>Tabella8[[#This Row],[Spain cum. Cases]]*NOT(ISBLANK(Tabella8[[#This Row],[Spain cum. Cases]]))</f>
        <v>198674</v>
      </c>
      <c r="F117" s="146">
        <f>IFERROR(Kt*_xlfn.LOGNORM.DIST((Tabella8[[#This Row],[Day]]-Days_back),mu_t,sigma_t,TRUE),0)</f>
        <v>202297.43927982921</v>
      </c>
      <c r="G117" s="125">
        <f>Tabella8[[#This Row],[Spain cum. fit]]/Kt</f>
        <v>0.72249112351989631</v>
      </c>
      <c r="H117" s="324">
        <f>Tabella8[[#This Row],[Spain cum. fit]]*NOT(ISBLANK(Tabella8[[#This Row],[Spain cum. Cases]]))</f>
        <v>202297.43927982921</v>
      </c>
      <c r="I117" s="10">
        <f>Tabella8[[#This Row],[Spain cum. fit]]+CIt</f>
        <v>211003.6180424708</v>
      </c>
      <c r="J117" s="10">
        <f>MAX(Tabella8[[#This Row],[Spain cum. fit]]-CIt,0)</f>
        <v>193591.26051718762</v>
      </c>
      <c r="K117" s="74"/>
      <c r="L117" s="10">
        <f>Tabella8[[#This Row],[Lombardy]]*NOT(ISBLANK(Tabella8[[#This Row],[Lombardy]]))</f>
        <v>0</v>
      </c>
      <c r="M117" s="123">
        <f>IFERROR(Kr*_xlfn.LOGNORM.DIST((Tabella8[[#This Row],[Day]]-pr),mu_r,sigma_r,TRUE),0)</f>
        <v>66740.0083428785</v>
      </c>
      <c r="N117" s="123">
        <f>Tabella8[[#This Row],[Lombardy fit]]/Kr</f>
        <v>0.76712653267676434</v>
      </c>
      <c r="O117" s="10">
        <f>Tabella8[[#This Row],[Lombardy fit]]*NOT(ISBLANK(Tabella8[[#This Row],[Lombardy]]))</f>
        <v>0</v>
      </c>
      <c r="P117" s="10" t="e">
        <f>Tabella8[[#This Row],[Lombardy fit]]+CIr</f>
        <v>#NUM!</v>
      </c>
      <c r="Q117" s="10" t="e">
        <f>MAX(Tabella8[[#This Row],[Lombardy fit]]-CIr,0)</f>
        <v>#NUM!</v>
      </c>
      <c r="R117" s="10">
        <f>Tabella8[[#This Row],[Spain cum. Cases]]-Tabella8[[#This Row],[Lombardy]]</f>
        <v>198674</v>
      </c>
      <c r="S117" s="10">
        <f>Tabella8[[#This Row],[rest of Italy ]]*NOT(ISBLANK(Tabella8[[#This Row],[rest of Italy ]]))</f>
        <v>198674</v>
      </c>
      <c r="T117" s="124">
        <f>IFERROR(Ko*_xlfn.LOGNORM.DIST((Tabella8[[#This Row],[Day]]-po),mu_o,sigma_o,TRUE),0)</f>
        <v>113388.02458773604</v>
      </c>
      <c r="U117" s="124">
        <f>Tabella8[[#This Row],[rest of Italy fit]]/Ko</f>
        <v>0.76613539045546086</v>
      </c>
      <c r="V117" s="22">
        <f>Tabella8[[#This Row],[rest of Italy fit]]*NOT(ISBLANK(Tabella8[[#This Row],[rest of Italy ]]))</f>
        <v>113388.02458773604</v>
      </c>
      <c r="W117" s="10">
        <f>Tabella8[[#This Row],[rest of Italy fit]]+CIo</f>
        <v>217583.9514856583</v>
      </c>
      <c r="X117" s="10">
        <f>MAX(Tabella8[[#This Row],[rest of Italy fit]]-CIo,0)</f>
        <v>9192.0976898137887</v>
      </c>
      <c r="Z117"/>
      <c r="AA117"/>
      <c r="AX117" s="32"/>
      <c r="AY117" s="32"/>
      <c r="BA117" s="86"/>
      <c r="BB117" s="86"/>
      <c r="BD117" s="2"/>
      <c r="BE117" s="2"/>
    </row>
    <row r="118" spans="2:57" x14ac:dyDescent="0.3">
      <c r="B118" s="9">
        <v>43941</v>
      </c>
      <c r="C118" s="4">
        <v>111</v>
      </c>
      <c r="D118" s="90">
        <v>200210</v>
      </c>
      <c r="E118" s="10">
        <f>Tabella8[[#This Row],[Spain cum. Cases]]*NOT(ISBLANK(Tabella8[[#This Row],[Spain cum. Cases]]))</f>
        <v>200210</v>
      </c>
      <c r="F118" s="146">
        <f>IFERROR(Kt*_xlfn.LOGNORM.DIST((Tabella8[[#This Row],[Day]]-Days_back),mu_t,sigma_t,TRUE),0)</f>
        <v>206815.33419671253</v>
      </c>
      <c r="G118" s="125">
        <f>Tabella8[[#This Row],[Spain cum. fit]]/Kt</f>
        <v>0.73862646851518676</v>
      </c>
      <c r="H118" s="324">
        <f>Tabella8[[#This Row],[Spain cum. fit]]*NOT(ISBLANK(Tabella8[[#This Row],[Spain cum. Cases]]))</f>
        <v>206815.33419671253</v>
      </c>
      <c r="I118" s="10">
        <f>Tabella8[[#This Row],[Spain cum. fit]]+CIt</f>
        <v>215521.51295935412</v>
      </c>
      <c r="J118" s="10">
        <f>MAX(Tabella8[[#This Row],[Spain cum. fit]]-CIt,0)</f>
        <v>198109.15543407094</v>
      </c>
      <c r="K118" s="74"/>
      <c r="L118" s="10">
        <f>Tabella8[[#This Row],[Lombardy]]*NOT(ISBLANK(Tabella8[[#This Row],[Lombardy]]))</f>
        <v>0</v>
      </c>
      <c r="M118" s="123">
        <f>IFERROR(Kr*_xlfn.LOGNORM.DIST((Tabella8[[#This Row],[Day]]-pr),mu_r,sigma_r,TRUE),0)</f>
        <v>67712.244857883314</v>
      </c>
      <c r="N118" s="123">
        <f>Tabella8[[#This Row],[Lombardy fit]]/Kr</f>
        <v>0.77830166503314158</v>
      </c>
      <c r="O118" s="10">
        <f>Tabella8[[#This Row],[Lombardy fit]]*NOT(ISBLANK(Tabella8[[#This Row],[Lombardy]]))</f>
        <v>0</v>
      </c>
      <c r="P118" s="10" t="e">
        <f>Tabella8[[#This Row],[Lombardy fit]]+CIr</f>
        <v>#NUM!</v>
      </c>
      <c r="Q118" s="10" t="e">
        <f>MAX(Tabella8[[#This Row],[Lombardy fit]]-CIr,0)</f>
        <v>#NUM!</v>
      </c>
      <c r="R118" s="10">
        <f>Tabella8[[#This Row],[Spain cum. Cases]]-Tabella8[[#This Row],[Lombardy]]</f>
        <v>200210</v>
      </c>
      <c r="S118" s="10">
        <f>Tabella8[[#This Row],[rest of Italy ]]*NOT(ISBLANK(Tabella8[[#This Row],[rest of Italy ]]))</f>
        <v>200210</v>
      </c>
      <c r="T118" s="124">
        <f>IFERROR(Ko*_xlfn.LOGNORM.DIST((Tabella8[[#This Row],[Day]]-po),mu_o,sigma_o,TRUE),0)</f>
        <v>115296.23414275379</v>
      </c>
      <c r="U118" s="124">
        <f>Tabella8[[#This Row],[rest of Italy fit]]/Ko</f>
        <v>0.77902869976056432</v>
      </c>
      <c r="V118" s="22">
        <f>Tabella8[[#This Row],[rest of Italy fit]]*NOT(ISBLANK(Tabella8[[#This Row],[rest of Italy ]]))</f>
        <v>115296.23414275379</v>
      </c>
      <c r="W118" s="10">
        <f>Tabella8[[#This Row],[rest of Italy fit]]+CIo</f>
        <v>219492.16104067606</v>
      </c>
      <c r="X118" s="10">
        <f>MAX(Tabella8[[#This Row],[rest of Italy fit]]-CIo,0)</f>
        <v>11100.307244831536</v>
      </c>
      <c r="Z118"/>
      <c r="AA118"/>
      <c r="AX118" s="32"/>
      <c r="AY118" s="32"/>
      <c r="BA118" s="86"/>
      <c r="BB118" s="86"/>
      <c r="BD118" s="2"/>
      <c r="BE118" s="2"/>
    </row>
    <row r="119" spans="2:57" x14ac:dyDescent="0.3">
      <c r="B119" s="9">
        <v>43942</v>
      </c>
      <c r="C119" s="4">
        <v>112</v>
      </c>
      <c r="D119" s="90">
        <v>204178</v>
      </c>
      <c r="E119" s="10">
        <f>Tabella8[[#This Row],[Spain cum. Cases]]*NOT(ISBLANK(Tabella8[[#This Row],[Spain cum. Cases]]))</f>
        <v>204178</v>
      </c>
      <c r="F119" s="146">
        <f>IFERROR(Kt*_xlfn.LOGNORM.DIST((Tabella8[[#This Row],[Day]]-Days_back),mu_t,sigma_t,TRUE),0)</f>
        <v>211138.52319414384</v>
      </c>
      <c r="G119" s="125">
        <f>Tabella8[[#This Row],[Spain cum. fit]]/Kt</f>
        <v>0.75406643496786363</v>
      </c>
      <c r="H119" s="324">
        <f>Tabella8[[#This Row],[Spain cum. fit]]*NOT(ISBLANK(Tabella8[[#This Row],[Spain cum. Cases]]))</f>
        <v>211138.52319414384</v>
      </c>
      <c r="I119" s="10">
        <f>Tabella8[[#This Row],[Spain cum. fit]]+CIt</f>
        <v>219844.70195678543</v>
      </c>
      <c r="J119" s="10">
        <f>MAX(Tabella8[[#This Row],[Spain cum. fit]]-CIt,0)</f>
        <v>202432.34443150225</v>
      </c>
      <c r="K119" s="74"/>
      <c r="L119" s="10">
        <f>Tabella8[[#This Row],[Lombardy]]*NOT(ISBLANK(Tabella8[[#This Row],[Lombardy]]))</f>
        <v>0</v>
      </c>
      <c r="M119" s="123">
        <f>IFERROR(Kr*_xlfn.LOGNORM.DIST((Tabella8[[#This Row],[Day]]-pr),mu_r,sigma_r,TRUE),0)</f>
        <v>68645.658331171959</v>
      </c>
      <c r="N119" s="123">
        <f>Tabella8[[#This Row],[Lombardy fit]]/Kr</f>
        <v>0.78903055553071222</v>
      </c>
      <c r="O119" s="10">
        <f>Tabella8[[#This Row],[Lombardy fit]]*NOT(ISBLANK(Tabella8[[#This Row],[Lombardy]]))</f>
        <v>0</v>
      </c>
      <c r="P119" s="10" t="e">
        <f>Tabella8[[#This Row],[Lombardy fit]]+CIr</f>
        <v>#NUM!</v>
      </c>
      <c r="Q119" s="10" t="e">
        <f>MAX(Tabella8[[#This Row],[Lombardy fit]]-CIr,0)</f>
        <v>#NUM!</v>
      </c>
      <c r="R119" s="10">
        <f>Tabella8[[#This Row],[Spain cum. Cases]]-Tabella8[[#This Row],[Lombardy]]</f>
        <v>204178</v>
      </c>
      <c r="S119" s="10">
        <f>Tabella8[[#This Row],[rest of Italy ]]*NOT(ISBLANK(Tabella8[[#This Row],[rest of Italy ]]))</f>
        <v>204178</v>
      </c>
      <c r="T119" s="124">
        <f>IFERROR(Ko*_xlfn.LOGNORM.DIST((Tabella8[[#This Row],[Day]]-po),mu_o,sigma_o,TRUE),0)</f>
        <v>117118.15501163721</v>
      </c>
      <c r="U119" s="124">
        <f>Tabella8[[#This Row],[rest of Italy fit]]/Ko</f>
        <v>0.79133897733472647</v>
      </c>
      <c r="V119" s="22">
        <f>Tabella8[[#This Row],[rest of Italy fit]]*NOT(ISBLANK(Tabella8[[#This Row],[rest of Italy ]]))</f>
        <v>117118.15501163721</v>
      </c>
      <c r="W119" s="10">
        <f>Tabella8[[#This Row],[rest of Italy fit]]+CIo</f>
        <v>221314.08190955946</v>
      </c>
      <c r="X119" s="10">
        <f>MAX(Tabella8[[#This Row],[rest of Italy fit]]-CIo,0)</f>
        <v>12922.228113714955</v>
      </c>
      <c r="Z119"/>
      <c r="AA119"/>
      <c r="AX119" s="32"/>
      <c r="AY119" s="32"/>
      <c r="BA119" s="86"/>
      <c r="BB119" s="86"/>
      <c r="BD119" s="2"/>
      <c r="BE119" s="2"/>
    </row>
    <row r="120" spans="2:57" x14ac:dyDescent="0.3">
      <c r="B120" s="9">
        <v>43943</v>
      </c>
      <c r="C120" s="4">
        <v>113</v>
      </c>
      <c r="D120" s="90">
        <v>208389</v>
      </c>
      <c r="E120" s="10">
        <f>Tabella8[[#This Row],[Spain cum. Cases]]*NOT(ISBLANK(Tabella8[[#This Row],[Spain cum. Cases]]))</f>
        <v>208389</v>
      </c>
      <c r="F120" s="146">
        <f>IFERROR(Kt*_xlfn.LOGNORM.DIST((Tabella8[[#This Row],[Day]]-Days_back),mu_t,sigma_t,TRUE),0)</f>
        <v>215268.19039880697</v>
      </c>
      <c r="G120" s="125">
        <f>Tabella8[[#This Row],[Spain cum. fit]]/Kt</f>
        <v>0.76881525190337208</v>
      </c>
      <c r="H120" s="324">
        <f>Tabella8[[#This Row],[Spain cum. fit]]*NOT(ISBLANK(Tabella8[[#This Row],[Spain cum. Cases]]))</f>
        <v>215268.19039880697</v>
      </c>
      <c r="I120" s="10">
        <f>Tabella8[[#This Row],[Spain cum. fit]]+CIt</f>
        <v>223974.36916144856</v>
      </c>
      <c r="J120" s="10">
        <f>MAX(Tabella8[[#This Row],[Spain cum. fit]]-CIt,0)</f>
        <v>206562.01163616538</v>
      </c>
      <c r="K120" s="74"/>
      <c r="L120" s="10">
        <f>Tabella8[[#This Row],[Lombardy]]*NOT(ISBLANK(Tabella8[[#This Row],[Lombardy]]))</f>
        <v>0</v>
      </c>
      <c r="M120" s="123">
        <f>IFERROR(Kr*_xlfn.LOGNORM.DIST((Tabella8[[#This Row],[Day]]-pr),mu_r,sigma_r,TRUE),0)</f>
        <v>69541.058826994791</v>
      </c>
      <c r="N120" s="123">
        <f>Tabella8[[#This Row],[Lombardy fit]]/Kr</f>
        <v>0.79932251525281373</v>
      </c>
      <c r="O120" s="10">
        <f>Tabella8[[#This Row],[Lombardy fit]]*NOT(ISBLANK(Tabella8[[#This Row],[Lombardy]]))</f>
        <v>0</v>
      </c>
      <c r="P120" s="10" t="e">
        <f>Tabella8[[#This Row],[Lombardy fit]]+CIr</f>
        <v>#NUM!</v>
      </c>
      <c r="Q120" s="10" t="e">
        <f>MAX(Tabella8[[#This Row],[Lombardy fit]]-CIr,0)</f>
        <v>#NUM!</v>
      </c>
      <c r="R120" s="10">
        <f>Tabella8[[#This Row],[Spain cum. Cases]]-Tabella8[[#This Row],[Lombardy]]</f>
        <v>208389</v>
      </c>
      <c r="S120" s="10">
        <f>Tabella8[[#This Row],[rest of Italy ]]*NOT(ISBLANK(Tabella8[[#This Row],[rest of Italy ]]))</f>
        <v>208389</v>
      </c>
      <c r="T120" s="124">
        <f>IFERROR(Ko*_xlfn.LOGNORM.DIST((Tabella8[[#This Row],[Day]]-po),mu_o,sigma_o,TRUE),0)</f>
        <v>118855.70257040823</v>
      </c>
      <c r="U120" s="124">
        <f>Tabella8[[#This Row],[rest of Italy fit]]/Ko</f>
        <v>0.80307916490933173</v>
      </c>
      <c r="V120" s="22">
        <f>Tabella8[[#This Row],[rest of Italy fit]]*NOT(ISBLANK(Tabella8[[#This Row],[rest of Italy ]]))</f>
        <v>118855.70257040823</v>
      </c>
      <c r="W120" s="10">
        <f>Tabella8[[#This Row],[rest of Italy fit]]+CIo</f>
        <v>223051.62946833047</v>
      </c>
      <c r="X120" s="10">
        <f>MAX(Tabella8[[#This Row],[rest of Italy fit]]-CIo,0)</f>
        <v>14659.775672485979</v>
      </c>
      <c r="Z120"/>
      <c r="AA120"/>
      <c r="AX120" s="32"/>
      <c r="AY120" s="32"/>
      <c r="BA120" s="86"/>
      <c r="BB120" s="86"/>
      <c r="BD120" s="2"/>
      <c r="BE120" s="2"/>
    </row>
    <row r="121" spans="2:57" x14ac:dyDescent="0.3">
      <c r="B121" s="9">
        <v>43944</v>
      </c>
      <c r="C121" s="4">
        <v>114</v>
      </c>
      <c r="D121" s="90">
        <v>213024</v>
      </c>
      <c r="E121" s="10">
        <f>Tabella8[[#This Row],[Spain cum. Cases]]*NOT(ISBLANK(Tabella8[[#This Row],[Spain cum. Cases]]))</f>
        <v>213024</v>
      </c>
      <c r="F121" s="146">
        <f>IFERROR(Kt*_xlfn.LOGNORM.DIST((Tabella8[[#This Row],[Day]]-Days_back),mu_t,sigma_t,TRUE),0)</f>
        <v>219206.41560791363</v>
      </c>
      <c r="G121" s="125">
        <f>Tabella8[[#This Row],[Spain cum. fit]]/Kt</f>
        <v>0.78288034717166177</v>
      </c>
      <c r="H121" s="324">
        <f>Tabella8[[#This Row],[Spain cum. fit]]*NOT(ISBLANK(Tabella8[[#This Row],[Spain cum. Cases]]))</f>
        <v>219206.41560791363</v>
      </c>
      <c r="I121" s="10">
        <f>Tabella8[[#This Row],[Spain cum. fit]]+CIt</f>
        <v>227912.59437055522</v>
      </c>
      <c r="J121" s="10">
        <f>MAX(Tabella8[[#This Row],[Spain cum. fit]]-CIt,0)</f>
        <v>210500.23684527204</v>
      </c>
      <c r="K121" s="74"/>
      <c r="L121" s="10">
        <f>Tabella8[[#This Row],[Lombardy]]*NOT(ISBLANK(Tabella8[[#This Row],[Lombardy]]))</f>
        <v>0</v>
      </c>
      <c r="M121" s="123">
        <f>IFERROR(Kr*_xlfn.LOGNORM.DIST((Tabella8[[#This Row],[Day]]-pr),mu_r,sigma_r,TRUE),0)</f>
        <v>70399.316163647018</v>
      </c>
      <c r="N121" s="123">
        <f>Tabella8[[#This Row],[Lombardy fit]]/Kr</f>
        <v>0.80918754211088528</v>
      </c>
      <c r="O121" s="10">
        <f>Tabella8[[#This Row],[Lombardy fit]]*NOT(ISBLANK(Tabella8[[#This Row],[Lombardy]]))</f>
        <v>0</v>
      </c>
      <c r="P121" s="10" t="e">
        <f>Tabella8[[#This Row],[Lombardy fit]]+CIr</f>
        <v>#NUM!</v>
      </c>
      <c r="Q121" s="10" t="e">
        <f>MAX(Tabella8[[#This Row],[Lombardy fit]]-CIr,0)</f>
        <v>#NUM!</v>
      </c>
      <c r="R121" s="10">
        <f>Tabella8[[#This Row],[Spain cum. Cases]]-Tabella8[[#This Row],[Lombardy]]</f>
        <v>213024</v>
      </c>
      <c r="S121" s="10">
        <f>Tabella8[[#This Row],[rest of Italy ]]*NOT(ISBLANK(Tabella8[[#This Row],[rest of Italy ]]))</f>
        <v>213024</v>
      </c>
      <c r="T121" s="124">
        <f>IFERROR(Ko*_xlfn.LOGNORM.DIST((Tabella8[[#This Row],[Day]]-po),mu_o,sigma_o,TRUE),0)</f>
        <v>120510.9805500728</v>
      </c>
      <c r="U121" s="124">
        <f>Tabella8[[#This Row],[rest of Italy fit]]/Ko</f>
        <v>0.81426347688472356</v>
      </c>
      <c r="V121" s="22">
        <f>Tabella8[[#This Row],[rest of Italy fit]]*NOT(ISBLANK(Tabella8[[#This Row],[rest of Italy ]]))</f>
        <v>120510.9805500728</v>
      </c>
      <c r="W121" s="10">
        <f>Tabella8[[#This Row],[rest of Italy fit]]+CIo</f>
        <v>224706.90744799504</v>
      </c>
      <c r="X121" s="10">
        <f>MAX(Tabella8[[#This Row],[rest of Italy fit]]-CIo,0)</f>
        <v>16315.053652150542</v>
      </c>
      <c r="AX121" s="32"/>
      <c r="AY121" s="32"/>
      <c r="BA121" s="86"/>
      <c r="BB121" s="86"/>
      <c r="BD121" s="2"/>
      <c r="BE121" s="2"/>
    </row>
    <row r="122" spans="2:57" x14ac:dyDescent="0.3">
      <c r="B122" s="9">
        <v>43945</v>
      </c>
      <c r="C122" s="4">
        <v>115</v>
      </c>
      <c r="D122" s="90">
        <v>219764</v>
      </c>
      <c r="E122" s="10">
        <f>Tabella8[[#This Row],[Spain cum. Cases]]*NOT(ISBLANK(Tabella8[[#This Row],[Spain cum. Cases]]))</f>
        <v>219764</v>
      </c>
      <c r="F122" s="146">
        <f>IFERROR(Kt*_xlfn.LOGNORM.DIST((Tabella8[[#This Row],[Day]]-Days_back),mu_t,sigma_t,TRUE),0)</f>
        <v>222956.06885318906</v>
      </c>
      <c r="G122" s="125">
        <f>Tabella8[[#This Row],[Spain cum. fit]]/Kt</f>
        <v>0.7962719708898528</v>
      </c>
      <c r="H122" s="324">
        <f>Tabella8[[#This Row],[Spain cum. fit]]*NOT(ISBLANK(Tabella8[[#This Row],[Spain cum. Cases]]))</f>
        <v>222956.06885318906</v>
      </c>
      <c r="I122" s="10">
        <f>Tabella8[[#This Row],[Spain cum. fit]]+CIt</f>
        <v>231662.24761583065</v>
      </c>
      <c r="J122" s="10">
        <f>MAX(Tabella8[[#This Row],[Spain cum. fit]]-CIt,0)</f>
        <v>214249.89009054747</v>
      </c>
      <c r="K122" s="74"/>
      <c r="L122" s="10">
        <f>Tabella8[[#This Row],[Lombardy]]*NOT(ISBLANK(Tabella8[[#This Row],[Lombardy]]))</f>
        <v>0</v>
      </c>
      <c r="M122" s="123">
        <f>IFERROR(Kr*_xlfn.LOGNORM.DIST((Tabella8[[#This Row],[Day]]-pr),mu_r,sigma_r,TRUE),0)</f>
        <v>71221.350024725776</v>
      </c>
      <c r="N122" s="123">
        <f>Tabella8[[#This Row],[Lombardy fit]]/Kr</f>
        <v>0.81863620718075603</v>
      </c>
      <c r="O122" s="10">
        <f>Tabella8[[#This Row],[Lombardy fit]]*NOT(ISBLANK(Tabella8[[#This Row],[Lombardy]]))</f>
        <v>0</v>
      </c>
      <c r="P122" s="10" t="e">
        <f>Tabella8[[#This Row],[Lombardy fit]]+CIr</f>
        <v>#NUM!</v>
      </c>
      <c r="Q122" s="10" t="e">
        <f>MAX(Tabella8[[#This Row],[Lombardy fit]]-CIr,0)</f>
        <v>#NUM!</v>
      </c>
      <c r="R122" s="10">
        <f>Tabella8[[#This Row],[Spain cum. Cases]]-Tabella8[[#This Row],[Lombardy]]</f>
        <v>219764</v>
      </c>
      <c r="S122" s="10">
        <f>Tabella8[[#This Row],[rest of Italy ]]*NOT(ISBLANK(Tabella8[[#This Row],[rest of Italy ]]))</f>
        <v>219764</v>
      </c>
      <c r="T122" s="124">
        <f>IFERROR(Ko*_xlfn.LOGNORM.DIST((Tabella8[[#This Row],[Day]]-po),mu_o,sigma_o,TRUE),0)</f>
        <v>122086.24815815724</v>
      </c>
      <c r="U122" s="124">
        <f>Tabella8[[#This Row],[rest of Italy fit]]/Ko</f>
        <v>0.82490717817839743</v>
      </c>
      <c r="V122" s="22">
        <f>Tabella8[[#This Row],[rest of Italy fit]]*NOT(ISBLANK(Tabella8[[#This Row],[rest of Italy ]]))</f>
        <v>122086.24815815724</v>
      </c>
      <c r="W122" s="10">
        <f>Tabella8[[#This Row],[rest of Italy fit]]+CIo</f>
        <v>226282.17505607949</v>
      </c>
      <c r="X122" s="10">
        <f>MAX(Tabella8[[#This Row],[rest of Italy fit]]-CIo,0)</f>
        <v>17890.321260234981</v>
      </c>
      <c r="AX122" s="32"/>
      <c r="AY122" s="32"/>
      <c r="BA122" s="86"/>
      <c r="BB122" s="86"/>
      <c r="BD122" s="2"/>
      <c r="BE122" s="2"/>
    </row>
    <row r="123" spans="2:57" x14ac:dyDescent="0.3">
      <c r="B123" s="9">
        <v>43946</v>
      </c>
      <c r="C123" s="4">
        <v>116</v>
      </c>
      <c r="D123" s="90">
        <v>223759</v>
      </c>
      <c r="E123" s="10">
        <f>Tabella8[[#This Row],[Spain cum. Cases]]*NOT(ISBLANK(Tabella8[[#This Row],[Spain cum. Cases]]))</f>
        <v>223759</v>
      </c>
      <c r="F123" s="146">
        <f>IFERROR(Kt*_xlfn.LOGNORM.DIST((Tabella8[[#This Row],[Day]]-Days_back),mu_t,sigma_t,TRUE),0)</f>
        <v>226520.70912663662</v>
      </c>
      <c r="G123" s="125">
        <f>Tabella8[[#This Row],[Spain cum. fit]]/Kt</f>
        <v>0.80900283374840298</v>
      </c>
      <c r="H123" s="324">
        <f>Tabella8[[#This Row],[Spain cum. fit]]*NOT(ISBLANK(Tabella8[[#This Row],[Spain cum. Cases]]))</f>
        <v>226520.70912663662</v>
      </c>
      <c r="I123" s="10">
        <f>Tabella8[[#This Row],[Spain cum. fit]]+CIt</f>
        <v>235226.88788927821</v>
      </c>
      <c r="J123" s="10">
        <f>MAX(Tabella8[[#This Row],[Spain cum. fit]]-CIt,0)</f>
        <v>217814.53036399503</v>
      </c>
      <c r="K123" s="74"/>
      <c r="L123" s="10">
        <f>Tabella8[[#This Row],[Lombardy]]*NOT(ISBLANK(Tabella8[[#This Row],[Lombardy]]))</f>
        <v>0</v>
      </c>
      <c r="M123" s="123">
        <f>IFERROR(Kr*_xlfn.LOGNORM.DIST((Tabella8[[#This Row],[Day]]-pr),mu_r,sigma_r,TRUE),0)</f>
        <v>72008.120834134315</v>
      </c>
      <c r="N123" s="123">
        <f>Tabella8[[#This Row],[Lombardy fit]]/Kr</f>
        <v>0.82767954981763581</v>
      </c>
      <c r="O123" s="10">
        <f>Tabella8[[#This Row],[Lombardy fit]]*NOT(ISBLANK(Tabella8[[#This Row],[Lombardy]]))</f>
        <v>0</v>
      </c>
      <c r="P123" s="10" t="e">
        <f>Tabella8[[#This Row],[Lombardy fit]]+CIr</f>
        <v>#NUM!</v>
      </c>
      <c r="Q123" s="10" t="e">
        <f>MAX(Tabella8[[#This Row],[Lombardy fit]]-CIr,0)</f>
        <v>#NUM!</v>
      </c>
      <c r="R123" s="10">
        <f>Tabella8[[#This Row],[Spain cum. Cases]]-Tabella8[[#This Row],[Lombardy]]</f>
        <v>223759</v>
      </c>
      <c r="S123" s="10">
        <f>Tabella8[[#This Row],[rest of Italy ]]*NOT(ISBLANK(Tabella8[[#This Row],[rest of Italy ]]))</f>
        <v>223759</v>
      </c>
      <c r="T123" s="124">
        <f>IFERROR(Ko*_xlfn.LOGNORM.DIST((Tabella8[[#This Row],[Day]]-po),mu_o,sigma_o,TRUE),0)</f>
        <v>123583.88987487515</v>
      </c>
      <c r="U123" s="124">
        <f>Tabella8[[#This Row],[rest of Italy fit]]/Ko</f>
        <v>0.83502638014502351</v>
      </c>
      <c r="V123" s="22">
        <f>Tabella8[[#This Row],[rest of Italy fit]]*NOT(ISBLANK(Tabella8[[#This Row],[rest of Italy ]]))</f>
        <v>123583.88987487515</v>
      </c>
      <c r="W123" s="10">
        <f>Tabella8[[#This Row],[rest of Italy fit]]+CIo</f>
        <v>227779.81677279741</v>
      </c>
      <c r="X123" s="10">
        <f>MAX(Tabella8[[#This Row],[rest of Italy fit]]-CIo,0)</f>
        <v>19387.962976952898</v>
      </c>
      <c r="AX123" s="32"/>
      <c r="AY123" s="32"/>
      <c r="BA123" s="86"/>
      <c r="BB123" s="86"/>
      <c r="BD123" s="2"/>
      <c r="BE123" s="2"/>
    </row>
    <row r="124" spans="2:57" x14ac:dyDescent="0.3">
      <c r="B124" s="9">
        <v>43947</v>
      </c>
      <c r="C124" s="4">
        <v>117</v>
      </c>
      <c r="D124" s="90">
        <v>226629</v>
      </c>
      <c r="E124" s="10">
        <f>Tabella8[[#This Row],[Spain cum. Cases]]*NOT(ISBLANK(Tabella8[[#This Row],[Spain cum. Cases]]))</f>
        <v>226629</v>
      </c>
      <c r="F124" s="146">
        <f>IFERROR(Kt*_xlfn.LOGNORM.DIST((Tabella8[[#This Row],[Day]]-Days_back),mu_t,sigma_t,TRUE),0)</f>
        <v>229904.48803498896</v>
      </c>
      <c r="G124" s="125">
        <f>Tabella8[[#This Row],[Spain cum. fit]]/Kt</f>
        <v>0.82108776291973418</v>
      </c>
      <c r="H124" s="324">
        <f>Tabella8[[#This Row],[Spain cum. fit]]*NOT(ISBLANK(Tabella8[[#This Row],[Spain cum. Cases]]))</f>
        <v>229904.48803498896</v>
      </c>
      <c r="I124" s="10">
        <f>Tabella8[[#This Row],[Spain cum. fit]]+CIt</f>
        <v>238610.66679763055</v>
      </c>
      <c r="J124" s="10">
        <f>MAX(Tabella8[[#This Row],[Spain cum. fit]]-CIt,0)</f>
        <v>221198.30927234737</v>
      </c>
      <c r="K124" s="74"/>
      <c r="L124" s="10">
        <f>Tabella8[[#This Row],[Lombardy]]*NOT(ISBLANK(Tabella8[[#This Row],[Lombardy]]))</f>
        <v>0</v>
      </c>
      <c r="M124" s="123">
        <f>IFERROR(Kr*_xlfn.LOGNORM.DIST((Tabella8[[#This Row],[Day]]-pr),mu_r,sigma_r,TRUE),0)</f>
        <v>72760.621375470975</v>
      </c>
      <c r="N124" s="123">
        <f>Tabella8[[#This Row],[Lombardy fit]]/Kr</f>
        <v>0.83632898132725264</v>
      </c>
      <c r="O124" s="10">
        <f>Tabella8[[#This Row],[Lombardy fit]]*NOT(ISBLANK(Tabella8[[#This Row],[Lombardy]]))</f>
        <v>0</v>
      </c>
      <c r="P124" s="10" t="e">
        <f>Tabella8[[#This Row],[Lombardy fit]]+CIr</f>
        <v>#NUM!</v>
      </c>
      <c r="Q124" s="10" t="e">
        <f>MAX(Tabella8[[#This Row],[Lombardy fit]]-CIr,0)</f>
        <v>#NUM!</v>
      </c>
      <c r="R124" s="10">
        <f>Tabella8[[#This Row],[Spain cum. Cases]]-Tabella8[[#This Row],[Lombardy]]</f>
        <v>226629</v>
      </c>
      <c r="S124" s="10">
        <f>Tabella8[[#This Row],[rest of Italy ]]*NOT(ISBLANK(Tabella8[[#This Row],[rest of Italy ]]))</f>
        <v>226629</v>
      </c>
      <c r="T124" s="124">
        <f>IFERROR(Ko*_xlfn.LOGNORM.DIST((Tabella8[[#This Row],[Day]]-po),mu_o,sigma_o,TRUE),0)</f>
        <v>125006.38788010621</v>
      </c>
      <c r="U124" s="124">
        <f>Tabella8[[#This Row],[rest of Italy fit]]/Ko</f>
        <v>0.8446378542722276</v>
      </c>
      <c r="V124" s="22">
        <f>Tabella8[[#This Row],[rest of Italy fit]]*NOT(ISBLANK(Tabella8[[#This Row],[rest of Italy ]]))</f>
        <v>125006.38788010621</v>
      </c>
      <c r="W124" s="10">
        <f>Tabella8[[#This Row],[rest of Italy fit]]+CIo</f>
        <v>229202.31477802846</v>
      </c>
      <c r="X124" s="10">
        <f>MAX(Tabella8[[#This Row],[rest of Italy fit]]-CIo,0)</f>
        <v>20810.460982183955</v>
      </c>
      <c r="AX124" s="32"/>
      <c r="AY124" s="32"/>
      <c r="BA124" s="86"/>
      <c r="BB124" s="86"/>
      <c r="BD124" s="2"/>
      <c r="BE124" s="2"/>
    </row>
    <row r="125" spans="2:57" x14ac:dyDescent="0.3">
      <c r="B125" s="9">
        <v>43948</v>
      </c>
      <c r="C125" s="4">
        <v>118</v>
      </c>
      <c r="D125" s="90">
        <v>229422</v>
      </c>
      <c r="E125" s="10">
        <f>Tabella8[[#This Row],[Spain cum. Cases]]*NOT(ISBLANK(Tabella8[[#This Row],[Spain cum. Cases]]))</f>
        <v>229422</v>
      </c>
      <c r="F125" s="146">
        <f>IFERROR(Kt*_xlfn.LOGNORM.DIST((Tabella8[[#This Row],[Day]]-Days_back),mu_t,sigma_t,TRUE),0)</f>
        <v>233112.05895539187</v>
      </c>
      <c r="G125" s="125">
        <f>Tabella8[[#This Row],[Spain cum. fit]]/Kt</f>
        <v>0.832543377614125</v>
      </c>
      <c r="H125" s="324">
        <f>Tabella8[[#This Row],[Spain cum. fit]]*NOT(ISBLANK(Tabella8[[#This Row],[Spain cum. Cases]]))</f>
        <v>233112.05895539187</v>
      </c>
      <c r="I125" s="10">
        <f>Tabella8[[#This Row],[Spain cum. fit]]+CIt</f>
        <v>241818.23771803346</v>
      </c>
      <c r="J125" s="10">
        <f>MAX(Tabella8[[#This Row],[Spain cum. fit]]-CIt,0)</f>
        <v>224405.88019275028</v>
      </c>
      <c r="K125" s="74"/>
      <c r="L125" s="10">
        <f>Tabella8[[#This Row],[Lombardy]]*NOT(ISBLANK(Tabella8[[#This Row],[Lombardy]]))</f>
        <v>0</v>
      </c>
      <c r="M125" s="123">
        <f>IFERROR(Kr*_xlfn.LOGNORM.DIST((Tabella8[[#This Row],[Day]]-pr),mu_r,sigma_r,TRUE),0)</f>
        <v>73479.869131409956</v>
      </c>
      <c r="N125" s="123">
        <f>Tabella8[[#This Row],[Lombardy fit]]/Kr</f>
        <v>0.84459619691275811</v>
      </c>
      <c r="O125" s="10">
        <f>Tabella8[[#This Row],[Lombardy fit]]*NOT(ISBLANK(Tabella8[[#This Row],[Lombardy]]))</f>
        <v>0</v>
      </c>
      <c r="P125" s="10" t="e">
        <f>Tabella8[[#This Row],[Lombardy fit]]+CIr</f>
        <v>#NUM!</v>
      </c>
      <c r="Q125" s="10" t="e">
        <f>MAX(Tabella8[[#This Row],[Lombardy fit]]-CIr,0)</f>
        <v>#NUM!</v>
      </c>
      <c r="R125" s="10">
        <f>Tabella8[[#This Row],[Spain cum. Cases]]-Tabella8[[#This Row],[Lombardy]]</f>
        <v>229422</v>
      </c>
      <c r="S125" s="10">
        <f>Tabella8[[#This Row],[rest of Italy ]]*NOT(ISBLANK(Tabella8[[#This Row],[rest of Italy ]]))</f>
        <v>229422</v>
      </c>
      <c r="T125" s="124">
        <f>IFERROR(Ko*_xlfn.LOGNORM.DIST((Tabella8[[#This Row],[Day]]-po),mu_o,sigma_o,TRUE),0)</f>
        <v>126356.29703916883</v>
      </c>
      <c r="U125" s="124">
        <f>Tabella8[[#This Row],[rest of Italy fit]]/Ko</f>
        <v>0.85375886316552219</v>
      </c>
      <c r="V125" s="22">
        <f>Tabella8[[#This Row],[rest of Italy fit]]*NOT(ISBLANK(Tabella8[[#This Row],[rest of Italy ]]))</f>
        <v>126356.29703916883</v>
      </c>
      <c r="W125" s="10">
        <f>Tabella8[[#This Row],[rest of Italy fit]]+CIo</f>
        <v>230552.22393709107</v>
      </c>
      <c r="X125" s="10">
        <f>MAX(Tabella8[[#This Row],[rest of Italy fit]]-CIo,0)</f>
        <v>22160.370141246574</v>
      </c>
      <c r="AX125" s="32"/>
      <c r="AY125" s="32"/>
      <c r="BA125" s="86"/>
      <c r="BB125" s="86"/>
      <c r="BD125" s="2"/>
      <c r="BE125" s="2"/>
    </row>
    <row r="126" spans="2:57" x14ac:dyDescent="0.3">
      <c r="B126" s="9">
        <v>43949</v>
      </c>
      <c r="C126" s="4">
        <v>119</v>
      </c>
      <c r="D126" s="90">
        <v>232128</v>
      </c>
      <c r="E126" s="10">
        <f>Tabella8[[#This Row],[Spain cum. Cases]]*NOT(ISBLANK(Tabella8[[#This Row],[Spain cum. Cases]]))</f>
        <v>232128</v>
      </c>
      <c r="F126" s="146">
        <f>IFERROR(Kt*_xlfn.LOGNORM.DIST((Tabella8[[#This Row],[Day]]-Days_back),mu_t,sigma_t,TRUE),0)</f>
        <v>236148.49209247582</v>
      </c>
      <c r="G126" s="125">
        <f>Tabella8[[#This Row],[Spain cum. fit]]/Kt</f>
        <v>0.84338778571199646</v>
      </c>
      <c r="H126" s="324">
        <f>Tabella8[[#This Row],[Spain cum. fit]]*NOT(ISBLANK(Tabella8[[#This Row],[Spain cum. Cases]]))</f>
        <v>236148.49209247582</v>
      </c>
      <c r="I126" s="10">
        <f>Tabella8[[#This Row],[Spain cum. fit]]+CIt</f>
        <v>244854.67085511741</v>
      </c>
      <c r="J126" s="10">
        <f>MAX(Tabella8[[#This Row],[Spain cum. fit]]-CIt,0)</f>
        <v>227442.31332983423</v>
      </c>
      <c r="K126" s="74"/>
      <c r="L126" s="10">
        <f>Tabella8[[#This Row],[Lombardy]]*NOT(ISBLANK(Tabella8[[#This Row],[Lombardy]]))</f>
        <v>0</v>
      </c>
      <c r="M126" s="123">
        <f>IFERROR(Kr*_xlfn.LOGNORM.DIST((Tabella8[[#This Row],[Day]]-pr),mu_r,sigma_r,TRUE),0)</f>
        <v>74166.8993147609</v>
      </c>
      <c r="N126" s="123">
        <f>Tabella8[[#This Row],[Lombardy fit]]/Kr</f>
        <v>0.8524930955719644</v>
      </c>
      <c r="O126" s="10">
        <f>Tabella8[[#This Row],[Lombardy fit]]*NOT(ISBLANK(Tabella8[[#This Row],[Lombardy]]))</f>
        <v>0</v>
      </c>
      <c r="P126" s="10" t="e">
        <f>Tabella8[[#This Row],[Lombardy fit]]+CIr</f>
        <v>#NUM!</v>
      </c>
      <c r="Q126" s="10" t="e">
        <f>MAX(Tabella8[[#This Row],[Lombardy fit]]-CIr,0)</f>
        <v>#NUM!</v>
      </c>
      <c r="R126" s="10">
        <f>Tabella8[[#This Row],[Spain cum. Cases]]-Tabella8[[#This Row],[Lombardy]]</f>
        <v>232128</v>
      </c>
      <c r="S126" s="10">
        <f>Tabella8[[#This Row],[rest of Italy ]]*NOT(ISBLANK(Tabella8[[#This Row],[rest of Italy ]]))</f>
        <v>232128</v>
      </c>
      <c r="T126" s="124">
        <f>IFERROR(Ko*_xlfn.LOGNORM.DIST((Tabella8[[#This Row],[Day]]-po),mu_o,sigma_o,TRUE),0)</f>
        <v>127636.22235321964</v>
      </c>
      <c r="U126" s="124">
        <f>Tabella8[[#This Row],[rest of Italy fit]]/Ko</f>
        <v>0.86240700818612259</v>
      </c>
      <c r="V126" s="22">
        <f>Tabella8[[#This Row],[rest of Italy fit]]*NOT(ISBLANK(Tabella8[[#This Row],[rest of Italy ]]))</f>
        <v>127636.22235321964</v>
      </c>
      <c r="W126" s="10">
        <f>Tabella8[[#This Row],[rest of Italy fit]]+CIo</f>
        <v>231832.14925114188</v>
      </c>
      <c r="X126" s="10">
        <f>MAX(Tabella8[[#This Row],[rest of Italy fit]]-CIo,0)</f>
        <v>23440.295455297382</v>
      </c>
      <c r="AX126" s="32"/>
      <c r="AY126" s="32"/>
      <c r="BA126" s="86"/>
      <c r="BB126" s="86"/>
      <c r="BD126" s="2"/>
      <c r="BE126" s="2"/>
    </row>
    <row r="127" spans="2:57" x14ac:dyDescent="0.3">
      <c r="B127" s="9">
        <v>43950</v>
      </c>
      <c r="C127" s="4">
        <v>120</v>
      </c>
      <c r="D127" s="90"/>
      <c r="E127" s="10">
        <f>Tabella8[[#This Row],[Spain cum. Cases]]*NOT(ISBLANK(Tabella8[[#This Row],[Spain cum. Cases]]))</f>
        <v>0</v>
      </c>
      <c r="F127" s="146">
        <f>IFERROR(Kt*_xlfn.LOGNORM.DIST((Tabella8[[#This Row],[Day]]-Days_back),mu_t,sigma_t,TRUE),0)</f>
        <v>239019.19568622627</v>
      </c>
      <c r="G127" s="125">
        <f>Tabella8[[#This Row],[Spain cum. fit]]/Kt</f>
        <v>0.85364030236334376</v>
      </c>
      <c r="H127" s="324">
        <f>Tabella8[[#This Row],[Spain cum. fit]]*NOT(ISBLANK(Tabella8[[#This Row],[Spain cum. Cases]]))</f>
        <v>0</v>
      </c>
      <c r="I127" s="10"/>
      <c r="J127" s="10"/>
      <c r="K127" s="75"/>
      <c r="L127" s="10">
        <f>Tabella8[[#This Row],[Lombardy]]*NOT(ISBLANK(Tabella8[[#This Row],[Lombardy]]))</f>
        <v>0</v>
      </c>
      <c r="M127" s="123">
        <f>IFERROR(Kr*_xlfn.LOGNORM.DIST((Tabella8[[#This Row],[Day]]-pr),mu_r,sigma_r,TRUE),0)</f>
        <v>74822.758559943803</v>
      </c>
      <c r="N127" s="123">
        <f>Tabella8[[#This Row],[Lombardy fit]]/Kr</f>
        <v>0.86003170758556091</v>
      </c>
      <c r="O127" s="10">
        <f>Tabella8[[#This Row],[Lombardy fit]]*NOT(ISBLANK(Tabella8[[#This Row],[Lombardy]]))</f>
        <v>0</v>
      </c>
      <c r="Q127" s="2"/>
      <c r="S127" s="10">
        <f>Tabella8[[#This Row],[rest of Italy ]]*NOT(ISBLANK(Tabella8[[#This Row],[rest of Italy ]]))</f>
        <v>0</v>
      </c>
      <c r="T127" s="124">
        <f>IFERROR(Ko*_xlfn.LOGNORM.DIST((Tabella8[[#This Row],[Day]]-po),mu_o,sigma_o,TRUE),0)</f>
        <v>128848.7987632664</v>
      </c>
      <c r="U127" s="124">
        <f>Tabella8[[#This Row],[rest of Italy fit]]/Ko</f>
        <v>0.87060009299155927</v>
      </c>
      <c r="V127" s="22">
        <f>Tabella8[[#This Row],[rest of Italy fit]]*NOT(ISBLANK(Tabella8[[#This Row],[rest of Italy ]]))</f>
        <v>0</v>
      </c>
      <c r="X127" s="2"/>
      <c r="AX127" s="32"/>
      <c r="AY127" s="32"/>
      <c r="BA127" s="86"/>
      <c r="BB127" s="86"/>
      <c r="BD127" s="2"/>
      <c r="BE127" s="2"/>
    </row>
    <row r="128" spans="2:57" x14ac:dyDescent="0.3">
      <c r="B128" s="9">
        <v>43951</v>
      </c>
      <c r="C128" s="4">
        <v>121</v>
      </c>
      <c r="D128" s="90"/>
      <c r="E128" s="10">
        <f>Tabella8[[#This Row],[Spain cum. Cases]]*NOT(ISBLANK(Tabella8[[#This Row],[Spain cum. Cases]]))</f>
        <v>0</v>
      </c>
      <c r="F128" s="146">
        <f>IFERROR(Kt*_xlfn.LOGNORM.DIST((Tabella8[[#This Row],[Day]]-Days_back),mu_t,sigma_t,TRUE),0)</f>
        <v>241729.84349012436</v>
      </c>
      <c r="G128" s="125">
        <f>Tabella8[[#This Row],[Spain cum. fit]]/Kt</f>
        <v>0.8633211909809998</v>
      </c>
      <c r="H128" s="324">
        <f>Tabella8[[#This Row],[Spain cum. fit]]*NOT(ISBLANK(Tabella8[[#This Row],[Spain cum. Cases]]))</f>
        <v>0</v>
      </c>
      <c r="I128" s="10"/>
      <c r="J128" s="10"/>
      <c r="K128" s="75"/>
      <c r="L128" s="10">
        <f>Tabella8[[#This Row],[Lombardy]]*NOT(ISBLANK(Tabella8[[#This Row],[Lombardy]]))</f>
        <v>0</v>
      </c>
      <c r="M128" s="123">
        <f>IFERROR(Kr*_xlfn.LOGNORM.DIST((Tabella8[[#This Row],[Day]]-pr),mu_r,sigma_r,TRUE),0)</f>
        <v>75448.499241512851</v>
      </c>
      <c r="N128" s="123">
        <f>Tabella8[[#This Row],[Lombardy fit]]/Kr</f>
        <v>0.86722412921279135</v>
      </c>
      <c r="O128" s="10">
        <f>Tabella8[[#This Row],[Lombardy fit]]*NOT(ISBLANK(Tabella8[[#This Row],[Lombardy]]))</f>
        <v>0</v>
      </c>
      <c r="Q128" s="2"/>
      <c r="S128" s="10">
        <f>Tabella8[[#This Row],[rest of Italy ]]*NOT(ISBLANK(Tabella8[[#This Row],[rest of Italy ]]))</f>
        <v>0</v>
      </c>
      <c r="T128" s="124">
        <f>IFERROR(Ko*_xlfn.LOGNORM.DIST((Tabella8[[#This Row],[Day]]-po),mu_o,sigma_o,TRUE),0)</f>
        <v>129996.67318453532</v>
      </c>
      <c r="U128" s="124">
        <f>Tabella8[[#This Row],[rest of Italy fit]]/Ko</f>
        <v>0.87835600214625331</v>
      </c>
      <c r="V128" s="22">
        <f>Tabella8[[#This Row],[rest of Italy fit]]*NOT(ISBLANK(Tabella8[[#This Row],[rest of Italy ]]))</f>
        <v>0</v>
      </c>
      <c r="X128" s="2"/>
      <c r="AX128" s="32"/>
      <c r="AY128" s="32"/>
      <c r="BA128" s="86"/>
      <c r="BB128" s="86"/>
      <c r="BD128" s="2"/>
      <c r="BE128" s="2"/>
    </row>
    <row r="129" spans="2:57" x14ac:dyDescent="0.3">
      <c r="B129" s="9">
        <v>43952</v>
      </c>
      <c r="C129" s="4">
        <v>122</v>
      </c>
      <c r="D129" s="90"/>
      <c r="E129" s="10">
        <f>Tabella8[[#This Row],[Spain cum. Cases]]*NOT(ISBLANK(Tabella8[[#This Row],[Spain cum. Cases]]))</f>
        <v>0</v>
      </c>
      <c r="F129" s="146">
        <f>IFERROR(Kt*_xlfn.LOGNORM.DIST((Tabella8[[#This Row],[Day]]-Days_back),mu_t,sigma_t,TRUE),0)</f>
        <v>244286.30852881007</v>
      </c>
      <c r="G129" s="125">
        <f>Tabella8[[#This Row],[Spain cum. fit]]/Kt</f>
        <v>0.87245142666077258</v>
      </c>
      <c r="H129" s="324">
        <f>Tabella8[[#This Row],[Spain cum. fit]]*NOT(ISBLANK(Tabella8[[#This Row],[Spain cum. Cases]]))</f>
        <v>0</v>
      </c>
      <c r="I129" s="10"/>
      <c r="J129" s="10"/>
      <c r="K129" s="75"/>
      <c r="L129" s="10">
        <f>Tabella8[[#This Row],[Lombardy]]*NOT(ISBLANK(Tabella8[[#This Row],[Lombardy]]))</f>
        <v>0</v>
      </c>
      <c r="M129" s="123">
        <f>IFERROR(Kr*_xlfn.LOGNORM.DIST((Tabella8[[#This Row],[Day]]-pr),mu_r,sigma_r,TRUE),0)</f>
        <v>76045.1743849841</v>
      </c>
      <c r="N129" s="123">
        <f>Tabella8[[#This Row],[Lombardy fit]]/Kr</f>
        <v>0.87408246419521951</v>
      </c>
      <c r="O129" s="10">
        <f>Tabella8[[#This Row],[Lombardy fit]]*NOT(ISBLANK(Tabella8[[#This Row],[Lombardy]]))</f>
        <v>0</v>
      </c>
      <c r="Q129" s="2"/>
      <c r="S129" s="10">
        <f>Tabella8[[#This Row],[rest of Italy ]]*NOT(ISBLANK(Tabella8[[#This Row],[rest of Italy ]]))</f>
        <v>0</v>
      </c>
      <c r="T129" s="124">
        <f>IFERROR(Ko*_xlfn.LOGNORM.DIST((Tabella8[[#This Row],[Day]]-po),mu_o,sigma_o,TRUE),0)</f>
        <v>131082.48863962723</v>
      </c>
      <c r="U129" s="124">
        <f>Tabella8[[#This Row],[rest of Italy fit]]/Ko</f>
        <v>0.88569259391310018</v>
      </c>
      <c r="V129" s="22">
        <f>Tabella8[[#This Row],[rest of Italy fit]]*NOT(ISBLANK(Tabella8[[#This Row],[rest of Italy ]]))</f>
        <v>0</v>
      </c>
      <c r="X129" s="2"/>
      <c r="AX129" s="32"/>
      <c r="AY129" s="32"/>
      <c r="BA129" s="86"/>
      <c r="BB129" s="86"/>
      <c r="BD129" s="2"/>
      <c r="BE129" s="2"/>
    </row>
    <row r="130" spans="2:57" x14ac:dyDescent="0.3">
      <c r="B130" s="9">
        <v>43953</v>
      </c>
      <c r="C130" s="4">
        <v>123</v>
      </c>
      <c r="D130" s="90"/>
      <c r="E130" s="10">
        <f>Tabella8[[#This Row],[Spain cum. Cases]]*NOT(ISBLANK(Tabella8[[#This Row],[Spain cum. Cases]]))</f>
        <v>0</v>
      </c>
      <c r="F130" s="146">
        <f>IFERROR(Kt*_xlfn.LOGNORM.DIST((Tabella8[[#This Row],[Day]]-Days_back),mu_t,sigma_t,TRUE),0)</f>
        <v>246694.60305259068</v>
      </c>
      <c r="G130" s="125">
        <f>Tabella8[[#This Row],[Spain cum. fit]]/Kt</f>
        <v>0.88105248173318129</v>
      </c>
      <c r="H130" s="324">
        <f>Tabella8[[#This Row],[Spain cum. fit]]*NOT(ISBLANK(Tabella8[[#This Row],[Spain cum. Cases]]))</f>
        <v>0</v>
      </c>
      <c r="I130" s="10"/>
      <c r="J130" s="10"/>
      <c r="K130" s="75"/>
      <c r="L130" s="10">
        <f>Tabella8[[#This Row],[Lombardy]]*NOT(ISBLANK(Tabella8[[#This Row],[Lombardy]]))</f>
        <v>0</v>
      </c>
      <c r="M130" s="123">
        <f>IFERROR(Kr*_xlfn.LOGNORM.DIST((Tabella8[[#This Row],[Day]]-pr),mu_r,sigma_r,TRUE),0)</f>
        <v>76613.833134465094</v>
      </c>
      <c r="N130" s="123">
        <f>Tabella8[[#This Row],[Lombardy fit]]/Kr</f>
        <v>0.88061877166051827</v>
      </c>
      <c r="O130" s="10">
        <f>Tabella8[[#This Row],[Lombardy fit]]*NOT(ISBLANK(Tabella8[[#This Row],[Lombardy]]))</f>
        <v>0</v>
      </c>
      <c r="Q130" s="2"/>
      <c r="S130" s="10">
        <f>Tabella8[[#This Row],[rest of Italy ]]*NOT(ISBLANK(Tabella8[[#This Row],[rest of Italy ]]))</f>
        <v>0</v>
      </c>
      <c r="T130" s="124">
        <f>IFERROR(Ko*_xlfn.LOGNORM.DIST((Tabella8[[#This Row],[Day]]-po),mu_o,sigma_o,TRUE),0)</f>
        <v>132108.87035394527</v>
      </c>
      <c r="U130" s="124">
        <f>Tabella8[[#This Row],[rest of Italy fit]]/Ko</f>
        <v>0.89262760630364535</v>
      </c>
      <c r="V130" s="22">
        <f>Tabella8[[#This Row],[rest of Italy fit]]*NOT(ISBLANK(Tabella8[[#This Row],[rest of Italy ]]))</f>
        <v>0</v>
      </c>
      <c r="X130" s="2"/>
      <c r="AX130" s="76"/>
      <c r="AY130" s="76"/>
      <c r="BA130" s="86"/>
      <c r="BB130" s="86"/>
      <c r="BD130" s="2"/>
      <c r="BE130" s="2"/>
    </row>
    <row r="131" spans="2:57" x14ac:dyDescent="0.3">
      <c r="B131" s="9">
        <v>43954</v>
      </c>
      <c r="C131" s="4">
        <v>124</v>
      </c>
      <c r="D131" s="90"/>
      <c r="E131" s="10">
        <f>Tabella8[[#This Row],[Spain cum. Cases]]*NOT(ISBLANK(Tabella8[[#This Row],[Spain cum. Cases]]))</f>
        <v>0</v>
      </c>
      <c r="F131" s="146">
        <f>IFERROR(Kt*_xlfn.LOGNORM.DIST((Tabella8[[#This Row],[Day]]-Days_back),mu_t,sigma_t,TRUE),0)</f>
        <v>248960.82453100066</v>
      </c>
      <c r="G131" s="125">
        <f>Tabella8[[#This Row],[Spain cum. fit]]/Kt</f>
        <v>0.88914613288324118</v>
      </c>
      <c r="H131" s="324">
        <f>Tabella8[[#This Row],[Spain cum. fit]]*NOT(ISBLANK(Tabella8[[#This Row],[Spain cum. Cases]]))</f>
        <v>0</v>
      </c>
      <c r="I131" s="10"/>
      <c r="J131" s="10"/>
      <c r="K131" s="75"/>
      <c r="L131" s="10">
        <f>Tabella8[[#This Row],[Lombardy]]*NOT(ISBLANK(Tabella8[[#This Row],[Lombardy]]))</f>
        <v>0</v>
      </c>
      <c r="M131" s="123">
        <f>IFERROR(Kr*_xlfn.LOGNORM.DIST((Tabella8[[#This Row],[Day]]-pr),mu_r,sigma_r,TRUE),0)</f>
        <v>77155.516741352141</v>
      </c>
      <c r="N131" s="123">
        <f>Tabella8[[#This Row],[Lombardy fit]]/Kr</f>
        <v>0.88684502001554188</v>
      </c>
      <c r="O131" s="10">
        <f>Tabella8[[#This Row],[Lombardy fit]]*NOT(ISBLANK(Tabella8[[#This Row],[Lombardy]]))</f>
        <v>0</v>
      </c>
      <c r="Q131" s="2"/>
      <c r="S131" s="10">
        <f>Tabella8[[#This Row],[rest of Italy ]]*NOT(ISBLANK(Tabella8[[#This Row],[rest of Italy ]]))</f>
        <v>0</v>
      </c>
      <c r="T131" s="124">
        <f>IFERROR(Ko*_xlfn.LOGNORM.DIST((Tabella8[[#This Row],[Day]]-po),mu_o,sigma_o,TRUE),0)</f>
        <v>133078.41367472205</v>
      </c>
      <c r="U131" s="124">
        <f>Tabella8[[#This Row],[rest of Italy fit]]/Ko</f>
        <v>0.89917857544988045</v>
      </c>
      <c r="V131" s="22">
        <f>Tabella8[[#This Row],[rest of Italy fit]]*NOT(ISBLANK(Tabella8[[#This Row],[rest of Italy ]]))</f>
        <v>0</v>
      </c>
      <c r="X131" s="2"/>
      <c r="AX131" s="76"/>
      <c r="AY131" s="76"/>
      <c r="BA131" s="86"/>
      <c r="BB131" s="86"/>
      <c r="BD131" s="2"/>
      <c r="BE131" s="2"/>
    </row>
    <row r="132" spans="2:57" x14ac:dyDescent="0.3">
      <c r="B132" s="9">
        <v>43955</v>
      </c>
      <c r="C132" s="4">
        <v>125</v>
      </c>
      <c r="D132" s="90"/>
      <c r="E132" s="10">
        <f>Tabella8[[#This Row],[Spain cum. Cases]]*NOT(ISBLANK(Tabella8[[#This Row],[Spain cum. Cases]]))</f>
        <v>0</v>
      </c>
      <c r="F132" s="146">
        <f>IFERROR(Kt*_xlfn.LOGNORM.DIST((Tabella8[[#This Row],[Day]]-Days_back),mu_t,sigma_t,TRUE),0)</f>
        <v>251091.10746769517</v>
      </c>
      <c r="G132" s="125">
        <f>Tabella8[[#This Row],[Spain cum. fit]]/Kt</f>
        <v>0.89675428906073329</v>
      </c>
      <c r="H132" s="324">
        <f>Tabella8[[#This Row],[Spain cum. fit]]*NOT(ISBLANK(Tabella8[[#This Row],[Spain cum. Cases]]))</f>
        <v>0</v>
      </c>
      <c r="I132" s="10"/>
      <c r="J132" s="10"/>
      <c r="K132" s="75"/>
      <c r="L132" s="10">
        <f>Tabella8[[#This Row],[Lombardy]]*NOT(ISBLANK(Tabella8[[#This Row],[Lombardy]]))</f>
        <v>0</v>
      </c>
      <c r="M132" s="123">
        <f>IFERROR(Kr*_xlfn.LOGNORM.DIST((Tabella8[[#This Row],[Day]]-pr),mu_r,sigma_r,TRUE),0)</f>
        <v>77671.255038565258</v>
      </c>
      <c r="N132" s="123">
        <f>Tabella8[[#This Row],[Lombardy fit]]/Kr</f>
        <v>0.89277304642029032</v>
      </c>
      <c r="O132" s="10">
        <f>Tabella8[[#This Row],[Lombardy fit]]*NOT(ISBLANK(Tabella8[[#This Row],[Lombardy]]))</f>
        <v>0</v>
      </c>
      <c r="Q132" s="2"/>
      <c r="S132" s="10">
        <f>Tabella8[[#This Row],[rest of Italy ]]*NOT(ISBLANK(Tabella8[[#This Row],[rest of Italy ]]))</f>
        <v>0</v>
      </c>
      <c r="T132" s="124">
        <f>IFERROR(Ko*_xlfn.LOGNORM.DIST((Tabella8[[#This Row],[Day]]-po),mu_o,sigma_o,TRUE),0)</f>
        <v>133993.67367513973</v>
      </c>
      <c r="U132" s="124">
        <f>Tabella8[[#This Row],[rest of Italy fit]]/Ko</f>
        <v>0.90536276536180271</v>
      </c>
      <c r="V132" s="22">
        <f>Tabella8[[#This Row],[rest of Italy fit]]*NOT(ISBLANK(Tabella8[[#This Row],[rest of Italy ]]))</f>
        <v>0</v>
      </c>
      <c r="X132" s="2"/>
      <c r="AX132" s="76"/>
      <c r="AY132" s="76"/>
      <c r="BA132" s="86"/>
      <c r="BB132" s="86"/>
      <c r="BD132" s="2"/>
      <c r="BE132" s="2"/>
    </row>
    <row r="133" spans="2:57" x14ac:dyDescent="0.3">
      <c r="B133" s="9">
        <v>43956</v>
      </c>
      <c r="C133" s="4">
        <v>126</v>
      </c>
      <c r="D133" s="90"/>
      <c r="E133" s="10">
        <f>Tabella8[[#This Row],[Spain cum. Cases]]*NOT(ISBLANK(Tabella8[[#This Row],[Spain cum. Cases]]))</f>
        <v>0</v>
      </c>
      <c r="F133" s="146">
        <f>IFERROR(Kt*_xlfn.LOGNORM.DIST((Tabella8[[#This Row],[Day]]-Days_back),mu_t,sigma_t,TRUE),0)</f>
        <v>253091.58077261291</v>
      </c>
      <c r="G133" s="125">
        <f>Tabella8[[#This Row],[Spain cum. fit]]/Kt</f>
        <v>0.90389883923787284</v>
      </c>
      <c r="H133" s="324">
        <f>Tabella8[[#This Row],[Spain cum. fit]]*NOT(ISBLANK(Tabella8[[#This Row],[Spain cum. Cases]]))</f>
        <v>0</v>
      </c>
      <c r="J133" s="2"/>
      <c r="K133" s="75"/>
      <c r="L133" s="10">
        <f>Tabella8[[#This Row],[Lombardy]]*NOT(ISBLANK(Tabella8[[#This Row],[Lombardy]]))</f>
        <v>0</v>
      </c>
      <c r="M133" s="123">
        <f>IFERROR(Kr*_xlfn.LOGNORM.DIST((Tabella8[[#This Row],[Day]]-pr),mu_r,sigma_r,TRUE),0)</f>
        <v>78162.063365355221</v>
      </c>
      <c r="N133" s="123">
        <f>Tabella8[[#This Row],[Lombardy fit]]/Kr</f>
        <v>0.89841452144086464</v>
      </c>
      <c r="O133" s="22">
        <f>Tabella8[[#This Row],[Lombardy fit]]*NOT(ISBLANK(Tabella8[[#This Row],[Lombardy]]))</f>
        <v>0</v>
      </c>
      <c r="Q133" s="2"/>
      <c r="S133" s="10">
        <f>Tabella8[[#This Row],[rest of Italy ]]*NOT(ISBLANK(Tabella8[[#This Row],[rest of Italy ]]))</f>
        <v>0</v>
      </c>
      <c r="T133" s="124">
        <f>IFERROR(Ko*_xlfn.LOGNORM.DIST((Tabella8[[#This Row],[Day]]-po),mu_o,sigma_o,TRUE),0)</f>
        <v>134857.15630708213</v>
      </c>
      <c r="U133" s="124">
        <f>Tabella8[[#This Row],[rest of Italy fit]]/Ko</f>
        <v>0.91119710814870625</v>
      </c>
      <c r="V133" s="22">
        <f>Tabella8[[#This Row],[rest of Italy fit]]*NOT(ISBLANK(Tabella8[[#This Row],[rest of Italy ]]))</f>
        <v>0</v>
      </c>
      <c r="X133" s="2"/>
      <c r="AX133" s="76"/>
      <c r="AY133" s="76"/>
      <c r="BA133" s="86"/>
      <c r="BB133" s="86"/>
      <c r="BD133" s="2"/>
      <c r="BE133" s="2"/>
    </row>
    <row r="134" spans="2:57" x14ac:dyDescent="0.3">
      <c r="B134" s="9">
        <v>43957</v>
      </c>
      <c r="C134" s="4">
        <v>127</v>
      </c>
      <c r="D134" s="90"/>
      <c r="E134" s="10">
        <f>Tabella8[[#This Row],[Spain cum. Cases]]*NOT(ISBLANK(Tabella8[[#This Row],[Spain cum. Cases]]))</f>
        <v>0</v>
      </c>
      <c r="F134" s="146">
        <f>IFERROR(Kt*_xlfn.LOGNORM.DIST((Tabella8[[#This Row],[Day]]-Days_back),mu_t,sigma_t,TRUE),0)</f>
        <v>254968.33039297836</v>
      </c>
      <c r="G134" s="125">
        <f>Tabella8[[#This Row],[Spain cum. fit]]/Kt</f>
        <v>0.91060151894855257</v>
      </c>
      <c r="H134" s="324">
        <f>Tabella8[[#This Row],[Spain cum. fit]]*NOT(ISBLANK(Tabella8[[#This Row],[Spain cum. Cases]]))</f>
        <v>0</v>
      </c>
      <c r="J134" s="2"/>
      <c r="K134" s="75"/>
      <c r="L134" s="10">
        <f>Tabella8[[#This Row],[Lombardy]]*NOT(ISBLANK(Tabella8[[#This Row],[Lombardy]]))</f>
        <v>0</v>
      </c>
      <c r="M134" s="123">
        <f>IFERROR(Kr*_xlfn.LOGNORM.DIST((Tabella8[[#This Row],[Day]]-pr),mu_r,sigma_r,TRUE),0)</f>
        <v>78628.939908572895</v>
      </c>
      <c r="N134" s="123">
        <f>Tabella8[[#This Row],[Lombardy fit]]/Kr</f>
        <v>0.90378091848934361</v>
      </c>
      <c r="O134" s="22">
        <f>Tabella8[[#This Row],[Lombardy fit]]*NOT(ISBLANK(Tabella8[[#This Row],[Lombardy]]))</f>
        <v>0</v>
      </c>
      <c r="Q134" s="2"/>
      <c r="S134" s="10">
        <f>Tabella8[[#This Row],[rest of Italy ]]*NOT(ISBLANK(Tabella8[[#This Row],[rest of Italy ]]))</f>
        <v>0</v>
      </c>
      <c r="T134" s="124">
        <f>IFERROR(Ko*_xlfn.LOGNORM.DIST((Tabella8[[#This Row],[Day]]-po),mu_o,sigma_o,TRUE),0)</f>
        <v>135671.31096960977</v>
      </c>
      <c r="U134" s="124">
        <f>Tabella8[[#This Row],[rest of Italy fit]]/Ko</f>
        <v>0.91669815380616992</v>
      </c>
      <c r="V134" s="22">
        <f>Tabella8[[#This Row],[rest of Italy fit]]*NOT(ISBLANK(Tabella8[[#This Row],[rest of Italy ]]))</f>
        <v>0</v>
      </c>
      <c r="X134" s="2"/>
      <c r="AX134" s="76"/>
      <c r="AY134" s="76"/>
      <c r="BA134" s="86"/>
      <c r="BB134" s="86"/>
      <c r="BD134" s="2"/>
      <c r="BE134" s="2"/>
    </row>
    <row r="135" spans="2:57" x14ac:dyDescent="0.3">
      <c r="B135" s="9">
        <v>43958</v>
      </c>
      <c r="C135" s="4">
        <v>128</v>
      </c>
      <c r="D135" s="90"/>
      <c r="E135" s="10">
        <f>Tabella8[[#This Row],[Spain cum. Cases]]*NOT(ISBLANK(Tabella8[[#This Row],[Spain cum. Cases]]))</f>
        <v>0</v>
      </c>
      <c r="F135" s="146">
        <f>IFERROR(Kt*_xlfn.LOGNORM.DIST((Tabella8[[#This Row],[Day]]-Days_back),mu_t,sigma_t,TRUE),0)</f>
        <v>256727.36688079382</v>
      </c>
      <c r="G135" s="125">
        <f>Tabella8[[#This Row],[Spain cum. fit]]/Kt</f>
        <v>0.91688379445791446</v>
      </c>
      <c r="H135" s="324">
        <f>Tabella8[[#This Row],[Spain cum. fit]]*NOT(ISBLANK(Tabella8[[#This Row],[Spain cum. Cases]]))</f>
        <v>0</v>
      </c>
      <c r="J135" s="2"/>
      <c r="K135" s="75"/>
      <c r="L135" s="10">
        <f>Tabella8[[#This Row],[Lombardy]]*NOT(ISBLANK(Tabella8[[#This Row],[Lombardy]]))</f>
        <v>0</v>
      </c>
      <c r="M135" s="123">
        <f>IFERROR(Kr*_xlfn.LOGNORM.DIST((Tabella8[[#This Row],[Day]]-pr),mu_r,sigma_r,TRUE),0)</f>
        <v>79072.86342737946</v>
      </c>
      <c r="N135" s="123">
        <f>Tabella8[[#This Row],[Lombardy fit]]/Kr</f>
        <v>0.90888348767102822</v>
      </c>
      <c r="O135" s="22">
        <f>Tabella8[[#This Row],[Lombardy fit]]*NOT(ISBLANK(Tabella8[[#This Row],[Lombardy]]))</f>
        <v>0</v>
      </c>
      <c r="Q135" s="2"/>
      <c r="S135" s="10">
        <f>Tabella8[[#This Row],[rest of Italy ]]*NOT(ISBLANK(Tabella8[[#This Row],[rest of Italy ]]))</f>
        <v>0</v>
      </c>
      <c r="T135" s="124">
        <f>IFERROR(Ko*_xlfn.LOGNORM.DIST((Tabella8[[#This Row],[Day]]-po),mu_o,sigma_o,TRUE),0)</f>
        <v>136438.52436496739</v>
      </c>
      <c r="U135" s="124">
        <f>Tabella8[[#This Row],[rest of Italy fit]]/Ko</f>
        <v>0.92188202870258951</v>
      </c>
      <c r="V135" s="22">
        <f>Tabella8[[#This Row],[rest of Italy fit]]*NOT(ISBLANK(Tabella8[[#This Row],[rest of Italy ]]))</f>
        <v>0</v>
      </c>
      <c r="X135" s="2"/>
      <c r="AX135" s="76"/>
      <c r="AY135" s="76"/>
      <c r="BA135" s="86"/>
      <c r="BB135" s="86"/>
      <c r="BD135" s="2"/>
      <c r="BE135" s="2"/>
    </row>
    <row r="136" spans="2:57" x14ac:dyDescent="0.3">
      <c r="B136" s="9">
        <v>43959</v>
      </c>
      <c r="C136" s="4">
        <v>129</v>
      </c>
      <c r="D136" s="90"/>
      <c r="E136" s="10">
        <f>Tabella8[[#This Row],[Spain cum. Cases]]*NOT(ISBLANK(Tabella8[[#This Row],[Spain cum. Cases]]))</f>
        <v>0</v>
      </c>
      <c r="F136" s="146">
        <f>IFERROR(Kt*_xlfn.LOGNORM.DIST((Tabella8[[#This Row],[Day]]-Days_back),mu_t,sigma_t,TRUE),0)</f>
        <v>258374.59755953186</v>
      </c>
      <c r="G136" s="125">
        <f>Tabella8[[#This Row],[Spain cum. fit]]/Kt</f>
        <v>0.92276676335764263</v>
      </c>
      <c r="H136" s="324">
        <f>Tabella8[[#This Row],[Spain cum. fit]]*NOT(ISBLANK(Tabella8[[#This Row],[Spain cum. Cases]]))</f>
        <v>0</v>
      </c>
      <c r="J136" s="2"/>
      <c r="K136" s="75"/>
      <c r="L136" s="10">
        <f>Tabella8[[#This Row],[Lombardy]]*NOT(ISBLANK(Tabella8[[#This Row],[Lombardy]]))</f>
        <v>0</v>
      </c>
      <c r="M136" s="123">
        <f>IFERROR(Kr*_xlfn.LOGNORM.DIST((Tabella8[[#This Row],[Day]]-pr),mu_r,sigma_r,TRUE),0)</f>
        <v>79494.791329642132</v>
      </c>
      <c r="N136" s="123">
        <f>Tabella8[[#This Row],[Lombardy fit]]/Kr</f>
        <v>0.91373323367404746</v>
      </c>
      <c r="O136" s="22">
        <f>Tabella8[[#This Row],[Lombardy fit]]*NOT(ISBLANK(Tabella8[[#This Row],[Lombardy]]))</f>
        <v>0</v>
      </c>
      <c r="Q136" s="2"/>
      <c r="S136" s="10">
        <f>Tabella8[[#This Row],[rest of Italy ]]*NOT(ISBLANK(Tabella8[[#This Row],[rest of Italy ]]))</f>
        <v>0</v>
      </c>
      <c r="T136" s="124">
        <f>IFERROR(Ko*_xlfn.LOGNORM.DIST((Tabella8[[#This Row],[Day]]-po),mu_o,sigma_o,TRUE),0)</f>
        <v>137161.11551953363</v>
      </c>
      <c r="U136" s="124">
        <f>Tabella8[[#This Row],[rest of Italy fit]]/Ko</f>
        <v>0.92676440193694198</v>
      </c>
      <c r="V136" s="22">
        <f>Tabella8[[#This Row],[rest of Italy fit]]*NOT(ISBLANK(Tabella8[[#This Row],[rest of Italy ]]))</f>
        <v>0</v>
      </c>
      <c r="X136" s="2"/>
      <c r="AX136" s="76"/>
      <c r="AY136" s="76"/>
      <c r="BA136" s="86"/>
      <c r="BB136" s="86"/>
      <c r="BD136" s="2"/>
      <c r="BE136" s="2"/>
    </row>
    <row r="137" spans="2:57" x14ac:dyDescent="0.3">
      <c r="B137" s="9">
        <v>43960</v>
      </c>
      <c r="C137" s="4">
        <v>130</v>
      </c>
      <c r="D137" s="90"/>
      <c r="E137" s="10">
        <f>Tabella8[[#This Row],[Spain cum. Cases]]*NOT(ISBLANK(Tabella8[[#This Row],[Spain cum. Cases]]))</f>
        <v>0</v>
      </c>
      <c r="F137" s="146">
        <f>IFERROR(Kt*_xlfn.LOGNORM.DIST((Tabella8[[#This Row],[Day]]-Days_back),mu_t,sigma_t,TRUE),0)</f>
        <v>259915.80294543222</v>
      </c>
      <c r="G137" s="125">
        <f>Tabella8[[#This Row],[Spain cum. fit]]/Kt</f>
        <v>0.92827107035627843</v>
      </c>
      <c r="H137" s="324">
        <f>Tabella8[[#This Row],[Spain cum. fit]]*NOT(ISBLANK(Tabella8[[#This Row],[Spain cum. Cases]]))</f>
        <v>0</v>
      </c>
      <c r="J137" s="2"/>
      <c r="K137" s="75"/>
      <c r="L137" s="10">
        <f>Tabella8[[#This Row],[Lombardy]]*NOT(ISBLANK(Tabella8[[#This Row],[Lombardy]]))</f>
        <v>0</v>
      </c>
      <c r="M137" s="123">
        <f>IFERROR(Kr*_xlfn.LOGNORM.DIST((Tabella8[[#This Row],[Day]]-pr),mu_r,sigma_r,TRUE),0)</f>
        <v>79895.658069660931</v>
      </c>
      <c r="N137" s="123">
        <f>Tabella8[[#This Row],[Lombardy fit]]/Kr</f>
        <v>0.91834089735242452</v>
      </c>
      <c r="O137" s="22">
        <f>Tabella8[[#This Row],[Lombardy fit]]*NOT(ISBLANK(Tabella8[[#This Row],[Lombardy]]))</f>
        <v>0</v>
      </c>
      <c r="Q137" s="2"/>
      <c r="S137" s="10">
        <f>Tabella8[[#This Row],[rest of Italy ]]*NOT(ISBLANK(Tabella8[[#This Row],[rest of Italy ]]))</f>
        <v>0</v>
      </c>
      <c r="T137" s="124">
        <f>IFERROR(Ko*_xlfn.LOGNORM.DIST((Tabella8[[#This Row],[Day]]-po),mu_o,sigma_o,TRUE),0)</f>
        <v>137841.33185336328</v>
      </c>
      <c r="U137" s="124">
        <f>Tabella8[[#This Row],[rest of Italy fit]]/Ko</f>
        <v>0.93136045878163576</v>
      </c>
      <c r="V137" s="22">
        <f>Tabella8[[#This Row],[rest of Italy fit]]*NOT(ISBLANK(Tabella8[[#This Row],[rest of Italy ]]))</f>
        <v>0</v>
      </c>
      <c r="X137" s="2"/>
      <c r="AX137" s="76"/>
      <c r="AY137" s="76"/>
      <c r="BA137" s="86"/>
      <c r="BB137" s="86"/>
      <c r="BD137" s="2"/>
      <c r="BE137" s="2"/>
    </row>
    <row r="138" spans="2:57" x14ac:dyDescent="0.3">
      <c r="B138" s="9">
        <v>43961</v>
      </c>
      <c r="C138" s="4">
        <v>131</v>
      </c>
      <c r="D138" s="90"/>
      <c r="E138" s="10">
        <f>Tabella8[[#This Row],[Spain cum. Cases]]*NOT(ISBLANK(Tabella8[[#This Row],[Spain cum. Cases]]))</f>
        <v>0</v>
      </c>
      <c r="F138" s="146">
        <f>IFERROR(Kt*_xlfn.LOGNORM.DIST((Tabella8[[#This Row],[Day]]-Days_back),mu_t,sigma_t,TRUE),0)</f>
        <v>261356.61707787789</v>
      </c>
      <c r="G138" s="125">
        <f>Tabella8[[#This Row],[Spain cum. fit]]/Kt</f>
        <v>0.93341683703053713</v>
      </c>
      <c r="H138" s="324">
        <f>Tabella8[[#This Row],[Spain cum. fit]]*NOT(ISBLANK(Tabella8[[#This Row],[Spain cum. Cases]]))</f>
        <v>0</v>
      </c>
      <c r="J138" s="2"/>
      <c r="K138" s="75"/>
      <c r="L138" s="10">
        <f>Tabella8[[#This Row],[Lombardy]]*NOT(ISBLANK(Tabella8[[#This Row],[Lombardy]]))</f>
        <v>0</v>
      </c>
      <c r="M138" s="123">
        <f>IFERROR(Kr*_xlfn.LOGNORM.DIST((Tabella8[[#This Row],[Day]]-pr),mu_r,sigma_r,TRUE),0)</f>
        <v>80276.373838365733</v>
      </c>
      <c r="N138" s="123">
        <f>Tabella8[[#This Row],[Lombardy fit]]/Kr</f>
        <v>0.92271694067087051</v>
      </c>
      <c r="O138" s="22">
        <f>Tabella8[[#This Row],[Lombardy fit]]*NOT(ISBLANK(Tabella8[[#This Row],[Lombardy]]))</f>
        <v>0</v>
      </c>
      <c r="Q138" s="2"/>
      <c r="S138" s="10">
        <f>Tabella8[[#This Row],[rest of Italy ]]*NOT(ISBLANK(Tabella8[[#This Row],[rest of Italy ]]))</f>
        <v>0</v>
      </c>
      <c r="T138" s="124">
        <f>IFERROR(Ko*_xlfn.LOGNORM.DIST((Tabella8[[#This Row],[Day]]-po),mu_o,sigma_o,TRUE),0)</f>
        <v>138481.34618863615</v>
      </c>
      <c r="U138" s="124">
        <f>Tabella8[[#This Row],[rest of Italy fit]]/Ko</f>
        <v>0.9356848804693243</v>
      </c>
      <c r="V138" s="22">
        <f>Tabella8[[#This Row],[rest of Italy fit]]*NOT(ISBLANK(Tabella8[[#This Row],[rest of Italy ]]))</f>
        <v>0</v>
      </c>
      <c r="X138" s="2"/>
      <c r="AX138" s="76"/>
      <c r="AY138" s="76"/>
      <c r="BA138" s="86"/>
      <c r="BB138" s="86"/>
      <c r="BD138" s="2"/>
      <c r="BE138" s="2"/>
    </row>
    <row r="139" spans="2:57" x14ac:dyDescent="0.3">
      <c r="B139" s="9">
        <v>43962</v>
      </c>
      <c r="C139" s="4">
        <v>132</v>
      </c>
      <c r="D139" s="90"/>
      <c r="E139" s="10">
        <f>Tabella8[[#This Row],[Spain cum. Cases]]*NOT(ISBLANK(Tabella8[[#This Row],[Spain cum. Cases]]))</f>
        <v>0</v>
      </c>
      <c r="F139" s="146">
        <f>IFERROR(Kt*_xlfn.LOGNORM.DIST((Tabella8[[#This Row],[Day]]-Days_back),mu_t,sigma_t,TRUE),0)</f>
        <v>262702.51141764194</v>
      </c>
      <c r="G139" s="125">
        <f>Tabella8[[#This Row],[Spain cum. fit]]/Kt</f>
        <v>0.93822360431902529</v>
      </c>
      <c r="H139" s="324">
        <f>Tabella8[[#This Row],[Spain cum. fit]]*NOT(ISBLANK(Tabella8[[#This Row],[Spain cum. Cases]]))</f>
        <v>0</v>
      </c>
      <c r="J139" s="2"/>
      <c r="K139" s="75"/>
      <c r="L139" s="10">
        <f>Tabella8[[#This Row],[Lombardy]]*NOT(ISBLANK(Tabella8[[#This Row],[Lombardy]]))</f>
        <v>0</v>
      </c>
      <c r="M139" s="123">
        <f>IFERROR(Kr*_xlfn.LOGNORM.DIST((Tabella8[[#This Row],[Day]]-pr),mu_r,sigma_r,TRUE),0)</f>
        <v>80637.823518680394</v>
      </c>
      <c r="N139" s="123">
        <f>Tabella8[[#This Row],[Lombardy fit]]/Kr</f>
        <v>0.92687153469747574</v>
      </c>
      <c r="O139" s="22">
        <f>Tabella8[[#This Row],[Lombardy fit]]*NOT(ISBLANK(Tabella8[[#This Row],[Lombardy]]))</f>
        <v>0</v>
      </c>
      <c r="Q139" s="2"/>
      <c r="S139" s="10">
        <f>Tabella8[[#This Row],[rest of Italy ]]*NOT(ISBLANK(Tabella8[[#This Row],[rest of Italy ]]))</f>
        <v>0</v>
      </c>
      <c r="T139" s="124">
        <f>IFERROR(Ko*_xlfn.LOGNORM.DIST((Tabella8[[#This Row],[Day]]-po),mu_o,sigma_o,TRUE),0)</f>
        <v>139083.25459424485</v>
      </c>
      <c r="U139" s="124">
        <f>Tabella8[[#This Row],[rest of Italy fit]]/Ko</f>
        <v>0.93975182962930925</v>
      </c>
      <c r="V139" s="22">
        <f>Tabella8[[#This Row],[rest of Italy fit]]*NOT(ISBLANK(Tabella8[[#This Row],[rest of Italy ]]))</f>
        <v>0</v>
      </c>
      <c r="X139" s="2"/>
      <c r="AX139" s="76"/>
      <c r="AY139" s="76"/>
      <c r="BA139" s="86"/>
      <c r="BB139" s="86"/>
      <c r="BD139" s="2"/>
      <c r="BE139" s="2"/>
    </row>
    <row r="140" spans="2:57" x14ac:dyDescent="0.3">
      <c r="B140" s="9">
        <v>43963</v>
      </c>
      <c r="C140" s="4">
        <v>133</v>
      </c>
      <c r="D140" s="90"/>
      <c r="E140" s="10">
        <f>Tabella8[[#This Row],[Spain cum. Cases]]*NOT(ISBLANK(Tabella8[[#This Row],[Spain cum. Cases]]))</f>
        <v>0</v>
      </c>
      <c r="F140" s="146">
        <f>IFERROR(Kt*_xlfn.LOGNORM.DIST((Tabella8[[#This Row],[Day]]-Days_back),mu_t,sigma_t,TRUE),0)</f>
        <v>263958.78198034462</v>
      </c>
      <c r="G140" s="125">
        <f>Tabella8[[#This Row],[Spain cum. fit]]/Kt</f>
        <v>0.94271028657028455</v>
      </c>
      <c r="H140" s="324">
        <f>Tabella8[[#This Row],[Spain cum. fit]]*NOT(ISBLANK(Tabella8[[#This Row],[Spain cum. Cases]]))</f>
        <v>0</v>
      </c>
      <c r="J140" s="2"/>
      <c r="K140" s="75"/>
      <c r="L140" s="10">
        <f>Tabella8[[#This Row],[Lombardy]]*NOT(ISBLANK(Tabella8[[#This Row],[Lombardy]]))</f>
        <v>0</v>
      </c>
      <c r="M140" s="123">
        <f>IFERROR(Kr*_xlfn.LOGNORM.DIST((Tabella8[[#This Row],[Day]]-pr),mu_r,sigma_r,TRUE),0)</f>
        <v>80980.86588033702</v>
      </c>
      <c r="N140" s="123">
        <f>Tabella8[[#This Row],[Lombardy fit]]/Kr</f>
        <v>0.93081455034870142</v>
      </c>
      <c r="O140" s="22">
        <f>Tabella8[[#This Row],[Lombardy fit]]*NOT(ISBLANK(Tabella8[[#This Row],[Lombardy]]))</f>
        <v>0</v>
      </c>
      <c r="Q140" s="2"/>
      <c r="S140" s="10">
        <f>Tabella8[[#This Row],[rest of Italy ]]*NOT(ISBLANK(Tabella8[[#This Row],[rest of Italy ]]))</f>
        <v>0</v>
      </c>
      <c r="T140" s="124">
        <f>IFERROR(Ko*_xlfn.LOGNORM.DIST((Tabella8[[#This Row],[Day]]-po),mu_o,sigma_o,TRUE),0)</f>
        <v>139649.07497077979</v>
      </c>
      <c r="U140" s="124">
        <f>Tabella8[[#This Row],[rest of Italy fit]]/Ko</f>
        <v>0.94357494072662651</v>
      </c>
      <c r="V140" s="22">
        <f>Tabella8[[#This Row],[rest of Italy fit]]*NOT(ISBLANK(Tabella8[[#This Row],[rest of Italy ]]))</f>
        <v>0</v>
      </c>
      <c r="X140" s="2"/>
      <c r="AX140" s="76"/>
      <c r="AY140" s="76"/>
      <c r="BA140" s="86"/>
      <c r="BB140" s="86"/>
      <c r="BD140" s="2"/>
      <c r="BE140" s="2"/>
    </row>
    <row r="141" spans="2:57" x14ac:dyDescent="0.3">
      <c r="B141" s="9">
        <v>43964</v>
      </c>
      <c r="C141" s="4">
        <v>134</v>
      </c>
      <c r="D141" s="90"/>
      <c r="E141" s="10">
        <f>Tabella8[[#This Row],[Spain cum. Cases]]*NOT(ISBLANK(Tabella8[[#This Row],[Spain cum. Cases]]))</f>
        <v>0</v>
      </c>
      <c r="F141" s="146">
        <f>IFERROR(Kt*_xlfn.LOGNORM.DIST((Tabella8[[#This Row],[Day]]-Days_back),mu_t,sigma_t,TRUE),0)</f>
        <v>265130.539384339</v>
      </c>
      <c r="G141" s="125">
        <f>Tabella8[[#This Row],[Spain cum. fit]]/Kt</f>
        <v>0.94689513599951347</v>
      </c>
      <c r="H141" s="324">
        <f>Tabella8[[#This Row],[Spain cum. fit]]*NOT(ISBLANK(Tabella8[[#This Row],[Spain cum. Cases]]))</f>
        <v>0</v>
      </c>
      <c r="J141" s="2"/>
      <c r="K141" s="75"/>
      <c r="L141" s="10">
        <f>Tabella8[[#This Row],[Lombardy]]*NOT(ISBLANK(Tabella8[[#This Row],[Lombardy]]))</f>
        <v>0</v>
      </c>
      <c r="M141" s="123">
        <f>IFERROR(Kr*_xlfn.LOGNORM.DIST((Tabella8[[#This Row],[Day]]-pr),mu_r,sigma_r,TRUE),0)</f>
        <v>81306.332990023977</v>
      </c>
      <c r="N141" s="123">
        <f>Tabella8[[#This Row],[Lombardy fit]]/Kr</f>
        <v>0.93455555160947101</v>
      </c>
      <c r="O141" s="22">
        <f>Tabella8[[#This Row],[Lombardy fit]]*NOT(ISBLANK(Tabella8[[#This Row],[Lombardy]]))</f>
        <v>0</v>
      </c>
      <c r="Q141" s="2"/>
      <c r="S141" s="10">
        <f>Tabella8[[#This Row],[rest of Italy ]]*NOT(ISBLANK(Tabella8[[#This Row],[rest of Italy ]]))</f>
        <v>0</v>
      </c>
      <c r="T141" s="124">
        <f>IFERROR(Ko*_xlfn.LOGNORM.DIST((Tabella8[[#This Row],[Day]]-po),mu_o,sigma_o,TRUE),0)</f>
        <v>140180.74628718375</v>
      </c>
      <c r="U141" s="124">
        <f>Tabella8[[#This Row],[rest of Italy fit]]/Ko</f>
        <v>0.94716731490430628</v>
      </c>
      <c r="V141" s="22">
        <f>Tabella8[[#This Row],[rest of Italy fit]]*NOT(ISBLANK(Tabella8[[#This Row],[rest of Italy ]]))</f>
        <v>0</v>
      </c>
      <c r="X141" s="2"/>
      <c r="AX141" s="76"/>
      <c r="AY141" s="76"/>
      <c r="BA141" s="86"/>
      <c r="BB141" s="86"/>
      <c r="BD141" s="2"/>
      <c r="BE141" s="2"/>
    </row>
    <row r="142" spans="2:57" x14ac:dyDescent="0.3">
      <c r="B142" s="9">
        <v>43965</v>
      </c>
      <c r="C142" s="4">
        <v>135</v>
      </c>
      <c r="D142" s="90"/>
      <c r="E142" s="10">
        <f>Tabella8[[#This Row],[Spain cum. Cases]]*NOT(ISBLANK(Tabella8[[#This Row],[Spain cum. Cases]]))</f>
        <v>0</v>
      </c>
      <c r="F142" s="146">
        <f>IFERROR(Kt*_xlfn.LOGNORM.DIST((Tabella8[[#This Row],[Day]]-Days_back),mu_t,sigma_t,TRUE),0)</f>
        <v>266222.70150665665</v>
      </c>
      <c r="G142" s="125">
        <f>Tabella8[[#This Row],[Spain cum. fit]]/Kt</f>
        <v>0.95079571645979133</v>
      </c>
      <c r="H142" s="324">
        <f>Tabella8[[#This Row],[Spain cum. fit]]*NOT(ISBLANK(Tabella8[[#This Row],[Spain cum. Cases]]))</f>
        <v>0</v>
      </c>
      <c r="J142" s="2"/>
      <c r="K142" s="75"/>
      <c r="L142" s="10">
        <f>Tabella8[[#This Row],[Lombardy]]*NOT(ISBLANK(Tabella8[[#This Row],[Lombardy]]))</f>
        <v>0</v>
      </c>
      <c r="M142" s="123">
        <f>IFERROR(Kr*_xlfn.LOGNORM.DIST((Tabella8[[#This Row],[Day]]-pr),mu_r,sigma_r,TRUE),0)</f>
        <v>81615.02981433706</v>
      </c>
      <c r="N142" s="123">
        <f>Tabella8[[#This Row],[Lombardy fit]]/Kr</f>
        <v>0.93810379096939145</v>
      </c>
      <c r="O142" s="22">
        <f>Tabella8[[#This Row],[Lombardy fit]]*NOT(ISBLANK(Tabella8[[#This Row],[Lombardy]]))</f>
        <v>0</v>
      </c>
      <c r="Q142" s="2"/>
      <c r="S142" s="10">
        <f>Tabella8[[#This Row],[rest of Italy ]]*NOT(ISBLANK(Tabella8[[#This Row],[rest of Italy ]]))</f>
        <v>0</v>
      </c>
      <c r="T142" s="124">
        <f>IFERROR(Ko*_xlfn.LOGNORM.DIST((Tabella8[[#This Row],[Day]]-po),mu_o,sigma_o,TRUE),0)</f>
        <v>140680.12838725458</v>
      </c>
      <c r="U142" s="124">
        <f>Tabella8[[#This Row],[rest of Italy fit]]/Ko</f>
        <v>0.95054151867595937</v>
      </c>
      <c r="V142" s="22">
        <f>Tabella8[[#This Row],[rest of Italy fit]]*NOT(ISBLANK(Tabella8[[#This Row],[rest of Italy ]]))</f>
        <v>0</v>
      </c>
      <c r="X142" s="2"/>
      <c r="AX142" s="76"/>
      <c r="AY142" s="76"/>
      <c r="BD142" s="2"/>
      <c r="BE142" s="2"/>
    </row>
    <row r="143" spans="2:57" x14ac:dyDescent="0.3">
      <c r="B143" s="9">
        <v>43966</v>
      </c>
      <c r="C143" s="4">
        <v>136</v>
      </c>
      <c r="D143" s="90"/>
      <c r="E143" s="10">
        <f>Tabella8[[#This Row],[Spain cum. Cases]]*NOT(ISBLANK(Tabella8[[#This Row],[Spain cum. Cases]]))</f>
        <v>0</v>
      </c>
      <c r="F143" s="146">
        <f>IFERROR(Kt*_xlfn.LOGNORM.DIST((Tabella8[[#This Row],[Day]]-Days_back),mu_t,sigma_t,TRUE),0)</f>
        <v>267239.9884569131</v>
      </c>
      <c r="G143" s="125">
        <f>Tabella8[[#This Row],[Spain cum. fit]]/Kt</f>
        <v>0.95442888549173466</v>
      </c>
      <c r="H143" s="324">
        <f>Tabella8[[#This Row],[Spain cum. fit]]*NOT(ISBLANK(Tabella8[[#This Row],[Spain cum. Cases]]))</f>
        <v>0</v>
      </c>
      <c r="J143" s="2"/>
      <c r="K143" s="75"/>
      <c r="L143" s="10">
        <f>Tabella8[[#This Row],[Lombardy]]*NOT(ISBLANK(Tabella8[[#This Row],[Lombardy]]))</f>
        <v>0</v>
      </c>
      <c r="M143" s="123">
        <f>IFERROR(Kr*_xlfn.LOGNORM.DIST((Tabella8[[#This Row],[Day]]-pr),mu_r,sigma_r,TRUE),0)</f>
        <v>81907.733994565613</v>
      </c>
      <c r="N143" s="123">
        <f>Tabella8[[#This Row],[Lombardy fit]]/Kr</f>
        <v>0.9414682068340875</v>
      </c>
      <c r="O143" s="22">
        <f>Tabella8[[#This Row],[Lombardy fit]]*NOT(ISBLANK(Tabella8[[#This Row],[Lombardy]]))</f>
        <v>0</v>
      </c>
      <c r="Q143" s="2"/>
      <c r="S143" s="10">
        <f>Tabella8[[#This Row],[rest of Italy ]]*NOT(ISBLANK(Tabella8[[#This Row],[rest of Italy ]]))</f>
        <v>0</v>
      </c>
      <c r="T143" s="124">
        <f>IFERROR(Ko*_xlfn.LOGNORM.DIST((Tabella8[[#This Row],[Day]]-po),mu_o,sigma_o,TRUE),0)</f>
        <v>141149.00229090173</v>
      </c>
      <c r="U143" s="124">
        <f>Tabella8[[#This Row],[rest of Italy fit]]/Ko</f>
        <v>0.95370958596129374</v>
      </c>
      <c r="V143" s="22">
        <f>Tabella8[[#This Row],[rest of Italy fit]]*NOT(ISBLANK(Tabella8[[#This Row],[rest of Italy ]]))</f>
        <v>0</v>
      </c>
      <c r="X143" s="2"/>
      <c r="AX143" s="76"/>
      <c r="AY143" s="76"/>
      <c r="BD143" s="2"/>
      <c r="BE143" s="2"/>
    </row>
    <row r="144" spans="2:57" x14ac:dyDescent="0.3">
      <c r="B144" s="9">
        <v>43967</v>
      </c>
      <c r="C144" s="4">
        <v>137</v>
      </c>
      <c r="D144" s="90"/>
      <c r="E144" s="10">
        <f>Tabella8[[#This Row],[Spain cum. Cases]]*NOT(ISBLANK(Tabella8[[#This Row],[Spain cum. Cases]]))</f>
        <v>0</v>
      </c>
      <c r="F144" s="146">
        <f>IFERROR(Kt*_xlfn.LOGNORM.DIST((Tabella8[[#This Row],[Day]]-Days_back),mu_t,sigma_t,TRUE),0)</f>
        <v>268186.91959660163</v>
      </c>
      <c r="G144" s="125">
        <f>Tabella8[[#This Row],[Spain cum. fit]]/Kt</f>
        <v>0.95781078367811356</v>
      </c>
      <c r="H144" s="324">
        <f>Tabella8[[#This Row],[Spain cum. fit]]*NOT(ISBLANK(Tabella8[[#This Row],[Spain cum. Cases]]))</f>
        <v>0</v>
      </c>
      <c r="J144" s="2"/>
      <c r="K144" s="75"/>
      <c r="L144" s="10">
        <f>Tabella8[[#This Row],[Lombardy]]*NOT(ISBLANK(Tabella8[[#This Row],[Lombardy]]))</f>
        <v>0</v>
      </c>
      <c r="M144" s="123">
        <f>IFERROR(Kr*_xlfn.LOGNORM.DIST((Tabella8[[#This Row],[Day]]-pr),mu_r,sigma_r,TRUE),0)</f>
        <v>82185.195773867905</v>
      </c>
      <c r="N144" s="123">
        <f>Tabella8[[#This Row],[Lombardy fit]]/Kr</f>
        <v>0.94465742268813679</v>
      </c>
      <c r="O144" s="22">
        <f>Tabella8[[#This Row],[Lombardy fit]]*NOT(ISBLANK(Tabella8[[#This Row],[Lombardy]]))</f>
        <v>0</v>
      </c>
      <c r="Q144" s="2"/>
      <c r="S144" s="10">
        <f>Tabella8[[#This Row],[rest of Italy ]]*NOT(ISBLANK(Tabella8[[#This Row],[rest of Italy ]]))</f>
        <v>0</v>
      </c>
      <c r="T144" s="124">
        <f>IFERROR(Ko*_xlfn.LOGNORM.DIST((Tabella8[[#This Row],[Day]]-po),mu_o,sigma_o,TRUE),0)</f>
        <v>141589.07092154451</v>
      </c>
      <c r="U144" s="124">
        <f>Tabella8[[#This Row],[rest of Italy fit]]/Ko</f>
        <v>0.9566830230009683</v>
      </c>
      <c r="V144" s="22">
        <f>Tabella8[[#This Row],[rest of Italy fit]]*NOT(ISBLANK(Tabella8[[#This Row],[rest of Italy ]]))</f>
        <v>0</v>
      </c>
      <c r="X144" s="2"/>
      <c r="AX144" s="76"/>
      <c r="AY144" s="76"/>
      <c r="BD144" s="2"/>
      <c r="BE144" s="2"/>
    </row>
    <row r="145" spans="2:57" x14ac:dyDescent="0.3">
      <c r="B145" s="9">
        <v>43968</v>
      </c>
      <c r="C145" s="4">
        <v>138</v>
      </c>
      <c r="D145" s="90"/>
      <c r="E145" s="10">
        <f>Tabella8[[#This Row],[Spain cum. Cases]]*NOT(ISBLANK(Tabella8[[#This Row],[Spain cum. Cases]]))</f>
        <v>0</v>
      </c>
      <c r="F145" s="146">
        <f>IFERROR(Kt*_xlfn.LOGNORM.DIST((Tabella8[[#This Row],[Day]]-Days_back),mu_t,sigma_t,TRUE),0)</f>
        <v>269067.81234949542</v>
      </c>
      <c r="G145" s="125">
        <f>Tabella8[[#This Row],[Spain cum. fit]]/Kt</f>
        <v>0.96095683039528634</v>
      </c>
      <c r="H145" s="324">
        <f>Tabella8[[#This Row],[Spain cum. fit]]*NOT(ISBLANK(Tabella8[[#This Row],[Spain cum. Cases]]))</f>
        <v>0</v>
      </c>
      <c r="J145" s="2"/>
      <c r="K145" s="75"/>
      <c r="L145" s="10">
        <f>Tabella8[[#This Row],[Lombardy]]*NOT(ISBLANK(Tabella8[[#This Row],[Lombardy]]))</f>
        <v>0</v>
      </c>
      <c r="M145" s="123">
        <f>IFERROR(Kr*_xlfn.LOGNORM.DIST((Tabella8[[#This Row],[Day]]-pr),mu_r,sigma_r,TRUE),0)</f>
        <v>82448.138058862911</v>
      </c>
      <c r="N145" s="123">
        <f>Tabella8[[#This Row],[Lombardy fit]]/Kr</f>
        <v>0.947679747803022</v>
      </c>
      <c r="O145" s="22">
        <f>Tabella8[[#This Row],[Lombardy fit]]*NOT(ISBLANK(Tabella8[[#This Row],[Lombardy]]))</f>
        <v>0</v>
      </c>
      <c r="Q145" s="2"/>
      <c r="S145" s="10">
        <f>Tabella8[[#This Row],[rest of Italy ]]*NOT(ISBLANK(Tabella8[[#This Row],[rest of Italy ]]))</f>
        <v>0</v>
      </c>
      <c r="T145" s="124">
        <f>IFERROR(Ko*_xlfn.LOGNORM.DIST((Tabella8[[#This Row],[Day]]-po),mu_o,sigma_o,TRUE),0)</f>
        <v>142001.96019724241</v>
      </c>
      <c r="U145" s="124">
        <f>Tabella8[[#This Row],[rest of Italy fit]]/Ko</f>
        <v>0.95947281572909648</v>
      </c>
      <c r="V145" s="22">
        <f>Tabella8[[#This Row],[rest of Italy fit]]*NOT(ISBLANK(Tabella8[[#This Row],[rest of Italy ]]))</f>
        <v>0</v>
      </c>
      <c r="X145" s="2"/>
      <c r="AX145" s="76"/>
      <c r="AY145" s="76"/>
      <c r="BD145" s="2"/>
      <c r="BE145" s="2"/>
    </row>
    <row r="146" spans="2:57" x14ac:dyDescent="0.3">
      <c r="B146" s="9">
        <v>43969</v>
      </c>
      <c r="C146" s="4">
        <v>139</v>
      </c>
      <c r="D146" s="90"/>
      <c r="E146" s="10">
        <f>Tabella8[[#This Row],[Spain cum. Cases]]*NOT(ISBLANK(Tabella8[[#This Row],[Spain cum. Cases]]))</f>
        <v>0</v>
      </c>
      <c r="F146" s="146">
        <f>IFERROR(Kt*_xlfn.LOGNORM.DIST((Tabella8[[#This Row],[Day]]-Days_back),mu_t,sigma_t,TRUE),0)</f>
        <v>269886.78256752086</v>
      </c>
      <c r="G146" s="125">
        <f>Tabella8[[#This Row],[Spain cum. fit]]/Kt</f>
        <v>0.96388172511989068</v>
      </c>
      <c r="H146" s="324">
        <f>Tabella8[[#This Row],[Spain cum. fit]]*NOT(ISBLANK(Tabella8[[#This Row],[Spain cum. Cases]]))</f>
        <v>0</v>
      </c>
      <c r="J146" s="2"/>
      <c r="K146" s="75"/>
      <c r="L146" s="10">
        <f>Tabella8[[#This Row],[Lombardy]]*NOT(ISBLANK(Tabella8[[#This Row],[Lombardy]]))</f>
        <v>0</v>
      </c>
      <c r="M146" s="123">
        <f>IFERROR(Kr*_xlfn.LOGNORM.DIST((Tabella8[[#This Row],[Day]]-pr),mu_r,sigma_r,TRUE),0)</f>
        <v>82697.256599083383</v>
      </c>
      <c r="N146" s="123">
        <f>Tabella8[[#This Row],[Lombardy fit]]/Kr</f>
        <v>0.95054317929980903</v>
      </c>
      <c r="O146" s="22">
        <f>Tabella8[[#This Row],[Lombardy fit]]*NOT(ISBLANK(Tabella8[[#This Row],[Lombardy]]))</f>
        <v>0</v>
      </c>
      <c r="Q146" s="2"/>
      <c r="S146" s="10">
        <f>Tabella8[[#This Row],[rest of Italy ]]*NOT(ISBLANK(Tabella8[[#This Row],[rest of Italy ]]))</f>
        <v>0</v>
      </c>
      <c r="T146" s="124">
        <f>IFERROR(Ko*_xlfn.LOGNORM.DIST((Tabella8[[#This Row],[Day]]-po),mu_o,sigma_o,TRUE),0)</f>
        <v>142389.22042903272</v>
      </c>
      <c r="U146" s="124">
        <f>Tabella8[[#This Row],[rest of Italy fit]]/Ko</f>
        <v>0.96208943922147394</v>
      </c>
      <c r="V146" s="22">
        <f>Tabella8[[#This Row],[rest of Italy fit]]*NOT(ISBLANK(Tabella8[[#This Row],[rest of Italy ]]))</f>
        <v>0</v>
      </c>
      <c r="X146" s="2"/>
      <c r="AX146" s="76"/>
      <c r="AY146" s="76"/>
      <c r="BD146" s="2"/>
      <c r="BE146" s="2"/>
    </row>
    <row r="147" spans="2:57" x14ac:dyDescent="0.3">
      <c r="B147" s="9">
        <v>43970</v>
      </c>
      <c r="C147" s="4">
        <v>140</v>
      </c>
      <c r="D147" s="90"/>
      <c r="E147" s="10">
        <f>Tabella8[[#This Row],[Spain cum. Cases]]*NOT(ISBLANK(Tabella8[[#This Row],[Spain cum. Cases]]))</f>
        <v>0</v>
      </c>
      <c r="F147" s="146">
        <f>IFERROR(Kt*_xlfn.LOGNORM.DIST((Tabella8[[#This Row],[Day]]-Days_back),mu_t,sigma_t,TRUE),0)</f>
        <v>270647.74623510201</v>
      </c>
      <c r="G147" s="125">
        <f>Tabella8[[#This Row],[Spain cum. fit]]/Kt</f>
        <v>0.96659945351579002</v>
      </c>
      <c r="H147" s="324">
        <f>Tabella8[[#This Row],[Spain cum. fit]]*NOT(ISBLANK(Tabella8[[#This Row],[Spain cum. Cases]]))</f>
        <v>0</v>
      </c>
      <c r="J147" s="2"/>
      <c r="K147" s="75"/>
      <c r="L147" s="10">
        <f>Tabella8[[#This Row],[Lombardy]]*NOT(ISBLANK(Tabella8[[#This Row],[Lombardy]]))</f>
        <v>0</v>
      </c>
      <c r="M147" s="123">
        <f>IFERROR(Kr*_xlfn.LOGNORM.DIST((Tabella8[[#This Row],[Day]]-pr),mu_r,sigma_r,TRUE),0)</f>
        <v>82933.220269088051</v>
      </c>
      <c r="N147" s="123">
        <f>Tabella8[[#This Row],[Lombardy fit]]/Kr</f>
        <v>0.95325540539181663</v>
      </c>
      <c r="O147" s="22">
        <f>Tabella8[[#This Row],[Lombardy fit]]*NOT(ISBLANK(Tabella8[[#This Row],[Lombardy]]))</f>
        <v>0</v>
      </c>
      <c r="Q147" s="2"/>
      <c r="S147" s="10">
        <f>Tabella8[[#This Row],[rest of Italy ]]*NOT(ISBLANK(Tabella8[[#This Row],[rest of Italy ]]))</f>
        <v>0</v>
      </c>
      <c r="T147" s="124">
        <f>IFERROR(Ko*_xlfn.LOGNORM.DIST((Tabella8[[#This Row],[Day]]-po),mu_o,sigma_o,TRUE),0)</f>
        <v>142752.32797550212</v>
      </c>
      <c r="U147" s="124">
        <f>Tabella8[[#This Row],[rest of Italy fit]]/Ko</f>
        <v>0.96454286887511786</v>
      </c>
      <c r="V147" s="22">
        <f>Tabella8[[#This Row],[rest of Italy fit]]*NOT(ISBLANK(Tabella8[[#This Row],[rest of Italy ]]))</f>
        <v>0</v>
      </c>
      <c r="X147" s="2"/>
      <c r="AX147" s="76"/>
      <c r="AY147" s="76"/>
      <c r="BD147" s="2"/>
      <c r="BE147" s="2"/>
    </row>
    <row r="148" spans="2:57" x14ac:dyDescent="0.3">
      <c r="B148" s="9">
        <v>43971</v>
      </c>
      <c r="C148" s="4">
        <v>141</v>
      </c>
      <c r="D148" s="90"/>
      <c r="E148" s="10">
        <f>Tabella8[[#This Row],[Spain cum. Cases]]*NOT(ISBLANK(Tabella8[[#This Row],[Spain cum. Cases]]))</f>
        <v>0</v>
      </c>
      <c r="F148" s="146">
        <f>IFERROR(Kt*_xlfn.LOGNORM.DIST((Tabella8[[#This Row],[Day]]-Days_back),mu_t,sigma_t,TRUE),0)</f>
        <v>271354.42231334018</v>
      </c>
      <c r="G148" s="125">
        <f>Tabella8[[#This Row],[Spain cum. fit]]/Kt</f>
        <v>0.96912329759186211</v>
      </c>
      <c r="H148" s="324">
        <f>Tabella8[[#This Row],[Spain cum. fit]]*NOT(ISBLANK(Tabella8[[#This Row],[Spain cum. Cases]]))</f>
        <v>0</v>
      </c>
      <c r="J148" s="2"/>
      <c r="K148" s="75"/>
      <c r="L148" s="10">
        <f>Tabella8[[#This Row],[Lombardy]]*NOT(ISBLANK(Tabella8[[#This Row],[Lombardy]]))</f>
        <v>0</v>
      </c>
      <c r="M148" s="123">
        <f>IFERROR(Kr*_xlfn.LOGNORM.DIST((Tabella8[[#This Row],[Day]]-pr),mu_r,sigma_r,TRUE),0)</f>
        <v>83156.671439319733</v>
      </c>
      <c r="N148" s="123">
        <f>Tabella8[[#This Row],[Lombardy fit]]/Kr</f>
        <v>0.95582380964735325</v>
      </c>
      <c r="O148" s="22">
        <f>Tabella8[[#This Row],[Lombardy fit]]*NOT(ISBLANK(Tabella8[[#This Row],[Lombardy]]))</f>
        <v>0</v>
      </c>
      <c r="Q148" s="2"/>
      <c r="S148" s="10">
        <f>Tabella8[[#This Row],[rest of Italy ]]*NOT(ISBLANK(Tabella8[[#This Row],[rest of Italy ]]))</f>
        <v>0</v>
      </c>
      <c r="T148" s="124">
        <f>IFERROR(Ko*_xlfn.LOGNORM.DIST((Tabella8[[#This Row],[Day]]-po),mu_o,sigma_o,TRUE),0)</f>
        <v>143092.68710782341</v>
      </c>
      <c r="U148" s="124">
        <f>Tabella8[[#This Row],[rest of Italy fit]]/Ko</f>
        <v>0.96684259300986797</v>
      </c>
      <c r="V148" s="22">
        <f>Tabella8[[#This Row],[rest of Italy fit]]*NOT(ISBLANK(Tabella8[[#This Row],[rest of Italy ]]))</f>
        <v>0</v>
      </c>
      <c r="X148" s="2"/>
      <c r="AX148" s="76"/>
      <c r="AY148" s="76"/>
      <c r="BD148" s="2"/>
      <c r="BE148" s="2"/>
    </row>
    <row r="149" spans="2:57" x14ac:dyDescent="0.3">
      <c r="B149" s="9">
        <v>43972</v>
      </c>
      <c r="C149" s="4">
        <v>142</v>
      </c>
      <c r="D149" s="90"/>
      <c r="E149" s="10">
        <f>Tabella8[[#This Row],[Spain cum. Cases]]*NOT(ISBLANK(Tabella8[[#This Row],[Spain cum. Cases]]))</f>
        <v>0</v>
      </c>
      <c r="F149" s="146">
        <f>IFERROR(Kt*_xlfn.LOGNORM.DIST((Tabella8[[#This Row],[Day]]-Days_back),mu_t,sigma_t,TRUE),0)</f>
        <v>272010.33654325805</v>
      </c>
      <c r="G149" s="125">
        <f>Tabella8[[#This Row],[Spain cum. fit]]/Kt</f>
        <v>0.97146584928501789</v>
      </c>
      <c r="H149" s="324">
        <f>Tabella8[[#This Row],[Spain cum. fit]]*NOT(ISBLANK(Tabella8[[#This Row],[Spain cum. Cases]]))</f>
        <v>0</v>
      </c>
      <c r="J149" s="2"/>
      <c r="K149" s="75"/>
      <c r="L149" s="10">
        <f>Tabella8[[#This Row],[Lombardy]]*NOT(ISBLANK(Tabella8[[#This Row],[Lombardy]]))</f>
        <v>0</v>
      </c>
      <c r="M149" s="123">
        <f>IFERROR(Kr*_xlfn.LOGNORM.DIST((Tabella8[[#This Row],[Day]]-pr),mu_r,sigma_r,TRUE),0)</f>
        <v>83368.226423014072</v>
      </c>
      <c r="N149" s="123">
        <f>Tabella8[[#This Row],[Lombardy fit]]/Kr</f>
        <v>0.95825547612659856</v>
      </c>
      <c r="O149" s="22">
        <f>Tabella8[[#This Row],[Lombardy fit]]*NOT(ISBLANK(Tabella8[[#This Row],[Lombardy]]))</f>
        <v>0</v>
      </c>
      <c r="Q149" s="2"/>
      <c r="S149" s="10">
        <f>Tabella8[[#This Row],[rest of Italy ]]*NOT(ISBLANK(Tabella8[[#This Row],[rest of Italy ]]))</f>
        <v>0</v>
      </c>
      <c r="T149" s="124">
        <f>IFERROR(Ko*_xlfn.LOGNORM.DIST((Tabella8[[#This Row],[Day]]-po),mu_o,sigma_o,TRUE),0)</f>
        <v>143411.63204434121</v>
      </c>
      <c r="U149" s="124">
        <f>Tabella8[[#This Row],[rest of Italy fit]]/Ko</f>
        <v>0.96899762661558864</v>
      </c>
      <c r="V149" s="22">
        <f>Tabella8[[#This Row],[rest of Italy fit]]*NOT(ISBLANK(Tabella8[[#This Row],[rest of Italy ]]))</f>
        <v>0</v>
      </c>
      <c r="X149" s="2"/>
      <c r="AX149" s="76"/>
      <c r="AY149" s="76"/>
      <c r="BD149" s="2"/>
      <c r="BE149" s="2"/>
    </row>
    <row r="150" spans="2:57" x14ac:dyDescent="0.3">
      <c r="B150" s="9">
        <v>43973</v>
      </c>
      <c r="C150" s="4">
        <v>143</v>
      </c>
      <c r="D150" s="90"/>
      <c r="E150" s="10">
        <f>Tabella8[[#This Row],[Spain cum. Cases]]*NOT(ISBLANK(Tabella8[[#This Row],[Spain cum. Cases]]))</f>
        <v>0</v>
      </c>
      <c r="F150" s="146">
        <f>IFERROR(Kt*_xlfn.LOGNORM.DIST((Tabella8[[#This Row],[Day]]-Days_back),mu_t,sigma_t,TRUE),0)</f>
        <v>272618.82604453043</v>
      </c>
      <c r="G150" s="125">
        <f>Tabella8[[#This Row],[Spain cum. fit]]/Kt</f>
        <v>0.97363902688424697</v>
      </c>
      <c r="H150" s="324">
        <f>Tabella8[[#This Row],[Spain cum. fit]]*NOT(ISBLANK(Tabella8[[#This Row],[Spain cum. Cases]]))</f>
        <v>0</v>
      </c>
      <c r="J150" s="2"/>
      <c r="K150" s="75"/>
      <c r="L150" s="10">
        <f>Tabella8[[#This Row],[Lombardy]]*NOT(ISBLANK(Tabella8[[#This Row],[Lombardy]]))</f>
        <v>0</v>
      </c>
      <c r="M150" s="123">
        <f>IFERROR(Kr*_xlfn.LOGNORM.DIST((Tabella8[[#This Row],[Day]]-pr),mu_r,sigma_r,TRUE),0)</f>
        <v>83568.475987613274</v>
      </c>
      <c r="N150" s="123">
        <f>Tabella8[[#This Row],[Lombardy fit]]/Kr</f>
        <v>0.96055719525992267</v>
      </c>
      <c r="O150" s="22">
        <f>Tabella8[[#This Row],[Lombardy fit]]*NOT(ISBLANK(Tabella8[[#This Row],[Lombardy]]))</f>
        <v>0</v>
      </c>
      <c r="Q150" s="2"/>
      <c r="S150" s="10">
        <f>Tabella8[[#This Row],[rest of Italy ]]*NOT(ISBLANK(Tabella8[[#This Row],[rest of Italy ]]))</f>
        <v>0</v>
      </c>
      <c r="T150" s="124">
        <f>IFERROR(Ko*_xlfn.LOGNORM.DIST((Tabella8[[#This Row],[Day]]-po),mu_o,sigma_o,TRUE),0)</f>
        <v>143710.42911829479</v>
      </c>
      <c r="U150" s="124">
        <f>Tabella8[[#This Row],[rest of Italy fit]]/Ko</f>
        <v>0.97101652599894672</v>
      </c>
      <c r="V150" s="22">
        <f>Tabella8[[#This Row],[rest of Italy fit]]*NOT(ISBLANK(Tabella8[[#This Row],[rest of Italy ]]))</f>
        <v>0</v>
      </c>
      <c r="X150" s="2"/>
      <c r="AX150" s="76"/>
      <c r="AY150" s="76"/>
      <c r="BD150" s="2"/>
      <c r="BE150" s="2"/>
    </row>
    <row r="151" spans="2:57" x14ac:dyDescent="0.3">
      <c r="B151" s="9">
        <v>43974</v>
      </c>
      <c r="C151" s="4">
        <v>144</v>
      </c>
      <c r="D151" s="90"/>
      <c r="E151" s="10">
        <f>Tabella8[[#This Row],[Spain cum. Cases]]*NOT(ISBLANK(Tabella8[[#This Row],[Spain cum. Cases]]))</f>
        <v>0</v>
      </c>
      <c r="F151" s="146">
        <f>IFERROR(Kt*_xlfn.LOGNORM.DIST((Tabella8[[#This Row],[Day]]-Days_back),mu_t,sigma_t,TRUE),0)</f>
        <v>273183.04456251679</v>
      </c>
      <c r="G151" s="125">
        <f>Tabella8[[#This Row],[Spain cum. fit]]/Kt</f>
        <v>0.9756540937700261</v>
      </c>
      <c r="H151" s="324">
        <f>Tabella8[[#This Row],[Spain cum. fit]]*NOT(ISBLANK(Tabella8[[#This Row],[Spain cum. Cases]]))</f>
        <v>0</v>
      </c>
      <c r="J151" s="2"/>
      <c r="K151" s="75"/>
      <c r="L151" s="10">
        <f>Tabella8[[#This Row],[Lombardy]]*NOT(ISBLANK(Tabella8[[#This Row],[Lombardy]]))</f>
        <v>0</v>
      </c>
      <c r="M151" s="123">
        <f>IFERROR(Kr*_xlfn.LOGNORM.DIST((Tabella8[[#This Row],[Day]]-pr),mu_r,sigma_r,TRUE),0)</f>
        <v>83757.985920216946</v>
      </c>
      <c r="N151" s="123">
        <f>Tabella8[[#This Row],[Lombardy fit]]/Kr</f>
        <v>0.96273547034732121</v>
      </c>
      <c r="O151" s="22">
        <f>Tabella8[[#This Row],[Lombardy fit]]*NOT(ISBLANK(Tabella8[[#This Row],[Lombardy]]))</f>
        <v>0</v>
      </c>
      <c r="Q151" s="2"/>
      <c r="S151" s="10">
        <f>Tabella8[[#This Row],[rest of Italy ]]*NOT(ISBLANK(Tabella8[[#This Row],[rest of Italy ]]))</f>
        <v>0</v>
      </c>
      <c r="T151" s="124">
        <f>IFERROR(Ko*_xlfn.LOGNORM.DIST((Tabella8[[#This Row],[Day]]-po),mu_o,sigma_o,TRUE),0)</f>
        <v>143990.27904642586</v>
      </c>
      <c r="U151" s="124">
        <f>Tabella8[[#This Row],[rest of Italy fit]]/Ko</f>
        <v>0.97290740411184418</v>
      </c>
      <c r="V151" s="22">
        <f>Tabella8[[#This Row],[rest of Italy fit]]*NOT(ISBLANK(Tabella8[[#This Row],[rest of Italy ]]))</f>
        <v>0</v>
      </c>
      <c r="X151" s="2"/>
      <c r="AX151" s="76"/>
      <c r="AY151" s="76"/>
      <c r="BD151" s="2"/>
      <c r="BE151" s="2"/>
    </row>
    <row r="152" spans="2:57" x14ac:dyDescent="0.3">
      <c r="B152" s="9">
        <v>43975</v>
      </c>
      <c r="C152" s="4">
        <v>145</v>
      </c>
      <c r="D152" s="90"/>
      <c r="E152" s="10">
        <f>Tabella8[[#This Row],[Spain cum. Cases]]*NOT(ISBLANK(Tabella8[[#This Row],[Spain cum. Cases]]))</f>
        <v>0</v>
      </c>
      <c r="F152" s="146">
        <f>IFERROR(Kt*_xlfn.LOGNORM.DIST((Tabella8[[#This Row],[Day]]-Days_back),mu_t,sigma_t,TRUE),0)</f>
        <v>273705.96823191905</v>
      </c>
      <c r="G152" s="125">
        <f>Tabella8[[#This Row],[Spain cum. fit]]/Kt</f>
        <v>0.97752167899881881</v>
      </c>
      <c r="H152" s="324">
        <f>Tabella8[[#This Row],[Spain cum. fit]]*NOT(ISBLANK(Tabella8[[#This Row],[Spain cum. Cases]]))</f>
        <v>0</v>
      </c>
      <c r="J152" s="2"/>
      <c r="K152" s="75"/>
      <c r="L152" s="10">
        <f>Tabella8[[#This Row],[Lombardy]]*NOT(ISBLANK(Tabella8[[#This Row],[Lombardy]]))</f>
        <v>0</v>
      </c>
      <c r="M152" s="123">
        <f>IFERROR(Kr*_xlfn.LOGNORM.DIST((Tabella8[[#This Row],[Day]]-pr),mu_r,sigma_r,TRUE),0)</f>
        <v>83937.297637611147</v>
      </c>
      <c r="N152" s="123">
        <f>Tabella8[[#This Row],[Lombardy fit]]/Kr</f>
        <v>0.96479652457024312</v>
      </c>
      <c r="O152" s="22">
        <f>Tabella8[[#This Row],[Lombardy fit]]*NOT(ISBLANK(Tabella8[[#This Row],[Lombardy]]))</f>
        <v>0</v>
      </c>
      <c r="Q152" s="2"/>
      <c r="S152" s="10">
        <f>Tabella8[[#This Row],[rest of Italy ]]*NOT(ISBLANK(Tabella8[[#This Row],[rest of Italy ]]))</f>
        <v>0</v>
      </c>
      <c r="T152" s="124">
        <f>IFERROR(Ko*_xlfn.LOGNORM.DIST((Tabella8[[#This Row],[Day]]-po),mu_o,sigma_o,TRUE),0)</f>
        <v>144252.31927004526</v>
      </c>
      <c r="U152" s="124">
        <f>Tabella8[[#This Row],[rest of Italy fit]]/Ko</f>
        <v>0.97467794636943816</v>
      </c>
      <c r="V152" s="22">
        <f>Tabella8[[#This Row],[rest of Italy fit]]*NOT(ISBLANK(Tabella8[[#This Row],[rest of Italy ]]))</f>
        <v>0</v>
      </c>
      <c r="X152" s="2"/>
      <c r="AX152" s="76"/>
      <c r="AY152" s="76"/>
      <c r="BD152" s="2"/>
      <c r="BE152" s="2"/>
    </row>
    <row r="153" spans="2:57" x14ac:dyDescent="0.3">
      <c r="B153" s="9">
        <v>43976</v>
      </c>
      <c r="C153" s="4">
        <v>146</v>
      </c>
      <c r="D153" s="90"/>
      <c r="E153" s="10">
        <f>Tabella8[[#This Row],[Spain cum. Cases]]*NOT(ISBLANK(Tabella8[[#This Row],[Spain cum. Cases]]))</f>
        <v>0</v>
      </c>
      <c r="F153" s="146">
        <f>IFERROR(Kt*_xlfn.LOGNORM.DIST((Tabella8[[#This Row],[Day]]-Days_back),mu_t,sigma_t,TRUE),0)</f>
        <v>274190.40173993789</v>
      </c>
      <c r="G153" s="125">
        <f>Tabella8[[#This Row],[Spain cum. fit]]/Kt</f>
        <v>0.97925179931435613</v>
      </c>
      <c r="H153" s="324">
        <f>Tabella8[[#This Row],[Spain cum. fit]]*NOT(ISBLANK(Tabella8[[#This Row],[Spain cum. Cases]]))</f>
        <v>0</v>
      </c>
      <c r="J153" s="2"/>
      <c r="K153" s="75"/>
      <c r="L153" s="10">
        <f>Tabella8[[#This Row],[Lombardy]]*NOT(ISBLANK(Tabella8[[#This Row],[Lombardy]]))</f>
        <v>0</v>
      </c>
      <c r="M153" s="123">
        <f>IFERROR(Kr*_xlfn.LOGNORM.DIST((Tabella8[[#This Row],[Day]]-pr),mu_r,sigma_r,TRUE),0)</f>
        <v>84106.928832356643</v>
      </c>
      <c r="N153" s="123">
        <f>Tabella8[[#This Row],[Lombardy fit]]/Kr</f>
        <v>0.96674630841789244</v>
      </c>
      <c r="O153" s="22">
        <f>Tabella8[[#This Row],[Lombardy fit]]*NOT(ISBLANK(Tabella8[[#This Row],[Lombardy]]))</f>
        <v>0</v>
      </c>
      <c r="Q153" s="2"/>
      <c r="S153" s="10">
        <f>Tabella8[[#This Row],[rest of Italy ]]*NOT(ISBLANK(Tabella8[[#This Row],[rest of Italy ]]))</f>
        <v>0</v>
      </c>
      <c r="T153" s="124">
        <f>IFERROR(Ko*_xlfn.LOGNORM.DIST((Tabella8[[#This Row],[Day]]-po),mu_o,sigma_o,TRUE),0)</f>
        <v>144497.62634363666</v>
      </c>
      <c r="U153" s="124">
        <f>Tabella8[[#This Row],[rest of Italy fit]]/Ko</f>
        <v>0.97633542678935681</v>
      </c>
      <c r="V153" s="22">
        <f>Tabella8[[#This Row],[rest of Italy fit]]*NOT(ISBLANK(Tabella8[[#This Row],[rest of Italy ]]))</f>
        <v>0</v>
      </c>
      <c r="X153" s="2"/>
      <c r="AX153" s="76"/>
      <c r="AY153" s="76"/>
      <c r="BD153" s="2"/>
      <c r="BE153" s="2"/>
    </row>
    <row r="154" spans="2:57" x14ac:dyDescent="0.3">
      <c r="B154" s="9">
        <v>43977</v>
      </c>
      <c r="C154" s="4">
        <v>147</v>
      </c>
      <c r="D154" s="90"/>
      <c r="E154" s="10">
        <f>Tabella8[[#This Row],[Spain cum. Cases]]*NOT(ISBLANK(Tabella8[[#This Row],[Spain cum. Cases]]))</f>
        <v>0</v>
      </c>
      <c r="F154" s="146">
        <f>IFERROR(Kt*_xlfn.LOGNORM.DIST((Tabella8[[#This Row],[Day]]-Days_back),mu_t,sigma_t,TRUE),0)</f>
        <v>274638.9847853767</v>
      </c>
      <c r="G154" s="125">
        <f>Tabella8[[#This Row],[Spain cum. fit]]/Kt</f>
        <v>0.980853882215874</v>
      </c>
      <c r="H154" s="324">
        <f>Tabella8[[#This Row],[Spain cum. fit]]*NOT(ISBLANK(Tabella8[[#This Row],[Spain cum. Cases]]))</f>
        <v>0</v>
      </c>
      <c r="J154" s="2"/>
      <c r="K154" s="75"/>
      <c r="L154" s="10">
        <f>Tabella8[[#This Row],[Lombardy]]*NOT(ISBLANK(Tabella8[[#This Row],[Lombardy]]))</f>
        <v>0</v>
      </c>
      <c r="M154" s="123">
        <f>IFERROR(Kr*_xlfn.LOGNORM.DIST((Tabella8[[#This Row],[Day]]-pr),mu_r,sigma_r,TRUE),0)</f>
        <v>84267.37414729064</v>
      </c>
      <c r="N154" s="123">
        <f>Tabella8[[#This Row],[Lombardy fit]]/Kr</f>
        <v>0.96859050744012232</v>
      </c>
      <c r="O154" s="22">
        <f>Tabella8[[#This Row],[Lombardy fit]]*NOT(ISBLANK(Tabella8[[#This Row],[Lombardy]]))</f>
        <v>0</v>
      </c>
      <c r="Q154" s="2"/>
      <c r="S154" s="10">
        <f>Tabella8[[#This Row],[rest of Italy ]]*NOT(ISBLANK(Tabella8[[#This Row],[rest of Italy ]]))</f>
        <v>0</v>
      </c>
      <c r="T154" s="124">
        <f>IFERROR(Ko*_xlfn.LOGNORM.DIST((Tabella8[[#This Row],[Day]]-po),mu_o,sigma_o,TRUE),0)</f>
        <v>144727.218349273</v>
      </c>
      <c r="U154" s="124">
        <f>Tabella8[[#This Row],[rest of Italy fit]]/Ko</f>
        <v>0.97788672430532642</v>
      </c>
      <c r="V154" s="22">
        <f>Tabella8[[#This Row],[rest of Italy fit]]*NOT(ISBLANK(Tabella8[[#This Row],[rest of Italy ]]))</f>
        <v>0</v>
      </c>
      <c r="X154" s="2"/>
      <c r="AX154" s="76"/>
      <c r="AY154" s="76"/>
      <c r="BD154" s="2"/>
      <c r="BE154" s="2"/>
    </row>
    <row r="155" spans="2:57" x14ac:dyDescent="0.3">
      <c r="B155" s="9">
        <v>43978</v>
      </c>
      <c r="C155" s="4">
        <v>148</v>
      </c>
      <c r="D155" s="90"/>
      <c r="E155" s="10">
        <f>Tabella8[[#This Row],[Spain cum. Cases]]*NOT(ISBLANK(Tabella8[[#This Row],[Spain cum. Cases]]))</f>
        <v>0</v>
      </c>
      <c r="F155" s="146">
        <f>IFERROR(Kt*_xlfn.LOGNORM.DIST((Tabella8[[#This Row],[Day]]-Days_back),mu_t,sigma_t,TRUE),0)</f>
        <v>275054.19874271034</v>
      </c>
      <c r="G155" s="125">
        <f>Tabella8[[#This Row],[Spain cum. fit]]/Kt</f>
        <v>0.98233678975836725</v>
      </c>
      <c r="H155" s="324">
        <f>Tabella8[[#This Row],[Spain cum. fit]]*NOT(ISBLANK(Tabella8[[#This Row],[Spain cum. Cases]]))</f>
        <v>0</v>
      </c>
      <c r="J155" s="2"/>
      <c r="K155" s="75"/>
      <c r="L155" s="10">
        <f>Tabella8[[#This Row],[Lombardy]]*NOT(ISBLANK(Tabella8[[#This Row],[Lombardy]]))</f>
        <v>0</v>
      </c>
      <c r="M155" s="123">
        <f>IFERROR(Kr*_xlfn.LOGNORM.DIST((Tabella8[[#This Row],[Day]]-pr),mu_r,sigma_r,TRUE),0)</f>
        <v>84419.10587160557</v>
      </c>
      <c r="N155" s="123">
        <f>Tabella8[[#This Row],[Lombardy fit]]/Kr</f>
        <v>0.97033455024833992</v>
      </c>
      <c r="O155" s="22">
        <f>Tabella8[[#This Row],[Lombardy fit]]*NOT(ISBLANK(Tabella8[[#This Row],[Lombardy]]))</f>
        <v>0</v>
      </c>
      <c r="Q155" s="2"/>
      <c r="S155" s="10">
        <f>Tabella8[[#This Row],[rest of Italy ]]*NOT(ISBLANK(Tabella8[[#This Row],[rest of Italy ]]))</f>
        <v>0</v>
      </c>
      <c r="T155" s="124">
        <f>IFERROR(Ko*_xlfn.LOGNORM.DIST((Tabella8[[#This Row],[Day]]-po),mu_o,sigma_o,TRUE),0)</f>
        <v>144942.05731802669</v>
      </c>
      <c r="U155" s="124">
        <f>Tabella8[[#This Row],[rest of Italy fit]]/Ko</f>
        <v>0.97933833912805224</v>
      </c>
      <c r="V155" s="22">
        <f>Tabella8[[#This Row],[rest of Italy fit]]*NOT(ISBLANK(Tabella8[[#This Row],[rest of Italy ]]))</f>
        <v>0</v>
      </c>
      <c r="X155" s="2"/>
      <c r="AX155" s="76"/>
      <c r="AY155" s="76"/>
      <c r="BD155" s="2"/>
      <c r="BE155" s="2"/>
    </row>
    <row r="156" spans="2:57" x14ac:dyDescent="0.3">
      <c r="B156" s="9">
        <v>43979</v>
      </c>
      <c r="C156" s="4">
        <v>149</v>
      </c>
      <c r="D156" s="90"/>
      <c r="E156" s="10">
        <f>Tabella8[[#This Row],[Spain cum. Cases]]*NOT(ISBLANK(Tabella8[[#This Row],[Spain cum. Cases]]))</f>
        <v>0</v>
      </c>
      <c r="F156" s="146">
        <f>IFERROR(Kt*_xlfn.LOGNORM.DIST((Tabella8[[#This Row],[Day]]-Days_back),mu_t,sigma_t,TRUE),0)</f>
        <v>275438.37345172698</v>
      </c>
      <c r="G156" s="125">
        <f>Tabella8[[#This Row],[Spain cum. fit]]/Kt</f>
        <v>0.98370884280131954</v>
      </c>
      <c r="H156" s="324">
        <f>Tabella8[[#This Row],[Spain cum. fit]]*NOT(ISBLANK(Tabella8[[#This Row],[Spain cum. Cases]]))</f>
        <v>0</v>
      </c>
      <c r="J156" s="2"/>
      <c r="K156" s="75"/>
      <c r="L156" s="10">
        <f>Tabella8[[#This Row],[Lombardy]]*NOT(ISBLANK(Tabella8[[#This Row],[Lombardy]]))</f>
        <v>0</v>
      </c>
      <c r="M156" s="123">
        <f>IFERROR(Kr*_xlfn.LOGNORM.DIST((Tabella8[[#This Row],[Day]]-pr),mu_r,sigma_r,TRUE),0)</f>
        <v>84562.574652415191</v>
      </c>
      <c r="N156" s="123">
        <f>Tabella8[[#This Row],[Lombardy fit]]/Kr</f>
        <v>0.97198361669442745</v>
      </c>
      <c r="O156" s="22">
        <f>Tabella8[[#This Row],[Lombardy fit]]*NOT(ISBLANK(Tabella8[[#This Row],[Lombardy]]))</f>
        <v>0</v>
      </c>
      <c r="Q156" s="2"/>
      <c r="S156" s="10">
        <f>Tabella8[[#This Row],[rest of Italy ]]*NOT(ISBLANK(Tabella8[[#This Row],[rest of Italy ]]))</f>
        <v>0</v>
      </c>
      <c r="T156" s="124">
        <f>IFERROR(Ko*_xlfn.LOGNORM.DIST((Tabella8[[#This Row],[Day]]-po),mu_o,sigma_o,TRUE),0)</f>
        <v>145143.05164218618</v>
      </c>
      <c r="U156" s="124">
        <f>Tabella8[[#This Row],[rest of Italy fit]]/Ko</f>
        <v>0.98069640904398159</v>
      </c>
      <c r="V156" s="22">
        <f>Tabella8[[#This Row],[rest of Italy fit]]*NOT(ISBLANK(Tabella8[[#This Row],[rest of Italy ]]))</f>
        <v>0</v>
      </c>
      <c r="X156" s="2"/>
      <c r="AX156" s="76"/>
      <c r="AY156" s="76"/>
      <c r="BD156" s="2"/>
      <c r="BE156" s="2"/>
    </row>
    <row r="157" spans="2:57" x14ac:dyDescent="0.3">
      <c r="B157" s="9">
        <v>43980</v>
      </c>
      <c r="C157" s="4">
        <v>150</v>
      </c>
      <c r="D157" s="90"/>
      <c r="E157" s="10">
        <f>Tabella8[[#This Row],[Spain cum. Cases]]*NOT(ISBLANK(Tabella8[[#This Row],[Spain cum. Cases]]))</f>
        <v>0</v>
      </c>
      <c r="F157" s="146">
        <f>IFERROR(Kt*_xlfn.LOGNORM.DIST((Tabella8[[#This Row],[Day]]-Days_back),mu_t,sigma_t,TRUE),0)</f>
        <v>275793.69406395667</v>
      </c>
      <c r="G157" s="125">
        <f>Tabella8[[#This Row],[Spain cum. fit]]/Kt</f>
        <v>0.98497784546024358</v>
      </c>
      <c r="H157" s="324">
        <f>Tabella8[[#This Row],[Spain cum. fit]]*NOT(ISBLANK(Tabella8[[#This Row],[Spain cum. Cases]]))</f>
        <v>0</v>
      </c>
      <c r="J157" s="2"/>
      <c r="K157" s="75"/>
      <c r="L157" s="10">
        <f>Tabella8[[#This Row],[Lombardy]]*NOT(ISBLANK(Tabella8[[#This Row],[Lombardy]]))</f>
        <v>0</v>
      </c>
      <c r="M157" s="123">
        <f>IFERROR(Kr*_xlfn.LOGNORM.DIST((Tabella8[[#This Row],[Day]]-pr),mu_r,sigma_r,TRUE),0)</f>
        <v>84698.210216405729</v>
      </c>
      <c r="N157" s="123">
        <f>Tabella8[[#This Row],[Lombardy fit]]/Kr</f>
        <v>0.97354264616558306</v>
      </c>
      <c r="O157" s="22">
        <f>Tabella8[[#This Row],[Lombardy fit]]*NOT(ISBLANK(Tabella8[[#This Row],[Lombardy]]))</f>
        <v>0</v>
      </c>
      <c r="Q157" s="2"/>
      <c r="S157" s="10">
        <f>Tabella8[[#This Row],[rest of Italy ]]*NOT(ISBLANK(Tabella8[[#This Row],[rest of Italy ]]))</f>
        <v>0</v>
      </c>
      <c r="T157" s="124">
        <f>IFERROR(Ko*_xlfn.LOGNORM.DIST((Tabella8[[#This Row],[Day]]-po),mu_o,sigma_o,TRUE),0)</f>
        <v>145331.05846446479</v>
      </c>
      <c r="U157" s="124">
        <f>Tabella8[[#This Row],[rest of Italy fit]]/Ko</f>
        <v>0.98196672555860842</v>
      </c>
      <c r="V157" s="22">
        <f>Tabella8[[#This Row],[rest of Italy fit]]*NOT(ISBLANK(Tabella8[[#This Row],[rest of Italy ]]))</f>
        <v>0</v>
      </c>
      <c r="X157" s="2"/>
      <c r="AX157" s="76"/>
      <c r="AY157" s="76"/>
      <c r="BD157" s="2"/>
      <c r="BE157" s="2"/>
    </row>
    <row r="158" spans="2:57" x14ac:dyDescent="0.3">
      <c r="B158" s="9">
        <v>43981</v>
      </c>
      <c r="C158" s="4">
        <v>151</v>
      </c>
      <c r="D158" s="90"/>
      <c r="E158" s="10">
        <f>Tabella8[[#This Row],[Spain cum. Cases]]*NOT(ISBLANK(Tabella8[[#This Row],[Spain cum. Cases]]))</f>
        <v>0</v>
      </c>
      <c r="F158" s="146">
        <f>IFERROR(Kt*_xlfn.LOGNORM.DIST((Tabella8[[#This Row],[Day]]-Days_back),mu_t,sigma_t,TRUE),0)</f>
        <v>276122.20788677584</v>
      </c>
      <c r="G158" s="125">
        <f>Tabella8[[#This Row],[Spain cum. fit]]/Kt</f>
        <v>0.98615110954991958</v>
      </c>
      <c r="H158" s="324">
        <f>Tabella8[[#This Row],[Spain cum. fit]]*NOT(ISBLANK(Tabella8[[#This Row],[Spain cum. Cases]]))</f>
        <v>0</v>
      </c>
      <c r="J158" s="2"/>
      <c r="K158" s="75"/>
      <c r="L158" s="10">
        <f>Tabella8[[#This Row],[Lombardy]]*NOT(ISBLANK(Tabella8[[#This Row],[Lombardy]]))</f>
        <v>0</v>
      </c>
      <c r="M158" s="123">
        <f>IFERROR(Kr*_xlfn.LOGNORM.DIST((Tabella8[[#This Row],[Day]]-pr),mu_r,sigma_r,TRUE),0)</f>
        <v>84826.422096802387</v>
      </c>
      <c r="N158" s="123">
        <f>Tabella8[[#This Row],[Lombardy fit]]/Kr</f>
        <v>0.97501634594025732</v>
      </c>
      <c r="O158" s="22">
        <f>Tabella8[[#This Row],[Lombardy fit]]*NOT(ISBLANK(Tabella8[[#This Row],[Lombardy]]))</f>
        <v>0</v>
      </c>
      <c r="Q158" s="2"/>
      <c r="S158" s="10">
        <f>Tabella8[[#This Row],[rest of Italy ]]*NOT(ISBLANK(Tabella8[[#This Row],[rest of Italy ]]))</f>
        <v>0</v>
      </c>
      <c r="T158" s="124">
        <f>IFERROR(Ko*_xlfn.LOGNORM.DIST((Tabella8[[#This Row],[Day]]-po),mu_o,sigma_o,TRUE),0)</f>
        <v>145506.8860325217</v>
      </c>
      <c r="U158" s="124">
        <f>Tabella8[[#This Row],[rest of Italy fit]]/Ko</f>
        <v>0.98315474980540063</v>
      </c>
      <c r="V158" s="22">
        <f>Tabella8[[#This Row],[rest of Italy fit]]*NOT(ISBLANK(Tabella8[[#This Row],[rest of Italy ]]))</f>
        <v>0</v>
      </c>
      <c r="X158" s="2"/>
      <c r="AX158" s="76"/>
      <c r="AY158" s="76"/>
      <c r="BD158" s="2"/>
      <c r="BE158" s="2"/>
    </row>
    <row r="159" spans="2:57" x14ac:dyDescent="0.3">
      <c r="B159" s="9">
        <v>43982</v>
      </c>
      <c r="C159" s="4">
        <v>152</v>
      </c>
      <c r="D159" s="90"/>
      <c r="E159" s="10">
        <f>Tabella8[[#This Row],[Spain cum. Cases]]*NOT(ISBLANK(Tabella8[[#This Row],[Spain cum. Cases]]))</f>
        <v>0</v>
      </c>
      <c r="F159" s="146">
        <f>IFERROR(Kt*_xlfn.LOGNORM.DIST((Tabella8[[#This Row],[Day]]-Days_back),mu_t,sigma_t,TRUE),0)</f>
        <v>276425.83117484231</v>
      </c>
      <c r="G159" s="125">
        <f>Tabella8[[#This Row],[Spain cum. fit]]/Kt</f>
        <v>0.98723547883953033</v>
      </c>
      <c r="H159" s="324">
        <f>Tabella8[[#This Row],[Spain cum. fit]]*NOT(ISBLANK(Tabella8[[#This Row],[Spain cum. Cases]]))</f>
        <v>0</v>
      </c>
      <c r="J159" s="2"/>
      <c r="K159" s="75"/>
      <c r="L159" s="10">
        <f>Tabella8[[#This Row],[Lombardy]]*NOT(ISBLANK(Tabella8[[#This Row],[Lombardy]]))</f>
        <v>0</v>
      </c>
      <c r="M159" s="123">
        <f>IFERROR(Kr*_xlfn.LOGNORM.DIST((Tabella8[[#This Row],[Day]]-pr),mu_r,sigma_r,TRUE),0)</f>
        <v>84947.600361458666</v>
      </c>
      <c r="N159" s="123">
        <f>Tabella8[[#This Row],[Lombardy fit]]/Kr</f>
        <v>0.97640919955699612</v>
      </c>
      <c r="O159" s="22">
        <f>Tabella8[[#This Row],[Lombardy fit]]*NOT(ISBLANK(Tabella8[[#This Row],[Lombardy]]))</f>
        <v>0</v>
      </c>
      <c r="Q159" s="2"/>
      <c r="S159" s="10">
        <f>Tabella8[[#This Row],[rest of Italy ]]*NOT(ISBLANK(Tabella8[[#This Row],[rest of Italy ]]))</f>
        <v>0</v>
      </c>
      <c r="T159" s="124">
        <f>IFERROR(Ko*_xlfn.LOGNORM.DIST((Tabella8[[#This Row],[Day]]-po),mu_o,sigma_o,TRUE),0)</f>
        <v>145671.29600902554</v>
      </c>
      <c r="U159" s="124">
        <f>Tabella8[[#This Row],[rest of Italy fit]]/Ko</f>
        <v>0.98426562815434027</v>
      </c>
      <c r="V159" s="22">
        <f>Tabella8[[#This Row],[rest of Italy fit]]*NOT(ISBLANK(Tabella8[[#This Row],[rest of Italy ]]))</f>
        <v>0</v>
      </c>
      <c r="X159" s="2"/>
      <c r="AX159" s="76"/>
      <c r="AY159" s="76"/>
      <c r="BD159" s="2"/>
      <c r="BE159" s="2"/>
    </row>
    <row r="160" spans="2:57" x14ac:dyDescent="0.3">
      <c r="B160" s="9">
        <v>43983</v>
      </c>
      <c r="C160" s="4">
        <v>153</v>
      </c>
      <c r="D160" s="90"/>
      <c r="E160" s="10">
        <f>Tabella8[[#This Row],[Spain cum. Cases]]*NOT(ISBLANK(Tabella8[[#This Row],[Spain cum. Cases]]))</f>
        <v>0</v>
      </c>
      <c r="F160" s="146">
        <f>IFERROR(Kt*_xlfn.LOGNORM.DIST((Tabella8[[#This Row],[Day]]-Days_back),mu_t,sigma_t,TRUE),0)</f>
        <v>276706.35582642589</v>
      </c>
      <c r="G160" s="125">
        <f>Tabella8[[#This Row],[Spain cum. fit]]/Kt</f>
        <v>0.98823735296813608</v>
      </c>
      <c r="H160" s="324">
        <f>Tabella8[[#This Row],[Spain cum. fit]]*NOT(ISBLANK(Tabella8[[#This Row],[Spain cum. Cases]]))</f>
        <v>0</v>
      </c>
      <c r="J160" s="2"/>
      <c r="K160" s="75"/>
      <c r="L160" s="10">
        <f>Tabella8[[#This Row],[Lombardy]]*NOT(ISBLANK(Tabella8[[#This Row],[Lombardy]]))</f>
        <v>0</v>
      </c>
      <c r="M160" s="123">
        <f>IFERROR(Kr*_xlfn.LOGNORM.DIST((Tabella8[[#This Row],[Day]]-pr),mu_r,sigma_r,TRUE),0)</f>
        <v>85062.116338405118</v>
      </c>
      <c r="N160" s="123">
        <f>Tabella8[[#This Row],[Lombardy fit]]/Kr</f>
        <v>0.97772547515408181</v>
      </c>
      <c r="O160" s="22">
        <f>Tabella8[[#This Row],[Lombardy fit]]*NOT(ISBLANK(Tabella8[[#This Row],[Lombardy]]))</f>
        <v>0</v>
      </c>
      <c r="Q160" s="2"/>
      <c r="S160" s="10">
        <f>Tabella8[[#This Row],[rest of Italy ]]*NOT(ISBLANK(Tabella8[[#This Row],[rest of Italy ]]))</f>
        <v>0</v>
      </c>
      <c r="T160" s="124">
        <f>IFERROR(Ko*_xlfn.LOGNORM.DIST((Tabella8[[#This Row],[Day]]-po),mu_o,sigma_o,TRUE),0)</f>
        <v>145825.00572919563</v>
      </c>
      <c r="U160" s="124">
        <f>Tabella8[[#This Row],[rest of Italy fit]]/Ko</f>
        <v>0.98530420746558134</v>
      </c>
      <c r="V160" s="22">
        <f>Tabella8[[#This Row],[rest of Italy fit]]*NOT(ISBLANK(Tabella8[[#This Row],[rest of Italy ]]))</f>
        <v>0</v>
      </c>
      <c r="X160" s="2"/>
      <c r="AX160" s="76"/>
      <c r="AY160" s="76"/>
      <c r="BD160" s="2"/>
      <c r="BE160" s="2"/>
    </row>
    <row r="161" spans="2:57" x14ac:dyDescent="0.3">
      <c r="B161" s="9">
        <v>43984</v>
      </c>
      <c r="C161" s="4">
        <v>154</v>
      </c>
      <c r="D161" s="90"/>
      <c r="E161" s="10">
        <f>Tabella8[[#This Row],[Spain cum. Cases]]*NOT(ISBLANK(Tabella8[[#This Row],[Spain cum. Cases]]))</f>
        <v>0</v>
      </c>
      <c r="F161" s="146">
        <f>IFERROR(Kt*_xlfn.LOGNORM.DIST((Tabella8[[#This Row],[Day]]-Days_back),mu_t,sigma_t,TRUE),0)</f>
        <v>276965.45594929904</v>
      </c>
      <c r="G161" s="125">
        <f>Tabella8[[#This Row],[Spain cum. fit]]/Kt</f>
        <v>0.98916271089429264</v>
      </c>
      <c r="H161" s="324">
        <f>Tabella8[[#This Row],[Spain cum. fit]]*NOT(ISBLANK(Tabella8[[#This Row],[Spain cum. Cases]]))</f>
        <v>0</v>
      </c>
      <c r="J161" s="2"/>
      <c r="K161" s="75"/>
      <c r="L161" s="10">
        <f>Tabella8[[#This Row],[Lombardy]]*NOT(ISBLANK(Tabella8[[#This Row],[Lombardy]]))</f>
        <v>0</v>
      </c>
      <c r="M161" s="123">
        <f>IFERROR(Kr*_xlfn.LOGNORM.DIST((Tabella8[[#This Row],[Day]]-pr),mu_r,sigma_r,TRUE),0)</f>
        <v>85170.323335674941</v>
      </c>
      <c r="N161" s="123">
        <f>Tabella8[[#This Row],[Lombardy fit]]/Kr</f>
        <v>0.97896923374339018</v>
      </c>
      <c r="O161" s="22">
        <f>Tabella8[[#This Row],[Lombardy fit]]*NOT(ISBLANK(Tabella8[[#This Row],[Lombardy]]))</f>
        <v>0</v>
      </c>
      <c r="Q161" s="2"/>
      <c r="S161" s="10">
        <f>Tabella8[[#This Row],[rest of Italy ]]*NOT(ISBLANK(Tabella8[[#This Row],[rest of Italy ]]))</f>
        <v>0</v>
      </c>
      <c r="T161" s="124">
        <f>IFERROR(Ko*_xlfn.LOGNORM.DIST((Tabella8[[#This Row],[Day]]-po),mu_o,sigma_o,TRUE),0)</f>
        <v>145968.69039927144</v>
      </c>
      <c r="U161" s="124">
        <f>Tabella8[[#This Row],[rest of Italy fit]]/Ko</f>
        <v>0.98627504994397563</v>
      </c>
      <c r="V161" s="22">
        <f>Tabella8[[#This Row],[rest of Italy fit]]*NOT(ISBLANK(Tabella8[[#This Row],[rest of Italy ]]))</f>
        <v>0</v>
      </c>
      <c r="X161" s="2"/>
      <c r="AX161" s="76"/>
      <c r="AY161" s="76"/>
      <c r="BD161" s="2"/>
      <c r="BE161" s="2"/>
    </row>
    <row r="162" spans="2:57" x14ac:dyDescent="0.3">
      <c r="B162" s="9">
        <v>43985</v>
      </c>
      <c r="C162" s="4">
        <v>155</v>
      </c>
      <c r="D162" s="90"/>
      <c r="E162" s="10">
        <f>Tabella8[[#This Row],[Spain cum. Cases]]*NOT(ISBLANK(Tabella8[[#This Row],[Spain cum. Cases]]))</f>
        <v>0</v>
      </c>
      <c r="F162" s="146">
        <f>IFERROR(Kt*_xlfn.LOGNORM.DIST((Tabella8[[#This Row],[Day]]-Days_back),mu_t,sigma_t,TRUE),0)</f>
        <v>277204.69426719396</v>
      </c>
      <c r="G162" s="125">
        <f>Tabella8[[#This Row],[Spain cum. fit]]/Kt</f>
        <v>0.99001713377626399</v>
      </c>
      <c r="H162" s="324">
        <f>Tabella8[[#This Row],[Spain cum. fit]]*NOT(ISBLANK(Tabella8[[#This Row],[Spain cum. Cases]]))</f>
        <v>0</v>
      </c>
      <c r="J162" s="2"/>
      <c r="K162" s="75"/>
      <c r="L162" s="10">
        <f>Tabella8[[#This Row],[Lombardy]]*NOT(ISBLANK(Tabella8[[#This Row],[Lombardy]]))</f>
        <v>0</v>
      </c>
      <c r="M162" s="123">
        <f>IFERROR(Kr*_xlfn.LOGNORM.DIST((Tabella8[[#This Row],[Day]]-pr),mu_r,sigma_r,TRUE),0)</f>
        <v>85272.55735266082</v>
      </c>
      <c r="N162" s="123">
        <f>Tabella8[[#This Row],[Lombardy fit]]/Kr</f>
        <v>0.98014433738690598</v>
      </c>
      <c r="O162" s="22">
        <f>Tabella8[[#This Row],[Lombardy fit]]*NOT(ISBLANK(Tabella8[[#This Row],[Lombardy]]))</f>
        <v>0</v>
      </c>
      <c r="Q162" s="2"/>
      <c r="S162" s="10">
        <f>Tabella8[[#This Row],[rest of Italy ]]*NOT(ISBLANK(Tabella8[[#This Row],[rest of Italy ]]))</f>
        <v>0</v>
      </c>
      <c r="T162" s="124">
        <f>IFERROR(Ko*_xlfn.LOGNORM.DIST((Tabella8[[#This Row],[Day]]-po),mu_o,sigma_o,TRUE),0)</f>
        <v>146102.98523070125</v>
      </c>
      <c r="U162" s="124">
        <f>Tabella8[[#This Row],[rest of Italy fit]]/Ko</f>
        <v>0.98718244755926798</v>
      </c>
      <c r="V162" s="22">
        <f>Tabella8[[#This Row],[rest of Italy fit]]*NOT(ISBLANK(Tabella8[[#This Row],[rest of Italy ]]))</f>
        <v>0</v>
      </c>
      <c r="X162" s="2"/>
      <c r="AX162" s="76"/>
      <c r="AY162" s="76"/>
      <c r="BD162" s="2"/>
      <c r="BE162" s="2"/>
    </row>
    <row r="163" spans="2:57" x14ac:dyDescent="0.3">
      <c r="B163" s="9">
        <v>43986</v>
      </c>
      <c r="C163" s="4">
        <v>156</v>
      </c>
      <c r="D163" s="90"/>
      <c r="E163" s="10">
        <f>Tabella8[[#This Row],[Spain cum. Cases]]*NOT(ISBLANK(Tabella8[[#This Row],[Spain cum. Cases]]))</f>
        <v>0</v>
      </c>
      <c r="F163" s="146">
        <f>IFERROR(Kt*_xlfn.LOGNORM.DIST((Tabella8[[#This Row],[Day]]-Days_back),mu_t,sigma_t,TRUE),0)</f>
        <v>277425.52834346675</v>
      </c>
      <c r="G163" s="125">
        <f>Tabella8[[#This Row],[Spain cum. fit]]/Kt</f>
        <v>0.9908058271994028</v>
      </c>
      <c r="H163" s="324">
        <f>Tabella8[[#This Row],[Spain cum. fit]]*NOT(ISBLANK(Tabella8[[#This Row],[Spain cum. Cases]]))</f>
        <v>0</v>
      </c>
      <c r="J163" s="2"/>
      <c r="K163" s="75"/>
      <c r="L163" s="10">
        <f>Tabella8[[#This Row],[Lombardy]]*NOT(ISBLANK(Tabella8[[#This Row],[Lombardy]]))</f>
        <v>0</v>
      </c>
      <c r="M163" s="123">
        <f>IFERROR(Kr*_xlfn.LOGNORM.DIST((Tabella8[[#This Row],[Day]]-pr),mu_r,sigma_r,TRUE),0)</f>
        <v>85369.137780653706</v>
      </c>
      <c r="N163" s="123">
        <f>Tabella8[[#This Row],[Lombardy fit]]/Kr</f>
        <v>0.98125445724889315</v>
      </c>
      <c r="O163" s="22">
        <f>Tabella8[[#This Row],[Lombardy fit]]*NOT(ISBLANK(Tabella8[[#This Row],[Lombardy]]))</f>
        <v>0</v>
      </c>
      <c r="Q163" s="2"/>
      <c r="S163" s="10">
        <f>Tabella8[[#This Row],[rest of Italy ]]*NOT(ISBLANK(Tabella8[[#This Row],[rest of Italy ]]))</f>
        <v>0</v>
      </c>
      <c r="T163" s="124">
        <f>IFERROR(Ko*_xlfn.LOGNORM.DIST((Tabella8[[#This Row],[Day]]-po),mu_o,sigma_o,TRUE),0)</f>
        <v>146228.48750602425</v>
      </c>
      <c r="U163" s="124">
        <f>Tabella8[[#This Row],[rest of Italy fit]]/Ko</f>
        <v>0.9880304360047607</v>
      </c>
      <c r="V163" s="22">
        <f>Tabella8[[#This Row],[rest of Italy fit]]*NOT(ISBLANK(Tabella8[[#This Row],[rest of Italy ]]))</f>
        <v>0</v>
      </c>
      <c r="X163" s="2"/>
      <c r="AX163" s="76"/>
      <c r="AY163" s="76"/>
      <c r="BD163" s="2"/>
      <c r="BE163" s="2"/>
    </row>
    <row r="164" spans="2:57" x14ac:dyDescent="0.3">
      <c r="B164" s="9">
        <v>43987</v>
      </c>
      <c r="C164" s="4">
        <v>157</v>
      </c>
      <c r="D164" s="90"/>
      <c r="E164" s="10">
        <f>Tabella8[[#This Row],[Spain cum. Cases]]*NOT(ISBLANK(Tabella8[[#This Row],[Spain cum. Cases]]))</f>
        <v>0</v>
      </c>
      <c r="F164" s="146">
        <f>IFERROR(Kt*_xlfn.LOGNORM.DIST((Tabella8[[#This Row],[Day]]-Days_back),mu_t,sigma_t,TRUE),0)</f>
        <v>277629.31660359091</v>
      </c>
      <c r="G164" s="125">
        <f>Tabella8[[#This Row],[Spain cum. fit]]/Kt</f>
        <v>0.99153364268506294</v>
      </c>
      <c r="H164" s="324">
        <f>Tabella8[[#This Row],[Spain cum. fit]]*NOT(ISBLANK(Tabella8[[#This Row],[Spain cum. Cases]]))</f>
        <v>0</v>
      </c>
      <c r="J164" s="2"/>
      <c r="K164" s="75"/>
      <c r="L164" s="10">
        <f>Tabella8[[#This Row],[Lombardy]]*NOT(ISBLANK(Tabella8[[#This Row],[Lombardy]]))</f>
        <v>0</v>
      </c>
      <c r="M164" s="123">
        <f>IFERROR(Kr*_xlfn.LOGNORM.DIST((Tabella8[[#This Row],[Day]]-pr),mu_r,sigma_r,TRUE),0)</f>
        <v>85460.368090571821</v>
      </c>
      <c r="N164" s="123">
        <f>Tabella8[[#This Row],[Lombardy fit]]/Kr</f>
        <v>0.98230308150082557</v>
      </c>
      <c r="O164" s="22">
        <f>Tabella8[[#This Row],[Lombardy fit]]*NOT(ISBLANK(Tabella8[[#This Row],[Lombardy]]))</f>
        <v>0</v>
      </c>
      <c r="Q164" s="2"/>
      <c r="S164" s="10">
        <f>Tabella8[[#This Row],[rest of Italy ]]*NOT(ISBLANK(Tabella8[[#This Row],[rest of Italy ]]))</f>
        <v>0</v>
      </c>
      <c r="T164" s="124">
        <f>IFERROR(Ko*_xlfn.LOGNORM.DIST((Tabella8[[#This Row],[Day]]-po),mu_o,sigma_o,TRUE),0)</f>
        <v>146345.7585734569</v>
      </c>
      <c r="U164" s="124">
        <f>Tabella8[[#This Row],[rest of Italy fit]]/Ko</f>
        <v>0.9888228081742495</v>
      </c>
      <c r="V164" s="22">
        <f>Tabella8[[#This Row],[rest of Italy fit]]*NOT(ISBLANK(Tabella8[[#This Row],[rest of Italy ]]))</f>
        <v>0</v>
      </c>
      <c r="X164" s="2"/>
      <c r="AX164" s="76"/>
      <c r="AY164" s="76"/>
      <c r="BD164" s="2"/>
      <c r="BE164" s="2"/>
    </row>
    <row r="165" spans="2:57" x14ac:dyDescent="0.3">
      <c r="B165" s="9">
        <v>43988</v>
      </c>
      <c r="C165" s="4">
        <v>158</v>
      </c>
      <c r="D165" s="90"/>
      <c r="E165" s="10">
        <f>Tabella8[[#This Row],[Spain cum. Cases]]*NOT(ISBLANK(Tabella8[[#This Row],[Spain cum. Cases]]))</f>
        <v>0</v>
      </c>
      <c r="F165" s="146">
        <f>IFERROR(Kt*_xlfn.LOGNORM.DIST((Tabella8[[#This Row],[Day]]-Days_back),mu_t,sigma_t,TRUE),0)</f>
        <v>277817.32414248458</v>
      </c>
      <c r="G165" s="125">
        <f>Tabella8[[#This Row],[Spain cum. fit]]/Kt</f>
        <v>0.99220509843106286</v>
      </c>
      <c r="H165" s="324">
        <f>Tabella8[[#This Row],[Spain cum. fit]]*NOT(ISBLANK(Tabella8[[#This Row],[Spain cum. Cases]]))</f>
        <v>0</v>
      </c>
      <c r="J165" s="2"/>
      <c r="K165" s="75"/>
      <c r="L165" s="10">
        <f>Tabella8[[#This Row],[Lombardy]]*NOT(ISBLANK(Tabella8[[#This Row],[Lombardy]]))</f>
        <v>0</v>
      </c>
      <c r="M165" s="123">
        <f>IFERROR(Kr*_xlfn.LOGNORM.DIST((Tabella8[[#This Row],[Day]]-pr),mu_r,sigma_r,TRUE),0)</f>
        <v>85546.536506210832</v>
      </c>
      <c r="N165" s="123">
        <f>Tabella8[[#This Row],[Lombardy fit]]/Kr</f>
        <v>0.98329352305989459</v>
      </c>
      <c r="O165" s="22">
        <f>Tabella8[[#This Row],[Lombardy fit]]*NOT(ISBLANK(Tabella8[[#This Row],[Lombardy]]))</f>
        <v>0</v>
      </c>
      <c r="Q165" s="2"/>
      <c r="S165" s="10">
        <f>Tabella8[[#This Row],[rest of Italy ]]*NOT(ISBLANK(Tabella8[[#This Row],[rest of Italy ]]))</f>
        <v>0</v>
      </c>
      <c r="T165" s="124">
        <f>IFERROR(Ko*_xlfn.LOGNORM.DIST((Tabella8[[#This Row],[Day]]-po),mu_o,sigma_o,TRUE),0)</f>
        <v>146455.32576810059</v>
      </c>
      <c r="U165" s="124">
        <f>Tabella8[[#This Row],[rest of Italy fit]]/Ko</f>
        <v>0.98956312714315886</v>
      </c>
      <c r="V165" s="22">
        <f>Tabella8[[#This Row],[rest of Italy fit]]*NOT(ISBLANK(Tabella8[[#This Row],[rest of Italy ]]))</f>
        <v>0</v>
      </c>
      <c r="X165" s="2"/>
      <c r="AX165" s="76"/>
      <c r="AY165" s="76"/>
      <c r="BD165" s="2"/>
      <c r="BE165" s="2"/>
    </row>
    <row r="166" spans="2:57" x14ac:dyDescent="0.3">
      <c r="B166" s="9">
        <v>43989</v>
      </c>
      <c r="C166" s="4">
        <v>159</v>
      </c>
      <c r="D166" s="90"/>
      <c r="E166" s="10">
        <f>Tabella8[[#This Row],[Spain cum. Cases]]*NOT(ISBLANK(Tabella8[[#This Row],[Spain cum. Cases]]))</f>
        <v>0</v>
      </c>
      <c r="F166" s="146">
        <f>IFERROR(Kt*_xlfn.LOGNORM.DIST((Tabella8[[#This Row],[Day]]-Days_back),mu_t,sigma_t,TRUE),0)</f>
        <v>277990.72830650187</v>
      </c>
      <c r="G166" s="125">
        <f>Tabella8[[#This Row],[Spain cum. fit]]/Kt</f>
        <v>0.99282439924737509</v>
      </c>
      <c r="H166" s="324">
        <f>Tabella8[[#This Row],[Spain cum. fit]]*NOT(ISBLANK(Tabella8[[#This Row],[Spain cum. Cases]]))</f>
        <v>0</v>
      </c>
      <c r="J166" s="2"/>
      <c r="K166" s="75"/>
      <c r="L166" s="10">
        <f>Tabella8[[#This Row],[Lombardy]]*NOT(ISBLANK(Tabella8[[#This Row],[Lombardy]]))</f>
        <v>0</v>
      </c>
      <c r="M166" s="123">
        <f>IFERROR(Kr*_xlfn.LOGNORM.DIST((Tabella8[[#This Row],[Day]]-pr),mu_r,sigma_r,TRUE),0)</f>
        <v>85627.916661635274</v>
      </c>
      <c r="N166" s="123">
        <f>Tabella8[[#This Row],[Lombardy fit]]/Kr</f>
        <v>0.98422892714523302</v>
      </c>
      <c r="O166" s="22">
        <f>Tabella8[[#This Row],[Lombardy fit]]*NOT(ISBLANK(Tabella8[[#This Row],[Lombardy]]))</f>
        <v>0</v>
      </c>
      <c r="Q166" s="2"/>
      <c r="S166" s="10">
        <f>Tabella8[[#This Row],[rest of Italy ]]*NOT(ISBLANK(Tabella8[[#This Row],[rest of Italy ]]))</f>
        <v>0</v>
      </c>
      <c r="T166" s="124">
        <f>IFERROR(Ko*_xlfn.LOGNORM.DIST((Tabella8[[#This Row],[Day]]-po),mu_o,sigma_o,TRUE),0)</f>
        <v>146557.68425847558</v>
      </c>
      <c r="U166" s="124">
        <f>Tabella8[[#This Row],[rest of Italy fit]]/Ko</f>
        <v>0.99025473864512303</v>
      </c>
      <c r="V166" s="22">
        <f>Tabella8[[#This Row],[rest of Italy fit]]*NOT(ISBLANK(Tabella8[[#This Row],[rest of Italy ]]))</f>
        <v>0</v>
      </c>
      <c r="X166" s="2"/>
      <c r="AX166" s="76"/>
      <c r="AY166" s="76"/>
      <c r="BD166" s="2"/>
      <c r="BE166" s="2"/>
    </row>
    <row r="167" spans="2:57" x14ac:dyDescent="0.3">
      <c r="B167" s="9">
        <v>43990</v>
      </c>
      <c r="C167" s="4">
        <v>160</v>
      </c>
      <c r="D167" s="90"/>
      <c r="E167" s="10">
        <f>Tabella8[[#This Row],[Spain cum. Cases]]*NOT(ISBLANK(Tabella8[[#This Row],[Spain cum. Cases]]))</f>
        <v>0</v>
      </c>
      <c r="F167" s="146">
        <f>IFERROR(Kt*_xlfn.LOGNORM.DIST((Tabella8[[#This Row],[Day]]-Days_back),mu_t,sigma_t,TRUE),0)</f>
        <v>278150.62404324947</v>
      </c>
      <c r="G167" s="125">
        <f>Tabella8[[#This Row],[Spain cum. fit]]/Kt</f>
        <v>0.99339545566262222</v>
      </c>
      <c r="H167" s="324">
        <f>Tabella8[[#This Row],[Spain cum. fit]]*NOT(ISBLANK(Tabella8[[#This Row],[Spain cum. Cases]]))</f>
        <v>0</v>
      </c>
      <c r="J167" s="2"/>
      <c r="K167" s="75"/>
      <c r="L167" s="10">
        <f>Tabella8[[#This Row],[Lombardy]]*NOT(ISBLANK(Tabella8[[#This Row],[Lombardy]]))</f>
        <v>0</v>
      </c>
      <c r="M167" s="123">
        <f>IFERROR(Kr*_xlfn.LOGNORM.DIST((Tabella8[[#This Row],[Day]]-pr),mu_r,sigma_r,TRUE),0)</f>
        <v>85704.768241591519</v>
      </c>
      <c r="N167" s="123">
        <f>Tabella8[[#This Row],[Lombardy fit]]/Kr</f>
        <v>0.98511227863898299</v>
      </c>
      <c r="O167" s="22">
        <f>Tabella8[[#This Row],[Lombardy fit]]*NOT(ISBLANK(Tabella8[[#This Row],[Lombardy]]))</f>
        <v>0</v>
      </c>
      <c r="Q167" s="2"/>
      <c r="S167" s="10">
        <f>Tabella8[[#This Row],[rest of Italy ]]*NOT(ISBLANK(Tabella8[[#This Row],[rest of Italy ]]))</f>
        <v>0</v>
      </c>
      <c r="T167" s="124">
        <f>IFERROR(Ko*_xlfn.LOGNORM.DIST((Tabella8[[#This Row],[Day]]-po),mu_o,sigma_o,TRUE),0)</f>
        <v>146653.29881776491</v>
      </c>
      <c r="U167" s="124">
        <f>Tabella8[[#This Row],[rest of Italy fit]]/Ko</f>
        <v>0.99090078303985252</v>
      </c>
      <c r="V167" s="22">
        <f>Tabella8[[#This Row],[rest of Italy fit]]*NOT(ISBLANK(Tabella8[[#This Row],[rest of Italy ]]))</f>
        <v>0</v>
      </c>
      <c r="X167" s="2"/>
      <c r="AX167" s="76"/>
      <c r="AY167" s="76"/>
      <c r="BD167" s="2"/>
      <c r="BE167" s="2"/>
    </row>
    <row r="168" spans="2:57" x14ac:dyDescent="0.3">
      <c r="B168" s="9">
        <v>43991</v>
      </c>
      <c r="C168" s="4">
        <v>161</v>
      </c>
      <c r="D168" s="90"/>
      <c r="E168" s="10">
        <f>Tabella8[[#This Row],[Spain cum. Cases]]*NOT(ISBLANK(Tabella8[[#This Row],[Spain cum. Cases]]))</f>
        <v>0</v>
      </c>
      <c r="F168" s="146">
        <f>IFERROR(Kt*_xlfn.LOGNORM.DIST((Tabella8[[#This Row],[Day]]-Days_back),mu_t,sigma_t,TRUE),0)</f>
        <v>278298.02901525935</v>
      </c>
      <c r="G168" s="125">
        <f>Tabella8[[#This Row],[Spain cum. fit]]/Kt</f>
        <v>0.9939219021872</v>
      </c>
      <c r="H168" s="324">
        <f>Tabella8[[#This Row],[Spain cum. fit]]*NOT(ISBLANK(Tabella8[[#This Row],[Spain cum. Cases]]))</f>
        <v>0</v>
      </c>
      <c r="J168" s="2"/>
      <c r="K168" s="75"/>
      <c r="L168" s="10">
        <f>Tabella8[[#This Row],[Lombardy]]*NOT(ISBLANK(Tabella8[[#This Row],[Lombardy]]))</f>
        <v>0</v>
      </c>
      <c r="M168" s="123">
        <f>IFERROR(Kr*_xlfn.LOGNORM.DIST((Tabella8[[#This Row],[Day]]-pr),mu_r,sigma_r,TRUE),0)</f>
        <v>85777.337604053508</v>
      </c>
      <c r="N168" s="123">
        <f>Tabella8[[#This Row],[Lombardy fit]]/Kr</f>
        <v>0.98594640924199439</v>
      </c>
      <c r="O168" s="22">
        <f>Tabella8[[#This Row],[Lombardy fit]]*NOT(ISBLANK(Tabella8[[#This Row],[Lombardy]]))</f>
        <v>0</v>
      </c>
      <c r="Q168" s="2"/>
      <c r="S168" s="10">
        <f>Tabella8[[#This Row],[rest of Italy ]]*NOT(ISBLANK(Tabella8[[#This Row],[rest of Italy ]]))</f>
        <v>0</v>
      </c>
      <c r="T168" s="124">
        <f>IFERROR(Ko*_xlfn.LOGNORM.DIST((Tabella8[[#This Row],[Day]]-po),mu_o,sigma_o,TRUE),0)</f>
        <v>146742.60551973694</v>
      </c>
      <c r="U168" s="124">
        <f>Tabella8[[#This Row],[rest of Italy fit]]/Ko</f>
        <v>0.99150420677207118</v>
      </c>
      <c r="V168" s="22">
        <f>Tabella8[[#This Row],[rest of Italy fit]]*NOT(ISBLANK(Tabella8[[#This Row],[rest of Italy ]]))</f>
        <v>0</v>
      </c>
      <c r="X168" s="2"/>
      <c r="AX168" s="76"/>
      <c r="AY168" s="76"/>
      <c r="BD168" s="2"/>
      <c r="BE168" s="2"/>
    </row>
    <row r="169" spans="2:57" x14ac:dyDescent="0.3">
      <c r="B169" s="9">
        <v>43992</v>
      </c>
      <c r="C169" s="4">
        <v>162</v>
      </c>
      <c r="D169" s="90"/>
      <c r="E169" s="10">
        <f>Tabella8[[#This Row],[Spain cum. Cases]]*NOT(ISBLANK(Tabella8[[#This Row],[Spain cum. Cases]]))</f>
        <v>0</v>
      </c>
      <c r="F169" s="146">
        <f>IFERROR(Kt*_xlfn.LOGNORM.DIST((Tabella8[[#This Row],[Day]]-Days_back),mu_t,sigma_t,TRUE),0)</f>
        <v>278433.88847601041</v>
      </c>
      <c r="G169" s="125">
        <f>Tabella8[[#This Row],[Spain cum. fit]]/Kt</f>
        <v>0.99440711472764676</v>
      </c>
      <c r="H169" s="324">
        <f>Tabella8[[#This Row],[Spain cum. fit]]*NOT(ISBLANK(Tabella8[[#This Row],[Spain cum. Cases]]))</f>
        <v>0</v>
      </c>
      <c r="J169" s="2"/>
      <c r="K169" s="75"/>
      <c r="L169" s="10">
        <f>Tabella8[[#This Row],[Lombardy]]*NOT(ISBLANK(Tabella8[[#This Row],[Lombardy]]))</f>
        <v>0</v>
      </c>
      <c r="M169" s="123">
        <f>IFERROR(Kr*_xlfn.LOGNORM.DIST((Tabella8[[#This Row],[Day]]-pr),mu_r,sigma_r,TRUE),0)</f>
        <v>85845.858384218838</v>
      </c>
      <c r="N169" s="123">
        <f>Tabella8[[#This Row],[Lombardy fit]]/Kr</f>
        <v>0.98673400441630843</v>
      </c>
      <c r="O169" s="22">
        <f>Tabella8[[#This Row],[Lombardy fit]]*NOT(ISBLANK(Tabella8[[#This Row],[Lombardy]]))</f>
        <v>0</v>
      </c>
      <c r="Q169" s="2"/>
      <c r="S169" s="10">
        <f>Tabella8[[#This Row],[rest of Italy ]]*NOT(ISBLANK(Tabella8[[#This Row],[rest of Italy ]]))</f>
        <v>0</v>
      </c>
      <c r="T169" s="124">
        <f>IFERROR(Ko*_xlfn.LOGNORM.DIST((Tabella8[[#This Row],[Day]]-po),mu_o,sigma_o,TRUE),0)</f>
        <v>146826.01335981127</v>
      </c>
      <c r="U169" s="124">
        <f>Tabella8[[#This Row],[rest of Italy fit]]/Ko</f>
        <v>0.99206777332466545</v>
      </c>
      <c r="V169" s="22">
        <f>Tabella8[[#This Row],[rest of Italy fit]]*NOT(ISBLANK(Tabella8[[#This Row],[rest of Italy ]]))</f>
        <v>0</v>
      </c>
      <c r="X169" s="2"/>
      <c r="AX169" s="76"/>
      <c r="AY169" s="76"/>
      <c r="BD169" s="2"/>
      <c r="BE169" s="2"/>
    </row>
    <row r="170" spans="2:57" x14ac:dyDescent="0.3">
      <c r="B170" s="9">
        <v>43993</v>
      </c>
      <c r="C170" s="4">
        <v>163</v>
      </c>
      <c r="D170" s="90"/>
      <c r="E170" s="10">
        <f>Tabella8[[#This Row],[Spain cum. Cases]]*NOT(ISBLANK(Tabella8[[#This Row],[Spain cum. Cases]]))</f>
        <v>0</v>
      </c>
      <c r="F170" s="146">
        <f>IFERROR(Kt*_xlfn.LOGNORM.DIST((Tabella8[[#This Row],[Day]]-Days_back),mu_t,sigma_t,TRUE),0)</f>
        <v>278559.07990888343</v>
      </c>
      <c r="G170" s="125">
        <f>Tabella8[[#This Row],[Spain cum. fit]]/Kt</f>
        <v>0.99485422715434624</v>
      </c>
      <c r="H170" s="324">
        <f>Tabella8[[#This Row],[Spain cum. fit]]*NOT(ISBLANK(Tabella8[[#This Row],[Spain cum. Cases]]))</f>
        <v>0</v>
      </c>
      <c r="J170" s="2"/>
      <c r="K170" s="75"/>
      <c r="L170" s="10">
        <f>Tabella8[[#This Row],[Lombardy]]*NOT(ISBLANK(Tabella8[[#This Row],[Lombardy]]))</f>
        <v>0</v>
      </c>
      <c r="M170" s="123">
        <f>IFERROR(Kr*_xlfn.LOGNORM.DIST((Tabella8[[#This Row],[Day]]-pr),mu_r,sigma_r,TRUE),0)</f>
        <v>85910.552079455883</v>
      </c>
      <c r="N170" s="123">
        <f>Tabella8[[#This Row],[Lombardy fit]]/Kr</f>
        <v>0.98747761010868829</v>
      </c>
      <c r="O170" s="22">
        <f>Tabella8[[#This Row],[Lombardy fit]]*NOT(ISBLANK(Tabella8[[#This Row],[Lombardy]]))</f>
        <v>0</v>
      </c>
      <c r="Q170" s="2"/>
      <c r="S170" s="10">
        <f>Tabella8[[#This Row],[rest of Italy ]]*NOT(ISBLANK(Tabella8[[#This Row],[rest of Italy ]]))</f>
        <v>0</v>
      </c>
      <c r="T170" s="124">
        <f>IFERROR(Ko*_xlfn.LOGNORM.DIST((Tabella8[[#This Row],[Day]]-po),mu_o,sigma_o,TRUE),0)</f>
        <v>146903.90580215378</v>
      </c>
      <c r="U170" s="124">
        <f>Tabella8[[#This Row],[rest of Italy fit]]/Ko</f>
        <v>0.9925940736720309</v>
      </c>
      <c r="V170" s="22">
        <f>Tabella8[[#This Row],[rest of Italy fit]]*NOT(ISBLANK(Tabella8[[#This Row],[rest of Italy ]]))</f>
        <v>0</v>
      </c>
      <c r="X170" s="2"/>
      <c r="AX170" s="76"/>
      <c r="AY170" s="76"/>
      <c r="BD170" s="2"/>
      <c r="BE170" s="2"/>
    </row>
    <row r="171" spans="2:57" x14ac:dyDescent="0.3">
      <c r="B171" s="9">
        <v>43994</v>
      </c>
      <c r="C171" s="4">
        <v>164</v>
      </c>
      <c r="D171" s="90"/>
      <c r="E171" s="10">
        <f>Tabella8[[#This Row],[Spain cum. Cases]]*NOT(ISBLANK(Tabella8[[#This Row],[Spain cum. Cases]]))</f>
        <v>0</v>
      </c>
      <c r="F171" s="146">
        <f>IFERROR(Kt*_xlfn.LOGNORM.DIST((Tabella8[[#This Row],[Day]]-Days_back),mu_t,sigma_t,TRUE),0)</f>
        <v>278674.41743139224</v>
      </c>
      <c r="G171" s="125">
        <f>Tabella8[[#This Row],[Spain cum. fit]]/Kt</f>
        <v>0.99526614703093008</v>
      </c>
      <c r="H171" s="324">
        <f>Tabella8[[#This Row],[Spain cum. fit]]*NOT(ISBLANK(Tabella8[[#This Row],[Spain cum. Cases]]))</f>
        <v>0</v>
      </c>
      <c r="J171" s="2"/>
      <c r="K171" s="75"/>
      <c r="L171" s="10">
        <f>Tabella8[[#This Row],[Lombardy]]*NOT(ISBLANK(Tabella8[[#This Row],[Lombardy]]))</f>
        <v>0</v>
      </c>
      <c r="M171" s="123">
        <f>IFERROR(Kr*_xlfn.LOGNORM.DIST((Tabella8[[#This Row],[Day]]-pr),mu_r,sigma_r,TRUE),0)</f>
        <v>85971.628614863439</v>
      </c>
      <c r="N171" s="123">
        <f>Tabella8[[#This Row],[Lombardy fit]]/Kr</f>
        <v>0.98817963925130392</v>
      </c>
      <c r="O171" s="22">
        <f>Tabella8[[#This Row],[Lombardy fit]]*NOT(ISBLANK(Tabella8[[#This Row],[Lombardy]]))</f>
        <v>0</v>
      </c>
      <c r="Q171" s="2"/>
      <c r="S171" s="10">
        <f>Tabella8[[#This Row],[rest of Italy ]]*NOT(ISBLANK(Tabella8[[#This Row],[rest of Italy ]]))</f>
        <v>0</v>
      </c>
      <c r="T171" s="124">
        <f>IFERROR(Ko*_xlfn.LOGNORM.DIST((Tabella8[[#This Row],[Day]]-po),mu_o,sigma_o,TRUE),0)</f>
        <v>146976.64225403685</v>
      </c>
      <c r="U171" s="124">
        <f>Tabella8[[#This Row],[rest of Italy fit]]/Ko</f>
        <v>0.99308553624196627</v>
      </c>
      <c r="V171" s="22">
        <f>Tabella8[[#This Row],[rest of Italy fit]]*NOT(ISBLANK(Tabella8[[#This Row],[rest of Italy ]]))</f>
        <v>0</v>
      </c>
      <c r="X171" s="2"/>
      <c r="AX171" s="76"/>
      <c r="AY171" s="76"/>
      <c r="BD171" s="2"/>
      <c r="BE171" s="2"/>
    </row>
    <row r="172" spans="2:57" x14ac:dyDescent="0.3">
      <c r="B172" s="9">
        <v>43995</v>
      </c>
      <c r="C172" s="4">
        <v>165</v>
      </c>
      <c r="D172" s="90"/>
      <c r="E172" s="10">
        <f>Tabella8[[#This Row],[Spain cum. Cases]]*NOT(ISBLANK(Tabella8[[#This Row],[Spain cum. Cases]]))</f>
        <v>0</v>
      </c>
      <c r="F172" s="146">
        <f>IFERROR(Kt*_xlfn.LOGNORM.DIST((Tabella8[[#This Row],[Day]]-Days_back),mu_t,sigma_t,TRUE),0)</f>
        <v>278780.65596850234</v>
      </c>
      <c r="G172" s="125">
        <f>Tabella8[[#This Row],[Spain cum. fit]]/Kt</f>
        <v>0.99564557051899316</v>
      </c>
      <c r="H172" s="324">
        <f>Tabella8[[#This Row],[Spain cum. fit]]*NOT(ISBLANK(Tabella8[[#This Row],[Spain cum. Cases]]))</f>
        <v>0</v>
      </c>
      <c r="J172" s="2"/>
      <c r="K172" s="75"/>
      <c r="L172" s="10">
        <f>Tabella8[[#This Row],[Lombardy]]*NOT(ISBLANK(Tabella8[[#This Row],[Lombardy]]))</f>
        <v>0</v>
      </c>
      <c r="M172" s="123">
        <f>IFERROR(Kr*_xlfn.LOGNORM.DIST((Tabella8[[#This Row],[Day]]-pr),mu_r,sigma_r,TRUE),0)</f>
        <v>86029.286889247014</v>
      </c>
      <c r="N172" s="123">
        <f>Tabella8[[#This Row],[Lombardy fit]]/Kr</f>
        <v>0.988842378037322</v>
      </c>
      <c r="O172" s="22">
        <f>Tabella8[[#This Row],[Lombardy fit]]*NOT(ISBLANK(Tabella8[[#This Row],[Lombardy]]))</f>
        <v>0</v>
      </c>
      <c r="Q172" s="2"/>
      <c r="S172" s="10">
        <f>Tabella8[[#This Row],[rest of Italy ]]*NOT(ISBLANK(Tabella8[[#This Row],[rest of Italy ]]))</f>
        <v>0</v>
      </c>
      <c r="T172" s="124">
        <f>IFERROR(Ko*_xlfn.LOGNORM.DIST((Tabella8[[#This Row],[Day]]-po),mu_o,sigma_o,TRUE),0)</f>
        <v>147044.55946899249</v>
      </c>
      <c r="U172" s="124">
        <f>Tabella8[[#This Row],[rest of Italy fit]]/Ko</f>
        <v>0.99354443639643919</v>
      </c>
      <c r="V172" s="22">
        <f>Tabella8[[#This Row],[rest of Italy fit]]*NOT(ISBLANK(Tabella8[[#This Row],[rest of Italy ]]))</f>
        <v>0</v>
      </c>
      <c r="X172" s="2"/>
      <c r="AX172" s="76"/>
      <c r="AY172" s="76"/>
      <c r="BD172" s="2"/>
      <c r="BE172" s="2"/>
    </row>
    <row r="173" spans="2:57" x14ac:dyDescent="0.3">
      <c r="B173" s="9">
        <v>43996</v>
      </c>
      <c r="C173" s="4">
        <v>166</v>
      </c>
      <c r="D173" s="90"/>
      <c r="E173" s="10">
        <f>Tabella8[[#This Row],[Spain cum. Cases]]*NOT(ISBLANK(Tabella8[[#This Row],[Spain cum. Cases]]))</f>
        <v>0</v>
      </c>
      <c r="F173" s="146">
        <f>IFERROR(Kt*_xlfn.LOGNORM.DIST((Tabella8[[#This Row],[Day]]-Days_back),mu_t,sigma_t,TRUE),0)</f>
        <v>278878.49520004948</v>
      </c>
      <c r="G173" s="125">
        <f>Tabella8[[#This Row],[Spain cum. fit]]/Kt</f>
        <v>0.99599499647602197</v>
      </c>
      <c r="H173" s="324">
        <f>Tabella8[[#This Row],[Spain cum. fit]]*NOT(ISBLANK(Tabella8[[#This Row],[Spain cum. Cases]]))</f>
        <v>0</v>
      </c>
      <c r="J173" s="2"/>
      <c r="K173" s="75"/>
      <c r="L173" s="10">
        <f>Tabella8[[#This Row],[Lombardy]]*NOT(ISBLANK(Tabella8[[#This Row],[Lombardy]]))</f>
        <v>0</v>
      </c>
      <c r="M173" s="123">
        <f>IFERROR(Kr*_xlfn.LOGNORM.DIST((Tabella8[[#This Row],[Day]]-pr),mu_r,sigma_r,TRUE),0)</f>
        <v>86083.71530143969</v>
      </c>
      <c r="N173" s="123">
        <f>Tabella8[[#This Row],[Lombardy fit]]/Kr</f>
        <v>0.98946799197057111</v>
      </c>
      <c r="O173" s="22">
        <f>Tabella8[[#This Row],[Lombardy fit]]*NOT(ISBLANK(Tabella8[[#This Row],[Lombardy]]))</f>
        <v>0</v>
      </c>
      <c r="Q173" s="2"/>
      <c r="S173" s="10">
        <f>Tabella8[[#This Row],[rest of Italy ]]*NOT(ISBLANK(Tabella8[[#This Row],[rest of Italy ]]))</f>
        <v>0</v>
      </c>
      <c r="T173" s="124">
        <f>IFERROR(Ko*_xlfn.LOGNORM.DIST((Tabella8[[#This Row],[Day]]-po),mu_o,sigma_o,TRUE),0)</f>
        <v>147107.97288052144</v>
      </c>
      <c r="U173" s="124">
        <f>Tabella8[[#This Row],[rest of Italy fit]]/Ko</f>
        <v>0.9939729054431351</v>
      </c>
      <c r="V173" s="22">
        <f>Tabella8[[#This Row],[rest of Italy fit]]*NOT(ISBLANK(Tabella8[[#This Row],[rest of Italy ]]))</f>
        <v>0</v>
      </c>
      <c r="X173" s="2"/>
      <c r="AX173" s="76"/>
      <c r="AY173" s="76"/>
      <c r="BD173" s="2"/>
      <c r="BE173" s="2"/>
    </row>
    <row r="174" spans="2:57" x14ac:dyDescent="0.3">
      <c r="B174" s="9">
        <v>43997</v>
      </c>
      <c r="C174" s="4">
        <v>167</v>
      </c>
      <c r="D174" s="90"/>
      <c r="E174" s="10">
        <f>Tabella8[[#This Row],[Spain cum. Cases]]*NOT(ISBLANK(Tabella8[[#This Row],[Spain cum. Cases]]))</f>
        <v>0</v>
      </c>
      <c r="F174" s="146">
        <f>IFERROR(Kt*_xlfn.LOGNORM.DIST((Tabella8[[#This Row],[Day]]-Days_back),mu_t,sigma_t,TRUE),0)</f>
        <v>278968.58328824595</v>
      </c>
      <c r="G174" s="125">
        <f>Tabella8[[#This Row],[Spain cum. fit]]/Kt</f>
        <v>0.9963167397679219</v>
      </c>
      <c r="H174" s="324">
        <f>Tabella8[[#This Row],[Spain cum. fit]]*NOT(ISBLANK(Tabella8[[#This Row],[Spain cum. Cases]]))</f>
        <v>0</v>
      </c>
      <c r="J174" s="2"/>
      <c r="K174" s="75"/>
      <c r="L174" s="10">
        <f>Tabella8[[#This Row],[Lombardy]]*NOT(ISBLANK(Tabella8[[#This Row],[Lombardy]]))</f>
        <v>0</v>
      </c>
      <c r="M174" s="123">
        <f>IFERROR(Kr*_xlfn.LOGNORM.DIST((Tabella8[[#This Row],[Day]]-pr),mu_r,sigma_r,TRUE),0)</f>
        <v>86135.092257003984</v>
      </c>
      <c r="N174" s="123">
        <f>Tabella8[[#This Row],[Lombardy fit]]/Kr</f>
        <v>0.99005853168970093</v>
      </c>
      <c r="O174" s="22">
        <f>Tabella8[[#This Row],[Lombardy fit]]*NOT(ISBLANK(Tabella8[[#This Row],[Lombardy]]))</f>
        <v>0</v>
      </c>
      <c r="Q174" s="2"/>
      <c r="S174" s="10">
        <f>Tabella8[[#This Row],[rest of Italy ]]*NOT(ISBLANK(Tabella8[[#This Row],[rest of Italy ]]))</f>
        <v>0</v>
      </c>
      <c r="T174" s="124">
        <f>IFERROR(Ko*_xlfn.LOGNORM.DIST((Tabella8[[#This Row],[Day]]-po),mu_o,sigma_o,TRUE),0)</f>
        <v>147167.17786831071</v>
      </c>
      <c r="U174" s="124">
        <f>Tabella8[[#This Row],[rest of Italy fit]]/Ko</f>
        <v>0.99437293919098246</v>
      </c>
      <c r="V174" s="22">
        <f>Tabella8[[#This Row],[rest of Italy fit]]*NOT(ISBLANK(Tabella8[[#This Row],[rest of Italy ]]))</f>
        <v>0</v>
      </c>
      <c r="X174" s="2"/>
      <c r="AX174" s="76"/>
      <c r="AY174" s="76"/>
      <c r="BD174" s="2"/>
      <c r="BE174" s="2"/>
    </row>
    <row r="175" spans="2:57" x14ac:dyDescent="0.3">
      <c r="B175" s="9">
        <v>43998</v>
      </c>
      <c r="C175" s="4">
        <v>168</v>
      </c>
      <c r="D175" s="90"/>
      <c r="E175" s="10">
        <f>Tabella8[[#This Row],[Spain cum. Cases]]*NOT(ISBLANK(Tabella8[[#This Row],[Spain cum. Cases]]))</f>
        <v>0</v>
      </c>
      <c r="F175" s="146">
        <f>IFERROR(Kt*_xlfn.LOGNORM.DIST((Tabella8[[#This Row],[Day]]-Days_back),mu_t,sigma_t,TRUE),0)</f>
        <v>279051.52039203094</v>
      </c>
      <c r="G175" s="125">
        <f>Tabella8[[#This Row],[Spain cum. fit]]/Kt</f>
        <v>0.99661294382027388</v>
      </c>
      <c r="H175" s="324">
        <f>Tabella8[[#This Row],[Spain cum. fit]]*NOT(ISBLANK(Tabella8[[#This Row],[Spain cum. Cases]]))</f>
        <v>0</v>
      </c>
      <c r="J175" s="2"/>
      <c r="K175" s="75"/>
      <c r="L175" s="10">
        <f>Tabella8[[#This Row],[Lombardy]]*NOT(ISBLANK(Tabella8[[#This Row],[Lombardy]]))</f>
        <v>0</v>
      </c>
      <c r="M175" s="123">
        <f>IFERROR(Kr*_xlfn.LOGNORM.DIST((Tabella8[[#This Row],[Day]]-pr),mu_r,sigma_r,TRUE),0)</f>
        <v>86183.586655444858</v>
      </c>
      <c r="N175" s="123">
        <f>Tabella8[[#This Row],[Lombardy fit]]/Kr</f>
        <v>0.99061593856833174</v>
      </c>
      <c r="O175" s="22">
        <f>Tabella8[[#This Row],[Lombardy fit]]*NOT(ISBLANK(Tabella8[[#This Row],[Lombardy]]))</f>
        <v>0</v>
      </c>
      <c r="Q175" s="2"/>
      <c r="S175" s="10">
        <f>Tabella8[[#This Row],[rest of Italy ]]*NOT(ISBLANK(Tabella8[[#This Row],[rest of Italy ]]))</f>
        <v>0</v>
      </c>
      <c r="T175" s="124">
        <f>IFERROR(Ko*_xlfn.LOGNORM.DIST((Tabella8[[#This Row],[Day]]-po),mu_o,sigma_o,TRUE),0)</f>
        <v>147222.4509590595</v>
      </c>
      <c r="U175" s="124">
        <f>Tabella8[[#This Row],[rest of Italy fit]]/Ko</f>
        <v>0.99474640606384201</v>
      </c>
      <c r="V175" s="22">
        <f>Tabella8[[#This Row],[rest of Italy fit]]*NOT(ISBLANK(Tabella8[[#This Row],[rest of Italy ]]))</f>
        <v>0</v>
      </c>
      <c r="X175" s="2"/>
      <c r="AX175" s="76"/>
      <c r="AY175" s="76"/>
      <c r="BD175" s="2"/>
      <c r="BE175" s="2"/>
    </row>
    <row r="176" spans="2:57" x14ac:dyDescent="0.3">
      <c r="B176" s="9">
        <v>43999</v>
      </c>
      <c r="C176" s="4">
        <v>169</v>
      </c>
      <c r="D176" s="90"/>
      <c r="E176" s="10">
        <f>Tabella8[[#This Row],[Spain cum. Cases]]*NOT(ISBLANK(Tabella8[[#This Row],[Spain cum. Cases]]))</f>
        <v>0</v>
      </c>
      <c r="F176" s="146">
        <f>IFERROR(Kt*_xlfn.LOGNORM.DIST((Tabella8[[#This Row],[Day]]-Days_back),mu_t,sigma_t,TRUE),0)</f>
        <v>279127.86197561357</v>
      </c>
      <c r="G176" s="125">
        <f>Tabella8[[#This Row],[Spain cum. fit]]/Kt</f>
        <v>0.99688559243456309</v>
      </c>
      <c r="H176" s="324">
        <f>Tabella8[[#This Row],[Spain cum. fit]]*NOT(ISBLANK(Tabella8[[#This Row],[Spain cum. Cases]]))</f>
        <v>0</v>
      </c>
      <c r="J176" s="2"/>
      <c r="K176" s="75"/>
      <c r="L176" s="10">
        <f>Tabella8[[#This Row],[Lombardy]]*NOT(ISBLANK(Tabella8[[#This Row],[Lombardy]]))</f>
        <v>0</v>
      </c>
      <c r="M176" s="123">
        <f>IFERROR(Kr*_xlfn.LOGNORM.DIST((Tabella8[[#This Row],[Day]]-pr),mu_r,sigma_r,TRUE),0)</f>
        <v>86229.358358144367</v>
      </c>
      <c r="N176" s="123">
        <f>Tabella8[[#This Row],[Lombardy fit]]/Kr</f>
        <v>0.99114205009361345</v>
      </c>
      <c r="O176" s="22">
        <f>Tabella8[[#This Row],[Lombardy fit]]*NOT(ISBLANK(Tabella8[[#This Row],[Lombardy]]))</f>
        <v>0</v>
      </c>
      <c r="Q176" s="2"/>
      <c r="S176" s="10">
        <f>Tabella8[[#This Row],[rest of Italy ]]*NOT(ISBLANK(Tabella8[[#This Row],[rest of Italy ]]))</f>
        <v>0</v>
      </c>
      <c r="T176" s="124">
        <f>IFERROR(Ko*_xlfn.LOGNORM.DIST((Tabella8[[#This Row],[Day]]-po),mu_o,sigma_o,TRUE),0)</f>
        <v>147274.0509641236</v>
      </c>
      <c r="U176" s="124">
        <f>Tabella8[[#This Row],[rest of Italy fit]]/Ko</f>
        <v>0.99509505478729432</v>
      </c>
      <c r="V176" s="22">
        <f>Tabella8[[#This Row],[rest of Italy fit]]*NOT(ISBLANK(Tabella8[[#This Row],[rest of Italy ]]))</f>
        <v>0</v>
      </c>
      <c r="X176" s="2"/>
      <c r="AX176" s="76"/>
      <c r="AY176" s="76"/>
      <c r="BD176" s="2"/>
      <c r="BE176" s="2"/>
    </row>
    <row r="177" spans="2:57" x14ac:dyDescent="0.3">
      <c r="B177" s="9">
        <v>44000</v>
      </c>
      <c r="C177" s="4">
        <v>170</v>
      </c>
      <c r="D177" s="90"/>
      <c r="E177" s="10">
        <f>Tabella8[[#This Row],[Spain cum. Cases]]*NOT(ISBLANK(Tabella8[[#This Row],[Spain cum. Cases]]))</f>
        <v>0</v>
      </c>
      <c r="F177" s="146">
        <f>IFERROR(Kt*_xlfn.LOGNORM.DIST((Tabella8[[#This Row],[Day]]-Days_back),mu_t,sigma_t,TRUE),0)</f>
        <v>279198.12191899825</v>
      </c>
      <c r="G177" s="125">
        <f>Tabella8[[#This Row],[Spain cum. fit]]/Kt</f>
        <v>0.99713652089720284</v>
      </c>
      <c r="H177" s="324">
        <f>Tabella8[[#This Row],[Spain cum. fit]]*NOT(ISBLANK(Tabella8[[#This Row],[Spain cum. Cases]]))</f>
        <v>0</v>
      </c>
      <c r="J177" s="2"/>
      <c r="K177" s="75"/>
      <c r="L177" s="10">
        <f>Tabella8[[#This Row],[Lombardy]]*NOT(ISBLANK(Tabella8[[#This Row],[Lombardy]]))</f>
        <v>0</v>
      </c>
      <c r="M177" s="123">
        <f>IFERROR(Kr*_xlfn.LOGNORM.DIST((Tabella8[[#This Row],[Day]]-pr),mu_r,sigma_r,TRUE),0)</f>
        <v>86272.558637297756</v>
      </c>
      <c r="N177" s="123">
        <f>Tabella8[[#This Row],[Lombardy fit]]/Kr</f>
        <v>0.99163860502641099</v>
      </c>
      <c r="O177" s="22">
        <f>Tabella8[[#This Row],[Lombardy fit]]*NOT(ISBLANK(Tabella8[[#This Row],[Lombardy]]))</f>
        <v>0</v>
      </c>
      <c r="Q177" s="2"/>
      <c r="S177" s="10">
        <f>Tabella8[[#This Row],[rest of Italy ]]*NOT(ISBLANK(Tabella8[[#This Row],[rest of Italy ]]))</f>
        <v>0</v>
      </c>
      <c r="T177" s="124">
        <f>IFERROR(Ko*_xlfn.LOGNORM.DIST((Tabella8[[#This Row],[Day]]-po),mu_o,sigma_o,TRUE),0)</f>
        <v>147322.22005626812</v>
      </c>
      <c r="U177" s="124">
        <f>Tabella8[[#This Row],[rest of Italy fit]]/Ko</f>
        <v>0.99542052166399675</v>
      </c>
      <c r="V177" s="22">
        <f>Tabella8[[#This Row],[rest of Italy fit]]*NOT(ISBLANK(Tabella8[[#This Row],[rest of Italy ]]))</f>
        <v>0</v>
      </c>
      <c r="X177" s="2"/>
      <c r="AX177" s="76"/>
      <c r="AY177" s="76"/>
      <c r="BD177" s="2"/>
      <c r="BE177" s="2"/>
    </row>
    <row r="178" spans="2:57" x14ac:dyDescent="0.3">
      <c r="B178" s="9">
        <v>44001</v>
      </c>
      <c r="C178" s="4">
        <v>171</v>
      </c>
      <c r="D178" s="90"/>
      <c r="E178" s="10">
        <f>Tabella8[[#This Row],[Spain cum. Cases]]*NOT(ISBLANK(Tabella8[[#This Row],[Spain cum. Cases]]))</f>
        <v>0</v>
      </c>
      <c r="F178" s="146">
        <f>IFERROR(Kt*_xlfn.LOGNORM.DIST((Tabella8[[#This Row],[Day]]-Days_back),mu_t,sigma_t,TRUE),0)</f>
        <v>279262.77543858148</v>
      </c>
      <c r="G178" s="125">
        <f>Tabella8[[#This Row],[Spain cum. fit]]/Kt</f>
        <v>0.9973674264102409</v>
      </c>
      <c r="H178" s="324">
        <f>Tabella8[[#This Row],[Spain cum. fit]]*NOT(ISBLANK(Tabella8[[#This Row],[Spain cum. Cases]]))</f>
        <v>0</v>
      </c>
      <c r="J178" s="2"/>
      <c r="K178" s="75"/>
      <c r="L178" s="10">
        <f>Tabella8[[#This Row],[Lombardy]]*NOT(ISBLANK(Tabella8[[#This Row],[Lombardy]]))</f>
        <v>0</v>
      </c>
      <c r="M178" s="123">
        <f>IFERROR(Kr*_xlfn.LOGNORM.DIST((Tabella8[[#This Row],[Day]]-pr),mu_r,sigma_r,TRUE),0)</f>
        <v>86313.330606188189</v>
      </c>
      <c r="N178" s="123">
        <f>Tabella8[[#This Row],[Lombardy fit]]/Kr</f>
        <v>0.99210724834699071</v>
      </c>
      <c r="O178" s="22">
        <f>Tabella8[[#This Row],[Lombardy fit]]*NOT(ISBLANK(Tabella8[[#This Row],[Lombardy]]))</f>
        <v>0</v>
      </c>
      <c r="Q178" s="2"/>
      <c r="S178" s="10">
        <f>Tabella8[[#This Row],[rest of Italy ]]*NOT(ISBLANK(Tabella8[[#This Row],[rest of Italy ]]))</f>
        <v>0</v>
      </c>
      <c r="T178" s="124">
        <f>IFERROR(Ko*_xlfn.LOGNORM.DIST((Tabella8[[#This Row],[Day]]-po),mu_o,sigma_o,TRUE),0)</f>
        <v>147367.18478786966</v>
      </c>
      <c r="U178" s="124">
        <f>Tabella8[[#This Row],[rest of Italy fit]]/Ko</f>
        <v>0.99572433745342881</v>
      </c>
      <c r="V178" s="22">
        <f>Tabella8[[#This Row],[rest of Italy fit]]*NOT(ISBLANK(Tabella8[[#This Row],[rest of Italy ]]))</f>
        <v>0</v>
      </c>
      <c r="X178" s="2"/>
      <c r="AX178" s="76"/>
      <c r="AY178" s="76"/>
      <c r="BD178" s="2"/>
      <c r="BE178" s="2"/>
    </row>
    <row r="179" spans="2:57" x14ac:dyDescent="0.3">
      <c r="B179" s="9">
        <v>44002</v>
      </c>
      <c r="C179" s="4">
        <v>172</v>
      </c>
      <c r="D179" s="90"/>
      <c r="E179" s="10">
        <f>Tabella8[[#This Row],[Spain cum. Cases]]*NOT(ISBLANK(Tabella8[[#This Row],[Spain cum. Cases]]))</f>
        <v>0</v>
      </c>
      <c r="F179" s="146">
        <f>IFERROR(Kt*_xlfn.LOGNORM.DIST((Tabella8[[#This Row],[Day]]-Days_back),mu_t,sigma_t,TRUE),0)</f>
        <v>279322.26182610443</v>
      </c>
      <c r="G179" s="125">
        <f>Tabella8[[#This Row],[Spain cum. fit]]/Kt</f>
        <v>0.99757987787333702</v>
      </c>
      <c r="H179" s="324">
        <f>Tabella8[[#This Row],[Spain cum. fit]]*NOT(ISBLANK(Tabella8[[#This Row],[Spain cum. Cases]]))</f>
        <v>0</v>
      </c>
      <c r="J179" s="2"/>
      <c r="K179" s="75"/>
      <c r="L179" s="10">
        <f>Tabella8[[#This Row],[Lombardy]]*NOT(ISBLANK(Tabella8[[#This Row],[Lombardy]]))</f>
        <v>0</v>
      </c>
      <c r="M179" s="123">
        <f>IFERROR(Kr*_xlfn.LOGNORM.DIST((Tabella8[[#This Row],[Day]]-pr),mu_r,sigma_r,TRUE),0)</f>
        <v>86351.809631186756</v>
      </c>
      <c r="N179" s="123">
        <f>Tabella8[[#This Row],[Lombardy fit]]/Kr</f>
        <v>0.99254953599065232</v>
      </c>
      <c r="O179" s="22">
        <f>Tabella8[[#This Row],[Lombardy fit]]*NOT(ISBLANK(Tabella8[[#This Row],[Lombardy]]))</f>
        <v>0</v>
      </c>
      <c r="Q179" s="2"/>
      <c r="S179" s="10">
        <f>Tabella8[[#This Row],[rest of Italy ]]*NOT(ISBLANK(Tabella8[[#This Row],[rest of Italy ]]))</f>
        <v>0</v>
      </c>
      <c r="T179" s="124">
        <f>IFERROR(Ko*_xlfn.LOGNORM.DIST((Tabella8[[#This Row],[Day]]-po),mu_o,sigma_o,TRUE),0)</f>
        <v>147409.1570529367</v>
      </c>
      <c r="U179" s="124">
        <f>Tabella8[[#This Row],[rest of Italy fit]]/Ko</f>
        <v>0.9960079338720309</v>
      </c>
      <c r="V179" s="22">
        <f>Tabella8[[#This Row],[rest of Italy fit]]*NOT(ISBLANK(Tabella8[[#This Row],[rest of Italy ]]))</f>
        <v>0</v>
      </c>
      <c r="X179" s="2"/>
      <c r="AX179" s="76"/>
      <c r="AY179" s="76"/>
      <c r="BD179" s="2"/>
      <c r="BE179" s="2"/>
    </row>
    <row r="180" spans="2:57" x14ac:dyDescent="0.3">
      <c r="B180" s="9">
        <v>44003</v>
      </c>
      <c r="C180" s="4">
        <v>173</v>
      </c>
      <c r="D180" s="90"/>
      <c r="E180" s="10">
        <f>Tabella8[[#This Row],[Spain cum. Cases]]*NOT(ISBLANK(Tabella8[[#This Row],[Spain cum. Cases]]))</f>
        <v>0</v>
      </c>
      <c r="F180" s="146">
        <f>IFERROR(Kt*_xlfn.LOGNORM.DIST((Tabella8[[#This Row],[Day]]-Days_back),mu_t,sigma_t,TRUE),0)</f>
        <v>279376.98701433325</v>
      </c>
      <c r="G180" s="125">
        <f>Tabella8[[#This Row],[Spain cum. fit]]/Kt</f>
        <v>0.99777532504690991</v>
      </c>
      <c r="H180" s="324">
        <f>Tabella8[[#This Row],[Spain cum. fit]]*NOT(ISBLANK(Tabella8[[#This Row],[Spain cum. Cases]]))</f>
        <v>0</v>
      </c>
      <c r="J180" s="2"/>
      <c r="K180" s="75"/>
      <c r="L180" s="10">
        <f>Tabella8[[#This Row],[Lombardy]]*NOT(ISBLANK(Tabella8[[#This Row],[Lombardy]]))</f>
        <v>0</v>
      </c>
      <c r="M180" s="123">
        <f>IFERROR(Kr*_xlfn.LOGNORM.DIST((Tabella8[[#This Row],[Day]]-pr),mu_r,sigma_r,TRUE),0)</f>
        <v>86388.123725904021</v>
      </c>
      <c r="N180" s="123">
        <f>Tabella8[[#This Row],[Lombardy fit]]/Kr</f>
        <v>0.99296693937820713</v>
      </c>
      <c r="O180" s="22">
        <f>Tabella8[[#This Row],[Lombardy fit]]*NOT(ISBLANK(Tabella8[[#This Row],[Lombardy]]))</f>
        <v>0</v>
      </c>
      <c r="Q180" s="2"/>
      <c r="S180" s="10">
        <f>Tabella8[[#This Row],[rest of Italy ]]*NOT(ISBLANK(Tabella8[[#This Row],[rest of Italy ]]))</f>
        <v>0</v>
      </c>
      <c r="T180" s="124">
        <f>IFERROR(Ko*_xlfn.LOGNORM.DIST((Tabella8[[#This Row],[Day]]-po),mu_o,sigma_o,TRUE),0)</f>
        <v>147448.33499532519</v>
      </c>
      <c r="U180" s="124">
        <f>Tabella8[[#This Row],[rest of Italy fit]]/Ko</f>
        <v>0.99627264972979601</v>
      </c>
      <c r="V180" s="22">
        <f>Tabella8[[#This Row],[rest of Italy fit]]*NOT(ISBLANK(Tabella8[[#This Row],[rest of Italy ]]))</f>
        <v>0</v>
      </c>
      <c r="X180" s="2"/>
      <c r="AX180" s="76"/>
      <c r="AY180" s="76"/>
      <c r="BD180" s="2"/>
      <c r="BE180" s="2"/>
    </row>
    <row r="181" spans="2:57" x14ac:dyDescent="0.3">
      <c r="B181" s="9">
        <v>44004</v>
      </c>
      <c r="C181" s="4">
        <v>174</v>
      </c>
      <c r="D181" s="90"/>
      <c r="E181" s="10">
        <f>Tabella8[[#This Row],[Spain cum. Cases]]*NOT(ISBLANK(Tabella8[[#This Row],[Spain cum. Cases]]))</f>
        <v>0</v>
      </c>
      <c r="F181" s="146">
        <f>IFERROR(Kt*_xlfn.LOGNORM.DIST((Tabella8[[#This Row],[Day]]-Days_back),mu_t,sigma_t,TRUE),0)</f>
        <v>279427.32597785041</v>
      </c>
      <c r="G181" s="125">
        <f>Tabella8[[#This Row],[Spain cum. fit]]/Kt</f>
        <v>0.99795510712639557</v>
      </c>
      <c r="H181" s="324">
        <f>Tabella8[[#This Row],[Spain cum. fit]]*NOT(ISBLANK(Tabella8[[#This Row],[Spain cum. Cases]]))</f>
        <v>0</v>
      </c>
      <c r="J181" s="2"/>
      <c r="K181" s="75"/>
      <c r="L181" s="10">
        <f>Tabella8[[#This Row],[Lombardy]]*NOT(ISBLANK(Tabella8[[#This Row],[Lombardy]]))</f>
        <v>0</v>
      </c>
      <c r="M181" s="123">
        <f>IFERROR(Kr*_xlfn.LOGNORM.DIST((Tabella8[[#This Row],[Day]]-pr),mu_r,sigma_r,TRUE),0)</f>
        <v>86422.393927951678</v>
      </c>
      <c r="N181" s="123">
        <f>Tabella8[[#This Row],[Lombardy fit]]/Kr</f>
        <v>0.99336084974657102</v>
      </c>
      <c r="O181" s="22">
        <f>Tabella8[[#This Row],[Lombardy fit]]*NOT(ISBLANK(Tabella8[[#This Row],[Lombardy]]))</f>
        <v>0</v>
      </c>
      <c r="Q181" s="2"/>
      <c r="S181" s="10">
        <f>Tabella8[[#This Row],[rest of Italy ]]*NOT(ISBLANK(Tabella8[[#This Row],[rest of Italy ]]))</f>
        <v>0</v>
      </c>
      <c r="T181" s="124">
        <f>IFERROR(Ko*_xlfn.LOGNORM.DIST((Tabella8[[#This Row],[Day]]-po),mu_o,sigma_o,TRUE),0)</f>
        <v>147484.90386551686</v>
      </c>
      <c r="U181" s="124">
        <f>Tabella8[[#This Row],[rest of Italy fit]]/Ko</f>
        <v>0.99651973671931438</v>
      </c>
      <c r="V181" s="22">
        <f>Tabella8[[#This Row],[rest of Italy fit]]*NOT(ISBLANK(Tabella8[[#This Row],[rest of Italy ]]))</f>
        <v>0</v>
      </c>
      <c r="X181" s="2"/>
      <c r="AX181" s="76"/>
      <c r="AY181" s="76"/>
      <c r="BD181" s="2"/>
      <c r="BE181" s="2"/>
    </row>
    <row r="182" spans="2:57" x14ac:dyDescent="0.3">
      <c r="B182" s="9">
        <v>44005</v>
      </c>
      <c r="C182" s="4">
        <v>175</v>
      </c>
      <c r="D182" s="90"/>
      <c r="E182" s="10">
        <f>Tabella8[[#This Row],[Spain cum. Cases]]*NOT(ISBLANK(Tabella8[[#This Row],[Spain cum. Cases]]))</f>
        <v>0</v>
      </c>
      <c r="F182" s="146">
        <f>IFERROR(Kt*_xlfn.LOGNORM.DIST((Tabella8[[#This Row],[Day]]-Days_back),mu_t,sigma_t,TRUE),0)</f>
        <v>279473.62497727777</v>
      </c>
      <c r="G182" s="125">
        <f>Tabella8[[#This Row],[Spain cum. fit]]/Kt</f>
        <v>0.99812046075733218</v>
      </c>
      <c r="H182" s="324">
        <f>Tabella8[[#This Row],[Spain cum. fit]]*NOT(ISBLANK(Tabella8[[#This Row],[Spain cum. Cases]]))</f>
        <v>0</v>
      </c>
      <c r="J182" s="2"/>
      <c r="K182" s="75"/>
      <c r="L182" s="10">
        <f>Tabella8[[#This Row],[Lombardy]]*NOT(ISBLANK(Tabella8[[#This Row],[Lombardy]]))</f>
        <v>0</v>
      </c>
      <c r="M182" s="123">
        <f>IFERROR(Kr*_xlfn.LOGNORM.DIST((Tabella8[[#This Row],[Day]]-pr),mu_r,sigma_r,TRUE),0)</f>
        <v>86454.7346587996</v>
      </c>
      <c r="N182" s="123">
        <f>Tabella8[[#This Row],[Lombardy fit]]/Kr</f>
        <v>0.9937325822850529</v>
      </c>
      <c r="O182" s="22">
        <f>Tabella8[[#This Row],[Lombardy fit]]*NOT(ISBLANK(Tabella8[[#This Row],[Lombardy]]))</f>
        <v>0</v>
      </c>
      <c r="Q182" s="2"/>
      <c r="S182" s="10">
        <f>Tabella8[[#This Row],[rest of Italy ]]*NOT(ISBLANK(Tabella8[[#This Row],[rest of Italy ]]))</f>
        <v>0</v>
      </c>
      <c r="T182" s="124">
        <f>IFERROR(Ko*_xlfn.LOGNORM.DIST((Tabella8[[#This Row],[Day]]-po),mu_o,sigma_o,TRUE),0)</f>
        <v>147519.03682830275</v>
      </c>
      <c r="U182" s="124">
        <f>Tabella8[[#This Row],[rest of Italy fit]]/Ko</f>
        <v>0.99675036487309376</v>
      </c>
      <c r="V182" s="22">
        <f>Tabella8[[#This Row],[rest of Italy fit]]*NOT(ISBLANK(Tabella8[[#This Row],[rest of Italy ]]))</f>
        <v>0</v>
      </c>
      <c r="X182" s="2"/>
      <c r="AX182" s="76"/>
      <c r="AY182" s="76"/>
      <c r="BD182" s="2"/>
      <c r="BE182" s="2"/>
    </row>
    <row r="183" spans="2:57" x14ac:dyDescent="0.3">
      <c r="B183" s="9">
        <v>44006</v>
      </c>
      <c r="C183" s="4">
        <v>176</v>
      </c>
      <c r="D183" s="90"/>
      <c r="E183" s="10">
        <f>Tabella8[[#This Row],[Spain cum. Cases]]*NOT(ISBLANK(Tabella8[[#This Row],[Spain cum. Cases]]))</f>
        <v>0</v>
      </c>
      <c r="F183" s="146">
        <f>IFERROR(Kt*_xlfn.LOGNORM.DIST((Tabella8[[#This Row],[Day]]-Days_back),mu_t,sigma_t,TRUE),0)</f>
        <v>279516.20365513558</v>
      </c>
      <c r="G183" s="125">
        <f>Tabella8[[#This Row],[Spain cum. fit]]/Kt</f>
        <v>0.99827252752057449</v>
      </c>
      <c r="H183" s="324">
        <f>Tabella8[[#This Row],[Spain cum. fit]]*NOT(ISBLANK(Tabella8[[#This Row],[Spain cum. Cases]]))</f>
        <v>0</v>
      </c>
      <c r="J183" s="2"/>
      <c r="K183" s="75"/>
      <c r="L183" s="10">
        <f>Tabella8[[#This Row],[Lombardy]]*NOT(ISBLANK(Tabella8[[#This Row],[Lombardy]]))</f>
        <v>0</v>
      </c>
      <c r="M183" s="123">
        <f>IFERROR(Kr*_xlfn.LOGNORM.DIST((Tabella8[[#This Row],[Day]]-pr),mu_r,sigma_r,TRUE),0)</f>
        <v>86485.254067232017</v>
      </c>
      <c r="N183" s="123">
        <f>Tabella8[[#This Row],[Lombardy fit]]/Kr</f>
        <v>0.99408338008312669</v>
      </c>
      <c r="O183" s="22">
        <f>Tabella8[[#This Row],[Lombardy fit]]*NOT(ISBLANK(Tabella8[[#This Row],[Lombardy]]))</f>
        <v>0</v>
      </c>
      <c r="Q183" s="2"/>
      <c r="S183" s="10">
        <f>Tabella8[[#This Row],[rest of Italy ]]*NOT(ISBLANK(Tabella8[[#This Row],[rest of Italy ]]))</f>
        <v>0</v>
      </c>
      <c r="T183" s="124">
        <f>IFERROR(Ko*_xlfn.LOGNORM.DIST((Tabella8[[#This Row],[Day]]-po),mu_o,sigma_o,TRUE),0)</f>
        <v>147550.89572367969</v>
      </c>
      <c r="U183" s="124">
        <f>Tabella8[[#This Row],[rest of Italy fit]]/Ko</f>
        <v>0.99696562770475383</v>
      </c>
      <c r="V183" s="22">
        <f>Tabella8[[#This Row],[rest of Italy fit]]*NOT(ISBLANK(Tabella8[[#This Row],[rest of Italy ]]))</f>
        <v>0</v>
      </c>
      <c r="X183" s="2"/>
      <c r="AX183" s="76"/>
      <c r="AY183" s="76"/>
      <c r="BD183" s="2"/>
      <c r="BE183" s="2"/>
    </row>
    <row r="184" spans="2:57" x14ac:dyDescent="0.3">
      <c r="B184" s="9">
        <v>44007</v>
      </c>
      <c r="C184" s="4">
        <v>177</v>
      </c>
      <c r="D184" s="90"/>
      <c r="E184" s="10">
        <f>Tabella8[[#This Row],[Spain cum. Cases]]*NOT(ISBLANK(Tabella8[[#This Row],[Spain cum. Cases]]))</f>
        <v>0</v>
      </c>
      <c r="F184" s="146">
        <f>IFERROR(Kt*_xlfn.LOGNORM.DIST((Tabella8[[#This Row],[Day]]-Days_back),mu_t,sigma_t,TRUE),0)</f>
        <v>279555.35699137283</v>
      </c>
      <c r="G184" s="125">
        <f>Tabella8[[#This Row],[Spain cum. fit]]/Kt</f>
        <v>0.99841236091633223</v>
      </c>
      <c r="H184" s="324">
        <f>Tabella8[[#This Row],[Spain cum. fit]]*NOT(ISBLANK(Tabella8[[#This Row],[Spain cum. Cases]]))</f>
        <v>0</v>
      </c>
      <c r="J184" s="2"/>
      <c r="K184" s="75"/>
      <c r="L184" s="10">
        <f>Tabella8[[#This Row],[Lombardy]]*NOT(ISBLANK(Tabella8[[#This Row],[Lombardy]]))</f>
        <v>0</v>
      </c>
      <c r="M184" s="123">
        <f>IFERROR(Kr*_xlfn.LOGNORM.DIST((Tabella8[[#This Row],[Day]]-pr),mu_r,sigma_r,TRUE),0)</f>
        <v>86514.054356922541</v>
      </c>
      <c r="N184" s="123">
        <f>Tabella8[[#This Row],[Lombardy fit]]/Kr</f>
        <v>0.99441441789566143</v>
      </c>
      <c r="O184" s="22">
        <f>Tabella8[[#This Row],[Lombardy fit]]*NOT(ISBLANK(Tabella8[[#This Row],[Lombardy]]))</f>
        <v>0</v>
      </c>
      <c r="Q184" s="2"/>
      <c r="S184" s="10">
        <f>Tabella8[[#This Row],[rest of Italy ]]*NOT(ISBLANK(Tabella8[[#This Row],[rest of Italy ]]))</f>
        <v>0</v>
      </c>
      <c r="T184" s="124">
        <f>IFERROR(Ko*_xlfn.LOGNORM.DIST((Tabella8[[#This Row],[Day]]-po),mu_o,sigma_o,TRUE),0)</f>
        <v>147580.63178322028</v>
      </c>
      <c r="U184" s="124">
        <f>Tabella8[[#This Row],[rest of Italy fit]]/Ko</f>
        <v>0.99716654704936336</v>
      </c>
      <c r="V184" s="22">
        <f>Tabella8[[#This Row],[rest of Italy fit]]*NOT(ISBLANK(Tabella8[[#This Row],[rest of Italy ]]))</f>
        <v>0</v>
      </c>
      <c r="X184" s="2"/>
      <c r="AX184" s="76"/>
      <c r="AY184" s="76"/>
      <c r="BD184" s="2"/>
      <c r="BE184" s="2"/>
    </row>
    <row r="185" spans="2:57" x14ac:dyDescent="0.3">
      <c r="P185" s="145"/>
    </row>
    <row r="186" spans="2:57" x14ac:dyDescent="0.3">
      <c r="P186" s="145"/>
    </row>
  </sheetData>
  <scenarios current="0" show="0">
    <scenario name="Lombardy deaths LN" count="4" user="ampfn" comment="Creato da: ampfn il 4/25/2020">
      <inputCells r="AA41" val="26000.0002579026" numFmtId="1"/>
      <inputCells r="AA42" val="3.62338426554564" numFmtId="2"/>
      <inputCells r="AA43" val="0.341212438551302" numFmtId="2"/>
      <inputCells r="AA50" val="0" numFmtId="2"/>
    </scenario>
  </scenarios>
  <mergeCells count="32">
    <mergeCell ref="BA5:BB5"/>
    <mergeCell ref="BA6:BB6"/>
    <mergeCell ref="BD6:BE6"/>
    <mergeCell ref="AX1:AY1"/>
    <mergeCell ref="BA1:BB1"/>
    <mergeCell ref="BA2:BB2"/>
    <mergeCell ref="BA3:BB3"/>
    <mergeCell ref="BA4:BB4"/>
    <mergeCell ref="AX4:AY4"/>
    <mergeCell ref="AX5:AY5"/>
    <mergeCell ref="AX6:AY6"/>
    <mergeCell ref="AX3:AY3"/>
    <mergeCell ref="AX2:AY2"/>
    <mergeCell ref="BD1:BE1"/>
    <mergeCell ref="BD2:BE2"/>
    <mergeCell ref="BD3:BE3"/>
    <mergeCell ref="BD4:BE4"/>
    <mergeCell ref="BD5:BE5"/>
    <mergeCell ref="B2:K2"/>
    <mergeCell ref="AF3:AJ3"/>
    <mergeCell ref="B4:H4"/>
    <mergeCell ref="AF4:AJ4"/>
    <mergeCell ref="AF5:AJ5"/>
    <mergeCell ref="AF2:AJ2"/>
    <mergeCell ref="I3:L6"/>
    <mergeCell ref="D6:E6"/>
    <mergeCell ref="B5:G5"/>
    <mergeCell ref="AF6:AJ6"/>
    <mergeCell ref="M5:Q5"/>
    <mergeCell ref="S5:X5"/>
    <mergeCell ref="M6:Q6"/>
    <mergeCell ref="S6:X6"/>
  </mergeCells>
  <phoneticPr fontId="25" type="noConversion"/>
  <conditionalFormatting sqref="F8:F184">
    <cfRule type="cellIs" dxfId="17" priority="6" operator="lessThan">
      <formula>10</formula>
    </cfRule>
  </conditionalFormatting>
  <conditionalFormatting sqref="M8:M184 T8:T184">
    <cfRule type="cellIs" dxfId="16" priority="2" operator="lessThan">
      <formula>0.5</formula>
    </cfRule>
  </conditionalFormatting>
  <conditionalFormatting sqref="E8:E184">
    <cfRule type="cellIs" dxfId="15" priority="1" operator="lessThan">
      <formula>10</formula>
    </cfRule>
  </conditionalFormatting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406D-92FD-4EA3-85D8-E2226734837A}">
  <dimension ref="B2:AU281"/>
  <sheetViews>
    <sheetView tabSelected="1" topLeftCell="AF4" zoomScale="70" zoomScaleNormal="70" workbookViewId="0">
      <selection activeCell="AX4" sqref="AX4"/>
    </sheetView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3.44140625" style="2" customWidth="1"/>
    <col min="5" max="5" width="16.33203125" style="2" customWidth="1"/>
    <col min="6" max="6" width="20.109375" style="2" bestFit="1" customWidth="1"/>
    <col min="7" max="7" width="19.6640625" style="2" customWidth="1"/>
    <col min="8" max="8" width="19.6640625" style="102" customWidth="1"/>
    <col min="9" max="9" width="14" style="2" customWidth="1"/>
    <col min="10" max="10" width="21.88671875" style="2" bestFit="1" customWidth="1"/>
    <col min="11" max="11" width="20.33203125" style="2" bestFit="1" customWidth="1"/>
    <col min="12" max="12" width="16.109375" style="2" bestFit="1" customWidth="1"/>
    <col min="13" max="13" width="20.6640625" style="2" bestFit="1" customWidth="1"/>
    <col min="14" max="14" width="20.5546875" style="2" bestFit="1" customWidth="1"/>
    <col min="15" max="15" width="21.109375" style="2" bestFit="1" customWidth="1"/>
    <col min="16" max="16" width="13.44140625" style="102" customWidth="1"/>
    <col min="17" max="17" width="19.5546875" style="2" bestFit="1" customWidth="1"/>
    <col min="18" max="18" width="19.5546875" style="102" customWidth="1"/>
    <col min="19" max="19" width="18.21875" style="2" customWidth="1"/>
    <col min="20" max="21" width="18.6640625" style="2" bestFit="1" customWidth="1"/>
    <col min="22" max="22" width="17.44140625" style="2" bestFit="1" customWidth="1"/>
    <col min="23" max="23" width="18.109375" style="2" bestFit="1" customWidth="1"/>
    <col min="24" max="24" width="21.88671875" style="2" bestFit="1" customWidth="1"/>
    <col min="25" max="25" width="21.109375" style="2" bestFit="1" customWidth="1"/>
    <col min="26" max="26" width="21.109375" style="102" customWidth="1"/>
    <col min="27" max="27" width="24" style="2" bestFit="1" customWidth="1"/>
    <col min="28" max="28" width="17.77734375" style="102" customWidth="1"/>
    <col min="29" max="29" width="23.33203125" style="2" bestFit="1" customWidth="1"/>
    <col min="30" max="30" width="21.5546875" style="2" bestFit="1" customWidth="1"/>
    <col min="31" max="31" width="19.33203125" style="2" bestFit="1" customWidth="1"/>
    <col min="32" max="32" width="1.77734375" style="2" customWidth="1"/>
    <col min="33" max="33" width="24.33203125" style="2" bestFit="1" customWidth="1"/>
    <col min="34" max="34" width="23.33203125" style="2" bestFit="1" customWidth="1"/>
    <col min="35" max="36" width="8.88671875" style="2"/>
    <col min="37" max="37" width="17.88671875" style="2" bestFit="1" customWidth="1"/>
    <col min="38" max="38" width="8.88671875" style="2"/>
    <col min="39" max="39" width="11" style="2" bestFit="1" customWidth="1"/>
    <col min="40" max="46" width="8.88671875" style="2"/>
    <col min="47" max="47" width="9.5546875" style="2" bestFit="1" customWidth="1"/>
    <col min="48" max="16384" width="8.88671875" style="2"/>
  </cols>
  <sheetData>
    <row r="2" spans="2:47" ht="24" thickBot="1" x14ac:dyDescent="0.5">
      <c r="B2" s="285" t="s">
        <v>11</v>
      </c>
      <c r="C2" s="285"/>
      <c r="D2" s="285"/>
      <c r="E2" s="285"/>
      <c r="F2" s="285"/>
    </row>
    <row r="3" spans="2:47" ht="17.399999999999999" customHeight="1" thickBot="1" x14ac:dyDescent="0.65">
      <c r="B3" s="11"/>
      <c r="F3" s="289"/>
      <c r="G3" s="290"/>
      <c r="H3" s="290"/>
      <c r="I3" s="290"/>
      <c r="AE3" s="89"/>
      <c r="AH3" s="93"/>
      <c r="AI3" s="67" t="s">
        <v>0</v>
      </c>
      <c r="AJ3" s="286" t="s">
        <v>30</v>
      </c>
      <c r="AK3" s="286"/>
      <c r="AL3" s="286"/>
      <c r="AM3" s="286"/>
      <c r="AN3" s="286"/>
    </row>
    <row r="4" spans="2:47" ht="20.399999999999999" thickBot="1" x14ac:dyDescent="0.45">
      <c r="B4" s="287" t="s">
        <v>66</v>
      </c>
      <c r="C4" s="287"/>
      <c r="D4" s="287"/>
      <c r="E4" s="287"/>
      <c r="F4" s="289"/>
      <c r="G4" s="290"/>
      <c r="H4" s="290"/>
      <c r="I4" s="290"/>
      <c r="AE4" s="89"/>
      <c r="AH4" s="91"/>
      <c r="AI4" s="100" t="s">
        <v>63</v>
      </c>
      <c r="AJ4" s="286" t="s">
        <v>30</v>
      </c>
      <c r="AK4" s="286"/>
      <c r="AL4" s="286"/>
      <c r="AM4" s="286"/>
      <c r="AN4" s="286"/>
    </row>
    <row r="5" spans="2:47" ht="18.600000000000001" thickTop="1" thickBot="1" x14ac:dyDescent="0.4">
      <c r="B5" s="307" t="s">
        <v>47</v>
      </c>
      <c r="C5" s="307"/>
      <c r="D5" s="307"/>
      <c r="E5" s="307"/>
      <c r="F5" s="289"/>
      <c r="G5" s="290"/>
      <c r="H5" s="290"/>
      <c r="I5" s="290"/>
      <c r="J5" s="308" t="s">
        <v>75</v>
      </c>
      <c r="K5" s="308"/>
      <c r="L5" s="308"/>
      <c r="M5" s="308"/>
      <c r="N5" s="308"/>
      <c r="R5" s="135">
        <f>'Cumul_cases - LNorm'!R5</f>
        <v>43862.222215734975</v>
      </c>
      <c r="S5" s="308" t="s">
        <v>75</v>
      </c>
      <c r="T5" s="308"/>
      <c r="U5" s="308"/>
      <c r="V5" s="308"/>
      <c r="W5" s="308"/>
      <c r="AB5" s="133">
        <f>'Cumul_cases - LNorm'!Y5</f>
        <v>43868.717425443399</v>
      </c>
      <c r="AH5" s="92"/>
      <c r="AI5" s="100" t="s">
        <v>64</v>
      </c>
      <c r="AJ5" s="288" t="s">
        <v>65</v>
      </c>
      <c r="AK5" s="288"/>
      <c r="AL5" s="288"/>
      <c r="AM5" s="288"/>
      <c r="AN5" s="288"/>
    </row>
    <row r="6" spans="2:47" ht="19.2" thickTop="1" thickBot="1" x14ac:dyDescent="0.4">
      <c r="B6" s="126">
        <f ca="1">TODAY()</f>
        <v>43951</v>
      </c>
      <c r="C6" s="127">
        <f ca="1">Oggi-Start_data+1</f>
        <v>121</v>
      </c>
      <c r="D6" s="127">
        <v>0</v>
      </c>
      <c r="E6" s="127">
        <v>1</v>
      </c>
      <c r="F6" s="289"/>
      <c r="G6" s="290"/>
      <c r="H6" s="290"/>
      <c r="I6" s="290"/>
      <c r="J6" s="293" t="s">
        <v>76</v>
      </c>
      <c r="K6" s="293"/>
      <c r="L6" s="293"/>
      <c r="M6" s="293"/>
      <c r="N6" s="293"/>
      <c r="P6" s="129" cm="1">
        <f t="array" aca="1" ref="P6" ca="1">INDEX(Tabella3[[Day]:[Lower CI__]],C6,19)</f>
        <v>0</v>
      </c>
      <c r="Q6" s="130" cm="1">
        <f t="array" aca="1" ref="Q6" ca="1">INDEX(Tabella3[[Day]:[Lower CI__]],C6,21)</f>
        <v>0</v>
      </c>
      <c r="R6" s="134">
        <f>pl</f>
        <v>31.22221573497708</v>
      </c>
      <c r="S6" s="293" t="s">
        <v>76</v>
      </c>
      <c r="T6" s="293"/>
      <c r="U6" s="293"/>
      <c r="V6" s="293"/>
      <c r="W6" s="293"/>
      <c r="Z6" s="131" cm="1">
        <f t="array" aca="1" ref="Z6" ca="1">INDEX(Tabella3[[Day]:[Lower CI__]],C6,29)</f>
        <v>0</v>
      </c>
      <c r="AA6" s="132"/>
      <c r="AB6" s="134">
        <f>pa</f>
        <v>37.717425443399762</v>
      </c>
      <c r="AI6" s="13" t="s">
        <v>74</v>
      </c>
      <c r="AJ6" s="288" t="s">
        <v>73</v>
      </c>
      <c r="AK6" s="288"/>
      <c r="AL6" s="288"/>
      <c r="AM6" s="288"/>
      <c r="AN6" s="288"/>
    </row>
    <row r="7" spans="2:47" ht="43.2" x14ac:dyDescent="0.3">
      <c r="B7" s="4" t="s">
        <v>9</v>
      </c>
      <c r="C7" s="4" t="s">
        <v>10</v>
      </c>
      <c r="D7" s="4" t="s">
        <v>4346</v>
      </c>
      <c r="E7" s="4" t="s">
        <v>4345</v>
      </c>
      <c r="F7" s="4" t="s">
        <v>23</v>
      </c>
      <c r="G7" s="10" t="s">
        <v>4348</v>
      </c>
      <c r="H7" s="8" t="s">
        <v>4349</v>
      </c>
      <c r="I7" s="8" t="s">
        <v>39</v>
      </c>
      <c r="J7" s="8" t="s">
        <v>7</v>
      </c>
      <c r="K7" s="8" t="s">
        <v>8</v>
      </c>
      <c r="L7" s="4" t="s">
        <v>59</v>
      </c>
      <c r="M7" s="4" t="s">
        <v>52</v>
      </c>
      <c r="N7" s="4" t="s">
        <v>25</v>
      </c>
      <c r="O7" s="96" t="s">
        <v>58</v>
      </c>
      <c r="P7" s="8" t="s">
        <v>70</v>
      </c>
      <c r="Q7" s="8" t="s">
        <v>32</v>
      </c>
      <c r="R7" s="8" t="s">
        <v>67</v>
      </c>
      <c r="S7" s="4" t="s">
        <v>40</v>
      </c>
      <c r="T7" s="8" t="s">
        <v>54</v>
      </c>
      <c r="U7" s="8" t="s">
        <v>53</v>
      </c>
      <c r="V7" s="4" t="s">
        <v>60</v>
      </c>
      <c r="W7" s="4" t="s">
        <v>55</v>
      </c>
      <c r="X7" s="4" t="s">
        <v>41</v>
      </c>
      <c r="Y7" s="96" t="s">
        <v>61</v>
      </c>
      <c r="Z7" s="8" t="s">
        <v>71</v>
      </c>
      <c r="AA7" s="8" t="s">
        <v>34</v>
      </c>
      <c r="AB7" s="8" t="s">
        <v>68</v>
      </c>
      <c r="AC7" s="4" t="s">
        <v>42</v>
      </c>
      <c r="AD7" s="8" t="s">
        <v>56</v>
      </c>
      <c r="AE7" s="8" t="s">
        <v>57</v>
      </c>
      <c r="AF7" s="8"/>
      <c r="AG7" s="106" t="s">
        <v>35</v>
      </c>
      <c r="AH7" s="107" t="s">
        <v>31</v>
      </c>
      <c r="AI7" s="3"/>
      <c r="AU7" s="54" t="s">
        <v>22</v>
      </c>
    </row>
    <row r="8" spans="2:47" x14ac:dyDescent="0.3">
      <c r="B8" s="149">
        <v>43831</v>
      </c>
      <c r="C8" s="4">
        <v>1</v>
      </c>
      <c r="D8" s="155"/>
      <c r="E8" s="158"/>
      <c r="F8" s="10">
        <f>Tabella3[[#This Row],[Spain daily cases]]*NOT(ISBLANK(Tabella3[[#This Row],[Spain daily cases]]))</f>
        <v>0</v>
      </c>
      <c r="G8" s="90">
        <f>IFERROR(Kf*_xlfn.LOGNORM.DIST((Tabella3[[#This Row],[Day]]-pf),mu_f,sigma_f,FALSE),0)</f>
        <v>0</v>
      </c>
      <c r="H8" s="90">
        <f>Tabella3[[#This Row],[Spain daily cases fit]]/y_f_peak</f>
        <v>0</v>
      </c>
      <c r="I8" s="90">
        <f>Tabella3[[#This Row],[Spain daily cases fit]]*NOT(ISBLANK(Tabella3[[#This Row],[Spain daily cases]]))</f>
        <v>0</v>
      </c>
      <c r="J8" s="90">
        <f>Tabella3[[#This Row],[Spain daily cases fit]]+CIf</f>
        <v>2342.6884176810927</v>
      </c>
      <c r="K8" s="90">
        <f>MAX(Tabella3[[#This Row],[Spain daily cases fit]]-CIf,0)</f>
        <v>0</v>
      </c>
      <c r="L8" s="153"/>
      <c r="M8" s="158"/>
      <c r="N8" s="10">
        <f>Tabella3[[#This Row],[Lombardy data]]*NOT(ISBLANK(Tabella3[[#This Row],[Lombardy data]]))</f>
        <v>0</v>
      </c>
      <c r="O8" s="159">
        <f>Tabella8[[#This Row],[Lombardy fit]]</f>
        <v>0</v>
      </c>
      <c r="P8" s="10">
        <f>Tabella3[[#This Row],[Lombardy cumul. Fit]]/Kl</f>
        <v>0</v>
      </c>
      <c r="Q8" s="90">
        <f>IFERROR(Kl*_xlfn.LOGNORM.DIST((Tabella3[[#This Row],[Day]]-pl),mu_l,sigma_l,FALSE),0)</f>
        <v>0</v>
      </c>
      <c r="R8" s="90">
        <f>Tabella3[[#This Row],[Lombardy fit]]/y_l_peak</f>
        <v>0</v>
      </c>
      <c r="S8" s="10">
        <f>Tabella3[[#This Row],[Lombardy fit]]*NOT(ISBLANK(Tabella3[[#This Row],[Lombardy data]]))</f>
        <v>0</v>
      </c>
      <c r="T8" s="90">
        <f>Tabella3[[#This Row],[Lombardy fit]]+CIl</f>
        <v>2570.3823229164086</v>
      </c>
      <c r="U8" s="90">
        <f>MAX(Tabella3[[#This Row],[Lombardy fit]]-CIl,0)</f>
        <v>0</v>
      </c>
      <c r="V8" s="155"/>
      <c r="W8" s="158"/>
      <c r="X8" s="10">
        <f>Tabella3[[#This Row],[rest of Italy data]]*NOT(ISBLANK(Tabella3[[#This Row],[rest of Italy data]]))</f>
        <v>0</v>
      </c>
      <c r="Y8" s="159">
        <f>Tabella8[[#This Row],[rest of Italy fit]]</f>
        <v>0</v>
      </c>
      <c r="Z8" s="90">
        <f>Tabella3[[#This Row],[rest of Italy cumul. Fit]]/Ka</f>
        <v>0</v>
      </c>
      <c r="AA8" s="90">
        <f>IFERROR(Ka*_xlfn.LOGNORM.DIST((Tabella3[[#This Row],[Day]]-pa),mu_a,sigma_a,FALSE),0)</f>
        <v>0</v>
      </c>
      <c r="AB8" s="90">
        <f>Tabella3[[#This Row],[rest of Italy fit]]/y_a_peak</f>
        <v>0</v>
      </c>
      <c r="AC8" s="10">
        <f>Tabella3[[#This Row],[rest of Italy fit]]*NOT(ISBLANK(Tabella3[[#This Row],[rest of Italy data]]))</f>
        <v>0</v>
      </c>
      <c r="AD8" s="90">
        <f>Tabella3[[#This Row],[rest of Italy fit]]+CIa</f>
        <v>5338.8394351600173</v>
      </c>
      <c r="AE8" s="90">
        <f>MAX(Tabella3[[#This Row],[rest of Italy fit]]-CIa,0)</f>
        <v>0</v>
      </c>
      <c r="AF8" s="8"/>
      <c r="AG8" s="108"/>
      <c r="AH8" s="109"/>
      <c r="AI8" s="3"/>
      <c r="AU8" s="304" t="s">
        <v>46</v>
      </c>
    </row>
    <row r="9" spans="2:47" x14ac:dyDescent="0.3">
      <c r="B9" s="149">
        <v>43832</v>
      </c>
      <c r="C9" s="4">
        <v>2</v>
      </c>
      <c r="D9" s="155"/>
      <c r="E9" s="158"/>
      <c r="F9" s="10">
        <f>Tabella3[[#This Row],[Spain daily cases]]*NOT(ISBLANK(Tabella3[[#This Row],[Spain daily cases]]))</f>
        <v>0</v>
      </c>
      <c r="G9" s="90">
        <f>IFERROR(Kf*_xlfn.LOGNORM.DIST((Tabella3[[#This Row],[Day]]-pf),mu_f,sigma_f,FALSE),0)</f>
        <v>0</v>
      </c>
      <c r="H9" s="90">
        <f>Tabella3[[#This Row],[Spain daily cases fit]]/y_f_peak</f>
        <v>0</v>
      </c>
      <c r="I9" s="90">
        <f>Tabella3[[#This Row],[Spain daily cases fit]]*NOT(ISBLANK(Tabella3[[#This Row],[Spain daily cases]]))</f>
        <v>0</v>
      </c>
      <c r="J9" s="90">
        <f>Tabella3[[#This Row],[Spain daily cases fit]]+CIf</f>
        <v>2342.6884176810927</v>
      </c>
      <c r="K9" s="90">
        <f>MAX(Tabella3[[#This Row],[Spain daily cases fit]]-CIf,0)</f>
        <v>0</v>
      </c>
      <c r="L9" s="153"/>
      <c r="M9" s="158"/>
      <c r="N9" s="10">
        <f>Tabella3[[#This Row],[Lombardy data]]*NOT(ISBLANK(Tabella3[[#This Row],[Lombardy data]]))</f>
        <v>0</v>
      </c>
      <c r="O9" s="159">
        <f>Tabella8[[#This Row],[Lombardy fit]]</f>
        <v>0</v>
      </c>
      <c r="P9" s="10">
        <f>Tabella3[[#This Row],[Lombardy cumul. Fit]]/Kl</f>
        <v>0</v>
      </c>
      <c r="Q9" s="90">
        <f>IFERROR(Kl*_xlfn.LOGNORM.DIST((Tabella3[[#This Row],[Day]]-pl),mu_l,sigma_l,FALSE),0)</f>
        <v>0</v>
      </c>
      <c r="R9" s="90">
        <f>Tabella3[[#This Row],[Lombardy fit]]/y_l_peak</f>
        <v>0</v>
      </c>
      <c r="S9" s="10">
        <f>Tabella3[[#This Row],[Lombardy fit]]*NOT(ISBLANK(Tabella3[[#This Row],[Lombardy data]]))</f>
        <v>0</v>
      </c>
      <c r="T9" s="90">
        <f>Tabella3[[#This Row],[Lombardy fit]]+CIl</f>
        <v>2570.3823229164086</v>
      </c>
      <c r="U9" s="90">
        <f>MAX(Tabella3[[#This Row],[Lombardy fit]]-CIl,0)</f>
        <v>0</v>
      </c>
      <c r="V9" s="155"/>
      <c r="W9" s="158"/>
      <c r="X9" s="10">
        <f>Tabella3[[#This Row],[rest of Italy data]]*NOT(ISBLANK(Tabella3[[#This Row],[rest of Italy data]]))</f>
        <v>0</v>
      </c>
      <c r="Y9" s="159">
        <f>Tabella8[[#This Row],[rest of Italy fit]]</f>
        <v>0</v>
      </c>
      <c r="Z9" s="90">
        <f>Tabella3[[#This Row],[rest of Italy cumul. Fit]]/Ka</f>
        <v>0</v>
      </c>
      <c r="AA9" s="90">
        <f>IFERROR(Ka*_xlfn.LOGNORM.DIST((Tabella3[[#This Row],[Day]]-pa),mu_a,sigma_a,FALSE),0)</f>
        <v>0</v>
      </c>
      <c r="AB9" s="90">
        <f>Tabella3[[#This Row],[rest of Italy fit]]/y_a_peak</f>
        <v>0</v>
      </c>
      <c r="AC9" s="10">
        <f>Tabella3[[#This Row],[rest of Italy fit]]*NOT(ISBLANK(Tabella3[[#This Row],[rest of Italy data]]))</f>
        <v>0</v>
      </c>
      <c r="AD9" s="90">
        <f>Tabella3[[#This Row],[rest of Italy fit]]+CIa</f>
        <v>5338.8394351600173</v>
      </c>
      <c r="AE9" s="90">
        <f>MAX(Tabella3[[#This Row],[rest of Italy fit]]-CIa,0)</f>
        <v>0</v>
      </c>
      <c r="AF9" s="8"/>
      <c r="AG9" s="110"/>
      <c r="AH9" s="111"/>
      <c r="AI9" s="3"/>
      <c r="AU9" s="305"/>
    </row>
    <row r="10" spans="2:47" x14ac:dyDescent="0.3">
      <c r="B10" s="149">
        <v>43833</v>
      </c>
      <c r="C10" s="4">
        <v>3</v>
      </c>
      <c r="D10" s="155"/>
      <c r="E10" s="158"/>
      <c r="F10" s="10">
        <f>Tabella3[[#This Row],[Spain daily cases]]*NOT(ISBLANK(Tabella3[[#This Row],[Spain daily cases]]))</f>
        <v>0</v>
      </c>
      <c r="G10" s="90">
        <f>IFERROR(Kf*_xlfn.LOGNORM.DIST((Tabella3[[#This Row],[Day]]-pf),mu_f,sigma_f,FALSE),0)</f>
        <v>0</v>
      </c>
      <c r="H10" s="90">
        <f>Tabella3[[#This Row],[Spain daily cases fit]]/y_f_peak</f>
        <v>0</v>
      </c>
      <c r="I10" s="90">
        <f>Tabella3[[#This Row],[Spain daily cases fit]]*NOT(ISBLANK(Tabella3[[#This Row],[Spain daily cases]]))</f>
        <v>0</v>
      </c>
      <c r="J10" s="90">
        <f>Tabella3[[#This Row],[Spain daily cases fit]]+CIf</f>
        <v>2342.6884176810927</v>
      </c>
      <c r="K10" s="90">
        <f>MAX(Tabella3[[#This Row],[Spain daily cases fit]]-CIf,0)</f>
        <v>0</v>
      </c>
      <c r="L10" s="153"/>
      <c r="M10" s="158"/>
      <c r="N10" s="10">
        <f>Tabella3[[#This Row],[Lombardy data]]*NOT(ISBLANK(Tabella3[[#This Row],[Lombardy data]]))</f>
        <v>0</v>
      </c>
      <c r="O10" s="159">
        <f>Tabella8[[#This Row],[Lombardy fit]]</f>
        <v>0</v>
      </c>
      <c r="P10" s="10">
        <f>Tabella3[[#This Row],[Lombardy cumul. Fit]]/Kl</f>
        <v>0</v>
      </c>
      <c r="Q10" s="90">
        <f>IFERROR(Kl*_xlfn.LOGNORM.DIST((Tabella3[[#This Row],[Day]]-pl),mu_l,sigma_l,FALSE),0)</f>
        <v>0</v>
      </c>
      <c r="R10" s="90">
        <f>Tabella3[[#This Row],[Lombardy fit]]/y_l_peak</f>
        <v>0</v>
      </c>
      <c r="S10" s="10">
        <f>Tabella3[[#This Row],[Lombardy fit]]*NOT(ISBLANK(Tabella3[[#This Row],[Lombardy data]]))</f>
        <v>0</v>
      </c>
      <c r="T10" s="90">
        <f>Tabella3[[#This Row],[Lombardy fit]]+CIl</f>
        <v>2570.3823229164086</v>
      </c>
      <c r="U10" s="90">
        <f>MAX(Tabella3[[#This Row],[Lombardy fit]]-CIl,0)</f>
        <v>0</v>
      </c>
      <c r="V10" s="155"/>
      <c r="W10" s="158"/>
      <c r="X10" s="10">
        <f>Tabella3[[#This Row],[rest of Italy data]]*NOT(ISBLANK(Tabella3[[#This Row],[rest of Italy data]]))</f>
        <v>0</v>
      </c>
      <c r="Y10" s="159">
        <f>Tabella8[[#This Row],[rest of Italy fit]]</f>
        <v>0</v>
      </c>
      <c r="Z10" s="90">
        <f>Tabella3[[#This Row],[rest of Italy cumul. Fit]]/Ka</f>
        <v>0</v>
      </c>
      <c r="AA10" s="90">
        <f>IFERROR(Ka*_xlfn.LOGNORM.DIST((Tabella3[[#This Row],[Day]]-pa),mu_a,sigma_a,FALSE),0)</f>
        <v>0</v>
      </c>
      <c r="AB10" s="90">
        <f>Tabella3[[#This Row],[rest of Italy fit]]/y_a_peak</f>
        <v>0</v>
      </c>
      <c r="AC10" s="10">
        <f>Tabella3[[#This Row],[rest of Italy fit]]*NOT(ISBLANK(Tabella3[[#This Row],[rest of Italy data]]))</f>
        <v>0</v>
      </c>
      <c r="AD10" s="90">
        <f>Tabella3[[#This Row],[rest of Italy fit]]+CIa</f>
        <v>5338.8394351600173</v>
      </c>
      <c r="AE10" s="90">
        <f>MAX(Tabella3[[#This Row],[rest of Italy fit]]-CIa,0)</f>
        <v>0</v>
      </c>
      <c r="AF10" s="8"/>
      <c r="AG10" s="108"/>
      <c r="AH10" s="111"/>
      <c r="AI10" s="3"/>
      <c r="AU10" s="305"/>
    </row>
    <row r="11" spans="2:47" x14ac:dyDescent="0.3">
      <c r="B11" s="149">
        <v>43834</v>
      </c>
      <c r="C11" s="4">
        <v>4</v>
      </c>
      <c r="D11" s="155"/>
      <c r="E11" s="158"/>
      <c r="F11" s="10">
        <f>Tabella3[[#This Row],[Spain daily cases]]*NOT(ISBLANK(Tabella3[[#This Row],[Spain daily cases]]))</f>
        <v>0</v>
      </c>
      <c r="G11" s="90">
        <f>IFERROR(Kf*_xlfn.LOGNORM.DIST((Tabella3[[#This Row],[Day]]-pf),mu_f,sigma_f,FALSE),0)</f>
        <v>0</v>
      </c>
      <c r="H11" s="90">
        <f>Tabella3[[#This Row],[Spain daily cases fit]]/y_f_peak</f>
        <v>0</v>
      </c>
      <c r="I11" s="90">
        <f>Tabella3[[#This Row],[Spain daily cases fit]]*NOT(ISBLANK(Tabella3[[#This Row],[Spain daily cases]]))</f>
        <v>0</v>
      </c>
      <c r="J11" s="90">
        <f>Tabella3[[#This Row],[Spain daily cases fit]]+CIf</f>
        <v>2342.6884176810927</v>
      </c>
      <c r="K11" s="90">
        <f>MAX(Tabella3[[#This Row],[Spain daily cases fit]]-CIf,0)</f>
        <v>0</v>
      </c>
      <c r="L11" s="153"/>
      <c r="M11" s="158"/>
      <c r="N11" s="10">
        <f>Tabella3[[#This Row],[Lombardy data]]*NOT(ISBLANK(Tabella3[[#This Row],[Lombardy data]]))</f>
        <v>0</v>
      </c>
      <c r="O11" s="159">
        <f>Tabella8[[#This Row],[Lombardy fit]]</f>
        <v>0</v>
      </c>
      <c r="P11" s="10">
        <f>Tabella3[[#This Row],[Lombardy cumul. Fit]]/Kl</f>
        <v>0</v>
      </c>
      <c r="Q11" s="90">
        <f>IFERROR(Kl*_xlfn.LOGNORM.DIST((Tabella3[[#This Row],[Day]]-pl),mu_l,sigma_l,FALSE),0)</f>
        <v>0</v>
      </c>
      <c r="R11" s="90">
        <f>Tabella3[[#This Row],[Lombardy fit]]/y_l_peak</f>
        <v>0</v>
      </c>
      <c r="S11" s="10">
        <f>Tabella3[[#This Row],[Lombardy fit]]*NOT(ISBLANK(Tabella3[[#This Row],[Lombardy data]]))</f>
        <v>0</v>
      </c>
      <c r="T11" s="90">
        <f>Tabella3[[#This Row],[Lombardy fit]]+CIl</f>
        <v>2570.3823229164086</v>
      </c>
      <c r="U11" s="90">
        <f>MAX(Tabella3[[#This Row],[Lombardy fit]]-CIl,0)</f>
        <v>0</v>
      </c>
      <c r="V11" s="155"/>
      <c r="W11" s="158"/>
      <c r="X11" s="10">
        <f>Tabella3[[#This Row],[rest of Italy data]]*NOT(ISBLANK(Tabella3[[#This Row],[rest of Italy data]]))</f>
        <v>0</v>
      </c>
      <c r="Y11" s="159">
        <f>Tabella8[[#This Row],[rest of Italy fit]]</f>
        <v>0</v>
      </c>
      <c r="Z11" s="90">
        <f>Tabella3[[#This Row],[rest of Italy cumul. Fit]]/Ka</f>
        <v>0</v>
      </c>
      <c r="AA11" s="90">
        <f>IFERROR(Ka*_xlfn.LOGNORM.DIST((Tabella3[[#This Row],[Day]]-pa),mu_a,sigma_a,FALSE),0)</f>
        <v>0</v>
      </c>
      <c r="AB11" s="90">
        <f>Tabella3[[#This Row],[rest of Italy fit]]/y_a_peak</f>
        <v>0</v>
      </c>
      <c r="AC11" s="10">
        <f>Tabella3[[#This Row],[rest of Italy fit]]*NOT(ISBLANK(Tabella3[[#This Row],[rest of Italy data]]))</f>
        <v>0</v>
      </c>
      <c r="AD11" s="90">
        <f>Tabella3[[#This Row],[rest of Italy fit]]+CIa</f>
        <v>5338.8394351600173</v>
      </c>
      <c r="AE11" s="90">
        <f>MAX(Tabella3[[#This Row],[rest of Italy fit]]-CIa,0)</f>
        <v>0</v>
      </c>
      <c r="AF11" s="8"/>
      <c r="AG11" s="112" t="s">
        <v>1</v>
      </c>
      <c r="AH11" s="113">
        <f>AVERAGE(Tabella3[Spain daily cases])</f>
        <v>2393.0721649484535</v>
      </c>
      <c r="AI11" s="3"/>
      <c r="AU11" s="305"/>
    </row>
    <row r="12" spans="2:47" x14ac:dyDescent="0.3">
      <c r="B12" s="149">
        <v>43835</v>
      </c>
      <c r="C12" s="4">
        <v>5</v>
      </c>
      <c r="D12" s="155"/>
      <c r="E12" s="158"/>
      <c r="F12" s="10">
        <f>Tabella3[[#This Row],[Spain daily cases]]*NOT(ISBLANK(Tabella3[[#This Row],[Spain daily cases]]))</f>
        <v>0</v>
      </c>
      <c r="G12" s="90">
        <f>IFERROR(Kf*_xlfn.LOGNORM.DIST((Tabella3[[#This Row],[Day]]-pf),mu_f,sigma_f,FALSE),0)</f>
        <v>0</v>
      </c>
      <c r="H12" s="90">
        <f>Tabella3[[#This Row],[Spain daily cases fit]]/y_f_peak</f>
        <v>0</v>
      </c>
      <c r="I12" s="90">
        <f>Tabella3[[#This Row],[Spain daily cases fit]]*NOT(ISBLANK(Tabella3[[#This Row],[Spain daily cases]]))</f>
        <v>0</v>
      </c>
      <c r="J12" s="90">
        <f>Tabella3[[#This Row],[Spain daily cases fit]]+CIf</f>
        <v>2342.6884176810927</v>
      </c>
      <c r="K12" s="90">
        <f>MAX(Tabella3[[#This Row],[Spain daily cases fit]]-CIf,0)</f>
        <v>0</v>
      </c>
      <c r="L12" s="153"/>
      <c r="M12" s="158"/>
      <c r="N12" s="10">
        <f>Tabella3[[#This Row],[Lombardy data]]*NOT(ISBLANK(Tabella3[[#This Row],[Lombardy data]]))</f>
        <v>0</v>
      </c>
      <c r="O12" s="159">
        <f>Tabella8[[#This Row],[Lombardy fit]]</f>
        <v>0</v>
      </c>
      <c r="P12" s="10">
        <f>Tabella3[[#This Row],[Lombardy cumul. Fit]]/Kl</f>
        <v>0</v>
      </c>
      <c r="Q12" s="90">
        <f>IFERROR(Kl*_xlfn.LOGNORM.DIST((Tabella3[[#This Row],[Day]]-pl),mu_l,sigma_l,FALSE),0)</f>
        <v>0</v>
      </c>
      <c r="R12" s="90">
        <f>Tabella3[[#This Row],[Lombardy fit]]/y_l_peak</f>
        <v>0</v>
      </c>
      <c r="S12" s="10">
        <f>Tabella3[[#This Row],[Lombardy fit]]*NOT(ISBLANK(Tabella3[[#This Row],[Lombardy data]]))</f>
        <v>0</v>
      </c>
      <c r="T12" s="90">
        <f>Tabella3[[#This Row],[Lombardy fit]]+CIl</f>
        <v>2570.3823229164086</v>
      </c>
      <c r="U12" s="90">
        <f>MAX(Tabella3[[#This Row],[Lombardy fit]]-CIl,0)</f>
        <v>0</v>
      </c>
      <c r="V12" s="155"/>
      <c r="W12" s="158"/>
      <c r="X12" s="10">
        <f>Tabella3[[#This Row],[rest of Italy data]]*NOT(ISBLANK(Tabella3[[#This Row],[rest of Italy data]]))</f>
        <v>0</v>
      </c>
      <c r="Y12" s="159">
        <f>Tabella8[[#This Row],[rest of Italy fit]]</f>
        <v>0</v>
      </c>
      <c r="Z12" s="90">
        <f>Tabella3[[#This Row],[rest of Italy cumul. Fit]]/Ka</f>
        <v>0</v>
      </c>
      <c r="AA12" s="90">
        <f>IFERROR(Ka*_xlfn.LOGNORM.DIST((Tabella3[[#This Row],[Day]]-pa),mu_a,sigma_a,FALSE),0)</f>
        <v>0</v>
      </c>
      <c r="AB12" s="90">
        <f>Tabella3[[#This Row],[rest of Italy fit]]/y_a_peak</f>
        <v>0</v>
      </c>
      <c r="AC12" s="10">
        <f>Tabella3[[#This Row],[rest of Italy fit]]*NOT(ISBLANK(Tabella3[[#This Row],[rest of Italy data]]))</f>
        <v>0</v>
      </c>
      <c r="AD12" s="90">
        <f>Tabella3[[#This Row],[rest of Italy fit]]+CIa</f>
        <v>5338.8394351600173</v>
      </c>
      <c r="AE12" s="90">
        <f>MAX(Tabella3[[#This Row],[rest of Italy fit]]-CIa,0)</f>
        <v>0</v>
      </c>
      <c r="AF12" s="1"/>
      <c r="AG12" s="112" t="s">
        <v>2</v>
      </c>
      <c r="AH12" s="114">
        <f>COUNT(Tabella3[Spain daily cases])-COUNT(AH8:AH10)</f>
        <v>97</v>
      </c>
      <c r="AU12" s="305"/>
    </row>
    <row r="13" spans="2:47" x14ac:dyDescent="0.3">
      <c r="B13" s="149">
        <v>43836</v>
      </c>
      <c r="C13" s="4">
        <v>6</v>
      </c>
      <c r="D13" s="155"/>
      <c r="E13" s="158"/>
      <c r="F13" s="10">
        <f>Tabella3[[#This Row],[Spain daily cases]]*NOT(ISBLANK(Tabella3[[#This Row],[Spain daily cases]]))</f>
        <v>0</v>
      </c>
      <c r="G13" s="90">
        <f>IFERROR(Kf*_xlfn.LOGNORM.DIST((Tabella3[[#This Row],[Day]]-pf),mu_f,sigma_f,FALSE),0)</f>
        <v>0</v>
      </c>
      <c r="H13" s="90">
        <f>Tabella3[[#This Row],[Spain daily cases fit]]/y_f_peak</f>
        <v>0</v>
      </c>
      <c r="I13" s="90">
        <f>Tabella3[[#This Row],[Spain daily cases fit]]*NOT(ISBLANK(Tabella3[[#This Row],[Spain daily cases]]))</f>
        <v>0</v>
      </c>
      <c r="J13" s="90">
        <f>Tabella3[[#This Row],[Spain daily cases fit]]+CIf</f>
        <v>2342.6884176810927</v>
      </c>
      <c r="K13" s="90">
        <f>MAX(Tabella3[[#This Row],[Spain daily cases fit]]-CIf,0)</f>
        <v>0</v>
      </c>
      <c r="L13" s="153"/>
      <c r="M13" s="158"/>
      <c r="N13" s="10">
        <f>Tabella3[[#This Row],[Lombardy data]]*NOT(ISBLANK(Tabella3[[#This Row],[Lombardy data]]))</f>
        <v>0</v>
      </c>
      <c r="O13" s="159">
        <f>Tabella8[[#This Row],[Lombardy fit]]</f>
        <v>0</v>
      </c>
      <c r="P13" s="10">
        <f>Tabella3[[#This Row],[Lombardy cumul. Fit]]/Kl</f>
        <v>0</v>
      </c>
      <c r="Q13" s="90">
        <f>IFERROR(Kl*_xlfn.LOGNORM.DIST((Tabella3[[#This Row],[Day]]-pl),mu_l,sigma_l,FALSE),0)</f>
        <v>0</v>
      </c>
      <c r="R13" s="90">
        <f>Tabella3[[#This Row],[Lombardy fit]]/y_l_peak</f>
        <v>0</v>
      </c>
      <c r="S13" s="10">
        <f>Tabella3[[#This Row],[Lombardy fit]]*NOT(ISBLANK(Tabella3[[#This Row],[Lombardy data]]))</f>
        <v>0</v>
      </c>
      <c r="T13" s="90">
        <f>Tabella3[[#This Row],[Lombardy fit]]+CIl</f>
        <v>2570.3823229164086</v>
      </c>
      <c r="U13" s="90">
        <f>MAX(Tabella3[[#This Row],[Lombardy fit]]-CIl,0)</f>
        <v>0</v>
      </c>
      <c r="V13" s="155"/>
      <c r="W13" s="158"/>
      <c r="X13" s="10">
        <f>Tabella3[[#This Row],[rest of Italy data]]*NOT(ISBLANK(Tabella3[[#This Row],[rest of Italy data]]))</f>
        <v>0</v>
      </c>
      <c r="Y13" s="159">
        <f>Tabella8[[#This Row],[rest of Italy fit]]</f>
        <v>0</v>
      </c>
      <c r="Z13" s="90">
        <f>Tabella3[[#This Row],[rest of Italy cumul. Fit]]/Ka</f>
        <v>0</v>
      </c>
      <c r="AA13" s="90">
        <f>IFERROR(Ka*_xlfn.LOGNORM.DIST((Tabella3[[#This Row],[Day]]-pa),mu_a,sigma_a,FALSE),0)</f>
        <v>0</v>
      </c>
      <c r="AB13" s="90">
        <f>Tabella3[[#This Row],[rest of Italy fit]]/y_a_peak</f>
        <v>0</v>
      </c>
      <c r="AC13" s="10">
        <f>Tabella3[[#This Row],[rest of Italy fit]]*NOT(ISBLANK(Tabella3[[#This Row],[rest of Italy data]]))</f>
        <v>0</v>
      </c>
      <c r="AD13" s="90">
        <f>Tabella3[[#This Row],[rest of Italy fit]]+CIa</f>
        <v>5338.8394351600173</v>
      </c>
      <c r="AE13" s="90">
        <f>MAX(Tabella3[[#This Row],[rest of Italy fit]]-CIa,0)</f>
        <v>0</v>
      </c>
      <c r="AF13" s="1"/>
      <c r="AG13" s="112" t="s">
        <v>3</v>
      </c>
      <c r="AH13" s="113" t="e" cm="1">
        <f t="array" ref="AH13">SQRT(SUM((Tabella3[Colonna1]-#REF!)^2)/dfw)</f>
        <v>#REF!</v>
      </c>
      <c r="AU13" s="305"/>
    </row>
    <row r="14" spans="2:47" ht="16.2" x14ac:dyDescent="0.3">
      <c r="B14" s="149">
        <v>43837</v>
      </c>
      <c r="C14" s="4">
        <v>7</v>
      </c>
      <c r="D14" s="155"/>
      <c r="E14" s="158"/>
      <c r="F14" s="10">
        <f>Tabella3[[#This Row],[Spain daily cases]]*NOT(ISBLANK(Tabella3[[#This Row],[Spain daily cases]]))</f>
        <v>0</v>
      </c>
      <c r="G14" s="90">
        <f>IFERROR(Kf*_xlfn.LOGNORM.DIST((Tabella3[[#This Row],[Day]]-pf),mu_f,sigma_f,FALSE),0)</f>
        <v>0</v>
      </c>
      <c r="H14" s="90">
        <f>Tabella3[[#This Row],[Spain daily cases fit]]/y_f_peak</f>
        <v>0</v>
      </c>
      <c r="I14" s="90">
        <f>Tabella3[[#This Row],[Spain daily cases fit]]*NOT(ISBLANK(Tabella3[[#This Row],[Spain daily cases]]))</f>
        <v>0</v>
      </c>
      <c r="J14" s="90">
        <f>Tabella3[[#This Row],[Spain daily cases fit]]+CIf</f>
        <v>2342.6884176810927</v>
      </c>
      <c r="K14" s="90">
        <f>MAX(Tabella3[[#This Row],[Spain daily cases fit]]-CIf,0)</f>
        <v>0</v>
      </c>
      <c r="L14" s="153"/>
      <c r="M14" s="158"/>
      <c r="N14" s="10">
        <f>Tabella3[[#This Row],[Lombardy data]]*NOT(ISBLANK(Tabella3[[#This Row],[Lombardy data]]))</f>
        <v>0</v>
      </c>
      <c r="O14" s="159">
        <f>Tabella8[[#This Row],[Lombardy fit]]</f>
        <v>0</v>
      </c>
      <c r="P14" s="10">
        <f>Tabella3[[#This Row],[Lombardy cumul. Fit]]/Kl</f>
        <v>0</v>
      </c>
      <c r="Q14" s="90">
        <f>IFERROR(Kl*_xlfn.LOGNORM.DIST((Tabella3[[#This Row],[Day]]-pl),mu_l,sigma_l,FALSE),0)</f>
        <v>0</v>
      </c>
      <c r="R14" s="90">
        <f>Tabella3[[#This Row],[Lombardy fit]]/y_l_peak</f>
        <v>0</v>
      </c>
      <c r="S14" s="10">
        <f>Tabella3[[#This Row],[Lombardy fit]]*NOT(ISBLANK(Tabella3[[#This Row],[Lombardy data]]))</f>
        <v>0</v>
      </c>
      <c r="T14" s="90">
        <f>Tabella3[[#This Row],[Lombardy fit]]+CIl</f>
        <v>2570.3823229164086</v>
      </c>
      <c r="U14" s="90">
        <f>MAX(Tabella3[[#This Row],[Lombardy fit]]-CIl,0)</f>
        <v>0</v>
      </c>
      <c r="V14" s="155"/>
      <c r="W14" s="158"/>
      <c r="X14" s="10">
        <f>Tabella3[[#This Row],[rest of Italy data]]*NOT(ISBLANK(Tabella3[[#This Row],[rest of Italy data]]))</f>
        <v>0</v>
      </c>
      <c r="Y14" s="159">
        <f>Tabella8[[#This Row],[rest of Italy fit]]</f>
        <v>0</v>
      </c>
      <c r="Z14" s="90">
        <f>Tabella3[[#This Row],[rest of Italy cumul. Fit]]/Ka</f>
        <v>0</v>
      </c>
      <c r="AA14" s="90">
        <f>IFERROR(Ka*_xlfn.LOGNORM.DIST((Tabella3[[#This Row],[Day]]-pa),mu_a,sigma_a,FALSE),0)</f>
        <v>0</v>
      </c>
      <c r="AB14" s="90">
        <f>Tabella3[[#This Row],[rest of Italy fit]]/y_a_peak</f>
        <v>0</v>
      </c>
      <c r="AC14" s="10">
        <f>Tabella3[[#This Row],[rest of Italy fit]]*NOT(ISBLANK(Tabella3[[#This Row],[rest of Italy data]]))</f>
        <v>0</v>
      </c>
      <c r="AD14" s="90">
        <f>Tabella3[[#This Row],[rest of Italy fit]]+CIa</f>
        <v>5338.8394351600173</v>
      </c>
      <c r="AE14" s="90">
        <f>MAX(Tabella3[[#This Row],[rest of Italy fit]]-CIa,0)</f>
        <v>0</v>
      </c>
      <c r="AF14" s="1"/>
      <c r="AG14" s="112" t="s">
        <v>51</v>
      </c>
      <c r="AH14" s="115" t="e" cm="1">
        <f t="array" ref="AH14">1-SUM((Tabella3[Colonna1]-#REF!)^2)/SUM((Tabella3[Colonna1]-Mean_of_yw)^2)</f>
        <v>#REF!</v>
      </c>
      <c r="AU14" s="305"/>
    </row>
    <row r="15" spans="2:47" x14ac:dyDescent="0.3">
      <c r="B15" s="149">
        <v>43838</v>
      </c>
      <c r="C15" s="4">
        <v>8</v>
      </c>
      <c r="D15" s="155"/>
      <c r="E15" s="158"/>
      <c r="F15" s="10">
        <f>Tabella3[[#This Row],[Spain daily cases]]*NOT(ISBLANK(Tabella3[[#This Row],[Spain daily cases]]))</f>
        <v>0</v>
      </c>
      <c r="G15" s="90">
        <f>IFERROR(Kf*_xlfn.LOGNORM.DIST((Tabella3[[#This Row],[Day]]-pf),mu_f,sigma_f,FALSE),0)</f>
        <v>0</v>
      </c>
      <c r="H15" s="90">
        <f>Tabella3[[#This Row],[Spain daily cases fit]]/y_f_peak</f>
        <v>0</v>
      </c>
      <c r="I15" s="90">
        <f>Tabella3[[#This Row],[Spain daily cases fit]]*NOT(ISBLANK(Tabella3[[#This Row],[Spain daily cases]]))</f>
        <v>0</v>
      </c>
      <c r="J15" s="90">
        <f>Tabella3[[#This Row],[Spain daily cases fit]]+CIf</f>
        <v>2342.6884176810927</v>
      </c>
      <c r="K15" s="90">
        <f>MAX(Tabella3[[#This Row],[Spain daily cases fit]]-CIf,0)</f>
        <v>0</v>
      </c>
      <c r="L15" s="153"/>
      <c r="M15" s="158"/>
      <c r="N15" s="10">
        <f>Tabella3[[#This Row],[Lombardy data]]*NOT(ISBLANK(Tabella3[[#This Row],[Lombardy data]]))</f>
        <v>0</v>
      </c>
      <c r="O15" s="159">
        <f>Tabella8[[#This Row],[Lombardy fit]]</f>
        <v>0</v>
      </c>
      <c r="P15" s="10">
        <f>Tabella3[[#This Row],[Lombardy cumul. Fit]]/Kl</f>
        <v>0</v>
      </c>
      <c r="Q15" s="90">
        <f>IFERROR(Kl*_xlfn.LOGNORM.DIST((Tabella3[[#This Row],[Day]]-pl),mu_l,sigma_l,FALSE),0)</f>
        <v>0</v>
      </c>
      <c r="R15" s="90">
        <f>Tabella3[[#This Row],[Lombardy fit]]/y_l_peak</f>
        <v>0</v>
      </c>
      <c r="S15" s="10">
        <f>Tabella3[[#This Row],[Lombardy fit]]*NOT(ISBLANK(Tabella3[[#This Row],[Lombardy data]]))</f>
        <v>0</v>
      </c>
      <c r="T15" s="90">
        <f>Tabella3[[#This Row],[Lombardy fit]]+CIl</f>
        <v>2570.3823229164086</v>
      </c>
      <c r="U15" s="90">
        <f>MAX(Tabella3[[#This Row],[Lombardy fit]]-CIl,0)</f>
        <v>0</v>
      </c>
      <c r="V15" s="155"/>
      <c r="W15" s="158"/>
      <c r="X15" s="10">
        <f>Tabella3[[#This Row],[rest of Italy data]]*NOT(ISBLANK(Tabella3[[#This Row],[rest of Italy data]]))</f>
        <v>0</v>
      </c>
      <c r="Y15" s="159">
        <f>Tabella8[[#This Row],[rest of Italy fit]]</f>
        <v>0</v>
      </c>
      <c r="Z15" s="90">
        <f>Tabella3[[#This Row],[rest of Italy cumul. Fit]]/Ka</f>
        <v>0</v>
      </c>
      <c r="AA15" s="90">
        <f>IFERROR(Ka*_xlfn.LOGNORM.DIST((Tabella3[[#This Row],[Day]]-pa),mu_a,sigma_a,FALSE),0)</f>
        <v>0</v>
      </c>
      <c r="AB15" s="90">
        <f>Tabella3[[#This Row],[rest of Italy fit]]/y_a_peak</f>
        <v>0</v>
      </c>
      <c r="AC15" s="10">
        <f>Tabella3[[#This Row],[rest of Italy fit]]*NOT(ISBLANK(Tabella3[[#This Row],[rest of Italy data]]))</f>
        <v>0</v>
      </c>
      <c r="AD15" s="90">
        <f>Tabella3[[#This Row],[rest of Italy fit]]+CIa</f>
        <v>5338.8394351600173</v>
      </c>
      <c r="AE15" s="90">
        <f>MAX(Tabella3[[#This Row],[rest of Italy fit]]-CIa,0)</f>
        <v>0</v>
      </c>
      <c r="AF15" s="1"/>
      <c r="AG15" s="112" t="s">
        <v>5</v>
      </c>
      <c r="AH15" s="115">
        <f>TINV(0.05,dfw)</f>
        <v>1.9847231860139838</v>
      </c>
      <c r="AU15" s="305"/>
    </row>
    <row r="16" spans="2:47" x14ac:dyDescent="0.3">
      <c r="B16" s="149">
        <v>43839</v>
      </c>
      <c r="C16" s="4">
        <v>9</v>
      </c>
      <c r="D16" s="155"/>
      <c r="E16" s="158"/>
      <c r="F16" s="10">
        <f>Tabella3[[#This Row],[Spain daily cases]]*NOT(ISBLANK(Tabella3[[#This Row],[Spain daily cases]]))</f>
        <v>0</v>
      </c>
      <c r="G16" s="90">
        <f>IFERROR(Kf*_xlfn.LOGNORM.DIST((Tabella3[[#This Row],[Day]]-pf),mu_f,sigma_f,FALSE),0)</f>
        <v>0</v>
      </c>
      <c r="H16" s="90">
        <f>Tabella3[[#This Row],[Spain daily cases fit]]/y_f_peak</f>
        <v>0</v>
      </c>
      <c r="I16" s="90">
        <f>Tabella3[[#This Row],[Spain daily cases fit]]*NOT(ISBLANK(Tabella3[[#This Row],[Spain daily cases]]))</f>
        <v>0</v>
      </c>
      <c r="J16" s="90">
        <f>Tabella3[[#This Row],[Spain daily cases fit]]+CIf</f>
        <v>2342.6884176810927</v>
      </c>
      <c r="K16" s="90">
        <f>MAX(Tabella3[[#This Row],[Spain daily cases fit]]-CIf,0)</f>
        <v>0</v>
      </c>
      <c r="L16" s="153"/>
      <c r="M16" s="158"/>
      <c r="N16" s="10">
        <f>Tabella3[[#This Row],[Lombardy data]]*NOT(ISBLANK(Tabella3[[#This Row],[Lombardy data]]))</f>
        <v>0</v>
      </c>
      <c r="O16" s="159">
        <f>Tabella8[[#This Row],[Lombardy fit]]</f>
        <v>0</v>
      </c>
      <c r="P16" s="10">
        <f>Tabella3[[#This Row],[Lombardy cumul. Fit]]/Kl</f>
        <v>0</v>
      </c>
      <c r="Q16" s="90">
        <f>IFERROR(Kl*_xlfn.LOGNORM.DIST((Tabella3[[#This Row],[Day]]-pl),mu_l,sigma_l,FALSE),0)</f>
        <v>0</v>
      </c>
      <c r="R16" s="90">
        <f>Tabella3[[#This Row],[Lombardy fit]]/y_l_peak</f>
        <v>0</v>
      </c>
      <c r="S16" s="10">
        <f>Tabella3[[#This Row],[Lombardy fit]]*NOT(ISBLANK(Tabella3[[#This Row],[Lombardy data]]))</f>
        <v>0</v>
      </c>
      <c r="T16" s="90">
        <f>Tabella3[[#This Row],[Lombardy fit]]+CIl</f>
        <v>2570.3823229164086</v>
      </c>
      <c r="U16" s="90">
        <f>MAX(Tabella3[[#This Row],[Lombardy fit]]-CIl,0)</f>
        <v>0</v>
      </c>
      <c r="V16" s="155"/>
      <c r="W16" s="158"/>
      <c r="X16" s="10">
        <f>Tabella3[[#This Row],[rest of Italy data]]*NOT(ISBLANK(Tabella3[[#This Row],[rest of Italy data]]))</f>
        <v>0</v>
      </c>
      <c r="Y16" s="159">
        <f>Tabella8[[#This Row],[rest of Italy fit]]</f>
        <v>0</v>
      </c>
      <c r="Z16" s="90">
        <f>Tabella3[[#This Row],[rest of Italy cumul. Fit]]/Ka</f>
        <v>0</v>
      </c>
      <c r="AA16" s="90">
        <f>IFERROR(Ka*_xlfn.LOGNORM.DIST((Tabella3[[#This Row],[Day]]-pa),mu_a,sigma_a,FALSE),0)</f>
        <v>0</v>
      </c>
      <c r="AB16" s="90">
        <f>Tabella3[[#This Row],[rest of Italy fit]]/y_a_peak</f>
        <v>0</v>
      </c>
      <c r="AC16" s="10">
        <f>Tabella3[[#This Row],[rest of Italy fit]]*NOT(ISBLANK(Tabella3[[#This Row],[rest of Italy data]]))</f>
        <v>0</v>
      </c>
      <c r="AD16" s="90">
        <f>Tabella3[[#This Row],[rest of Italy fit]]+CIa</f>
        <v>5338.8394351600173</v>
      </c>
      <c r="AE16" s="90">
        <f>MAX(Tabella3[[#This Row],[rest of Italy fit]]-CIa,0)</f>
        <v>0</v>
      </c>
      <c r="AF16" s="1"/>
      <c r="AG16" s="112" t="s">
        <v>6</v>
      </c>
      <c r="AH16" s="113" t="e">
        <f>Critical_tw*SE_of_yw</f>
        <v>#NAME?</v>
      </c>
      <c r="AU16" s="305"/>
    </row>
    <row r="17" spans="2:47" ht="15" thickBot="1" x14ac:dyDescent="0.35">
      <c r="B17" s="149">
        <v>43840</v>
      </c>
      <c r="C17" s="4">
        <v>10</v>
      </c>
      <c r="D17" s="155"/>
      <c r="E17" s="158"/>
      <c r="F17" s="10">
        <f>Tabella3[[#This Row],[Spain daily cases]]*NOT(ISBLANK(Tabella3[[#This Row],[Spain daily cases]]))</f>
        <v>0</v>
      </c>
      <c r="G17" s="90">
        <f>IFERROR(Kf*_xlfn.LOGNORM.DIST((Tabella3[[#This Row],[Day]]-pf),mu_f,sigma_f,FALSE),0)</f>
        <v>0</v>
      </c>
      <c r="H17" s="90">
        <f>Tabella3[[#This Row],[Spain daily cases fit]]/y_f_peak</f>
        <v>0</v>
      </c>
      <c r="I17" s="90">
        <f>Tabella3[[#This Row],[Spain daily cases fit]]*NOT(ISBLANK(Tabella3[[#This Row],[Spain daily cases]]))</f>
        <v>0</v>
      </c>
      <c r="J17" s="90">
        <f>Tabella3[[#This Row],[Spain daily cases fit]]+CIf</f>
        <v>2342.6884176810927</v>
      </c>
      <c r="K17" s="90">
        <f>MAX(Tabella3[[#This Row],[Spain daily cases fit]]-CIf,0)</f>
        <v>0</v>
      </c>
      <c r="L17" s="153"/>
      <c r="M17" s="158"/>
      <c r="N17" s="10">
        <f>Tabella3[[#This Row],[Lombardy data]]*NOT(ISBLANK(Tabella3[[#This Row],[Lombardy data]]))</f>
        <v>0</v>
      </c>
      <c r="O17" s="159">
        <f>Tabella8[[#This Row],[Lombardy fit]]</f>
        <v>0</v>
      </c>
      <c r="P17" s="10">
        <f>Tabella3[[#This Row],[Lombardy cumul. Fit]]/Kl</f>
        <v>0</v>
      </c>
      <c r="Q17" s="90">
        <f>IFERROR(Kl*_xlfn.LOGNORM.DIST((Tabella3[[#This Row],[Day]]-pl),mu_l,sigma_l,FALSE),0)</f>
        <v>0</v>
      </c>
      <c r="R17" s="90">
        <f>Tabella3[[#This Row],[Lombardy fit]]/y_l_peak</f>
        <v>0</v>
      </c>
      <c r="S17" s="10">
        <f>Tabella3[[#This Row],[Lombardy fit]]*NOT(ISBLANK(Tabella3[[#This Row],[Lombardy data]]))</f>
        <v>0</v>
      </c>
      <c r="T17" s="90">
        <f>Tabella3[[#This Row],[Lombardy fit]]+CIl</f>
        <v>2570.3823229164086</v>
      </c>
      <c r="U17" s="90">
        <f>MAX(Tabella3[[#This Row],[Lombardy fit]]-CIl,0)</f>
        <v>0</v>
      </c>
      <c r="V17" s="155"/>
      <c r="W17" s="158"/>
      <c r="X17" s="10">
        <f>Tabella3[[#This Row],[rest of Italy data]]*NOT(ISBLANK(Tabella3[[#This Row],[rest of Italy data]]))</f>
        <v>0</v>
      </c>
      <c r="Y17" s="159">
        <f>Tabella8[[#This Row],[rest of Italy fit]]</f>
        <v>0</v>
      </c>
      <c r="Z17" s="90">
        <f>Tabella3[[#This Row],[rest of Italy cumul. Fit]]/Ka</f>
        <v>0</v>
      </c>
      <c r="AA17" s="90">
        <f>IFERROR(Ka*_xlfn.LOGNORM.DIST((Tabella3[[#This Row],[Day]]-pa),mu_a,sigma_a,FALSE),0)</f>
        <v>0</v>
      </c>
      <c r="AB17" s="90">
        <f>Tabella3[[#This Row],[rest of Italy fit]]/y_a_peak</f>
        <v>0</v>
      </c>
      <c r="AC17" s="10">
        <f>Tabella3[[#This Row],[rest of Italy fit]]*NOT(ISBLANK(Tabella3[[#This Row],[rest of Italy data]]))</f>
        <v>0</v>
      </c>
      <c r="AD17" s="90">
        <f>Tabella3[[#This Row],[rest of Italy fit]]+CIa</f>
        <v>5338.8394351600173</v>
      </c>
      <c r="AE17" s="90">
        <f>MAX(Tabella3[[#This Row],[rest of Italy fit]]-CIa,0)</f>
        <v>0</v>
      </c>
      <c r="AF17" s="1"/>
      <c r="AG17" s="116" t="s">
        <v>21</v>
      </c>
      <c r="AH17" s="117" t="e">
        <f>MAX(#REF!)</f>
        <v>#REF!</v>
      </c>
      <c r="AU17" s="306"/>
    </row>
    <row r="18" spans="2:47" ht="15" thickTop="1" x14ac:dyDescent="0.3">
      <c r="B18" s="149">
        <v>43841</v>
      </c>
      <c r="C18" s="4">
        <v>11</v>
      </c>
      <c r="D18" s="155"/>
      <c r="E18" s="158"/>
      <c r="F18" s="10">
        <f>Tabella3[[#This Row],[Spain daily cases]]*NOT(ISBLANK(Tabella3[[#This Row],[Spain daily cases]]))</f>
        <v>0</v>
      </c>
      <c r="G18" s="90">
        <f>IFERROR(Kf*_xlfn.LOGNORM.DIST((Tabella3[[#This Row],[Day]]-pf),mu_f,sigma_f,FALSE),0)</f>
        <v>0</v>
      </c>
      <c r="H18" s="90">
        <f>Tabella3[[#This Row],[Spain daily cases fit]]/y_f_peak</f>
        <v>0</v>
      </c>
      <c r="I18" s="90">
        <f>Tabella3[[#This Row],[Spain daily cases fit]]*NOT(ISBLANK(Tabella3[[#This Row],[Spain daily cases]]))</f>
        <v>0</v>
      </c>
      <c r="J18" s="90">
        <f>Tabella3[[#This Row],[Spain daily cases fit]]+CIf</f>
        <v>2342.6884176810927</v>
      </c>
      <c r="K18" s="90">
        <f>MAX(Tabella3[[#This Row],[Spain daily cases fit]]-CIf,0)</f>
        <v>0</v>
      </c>
      <c r="L18" s="153"/>
      <c r="M18" s="158"/>
      <c r="N18" s="10">
        <f>Tabella3[[#This Row],[Lombardy data]]*NOT(ISBLANK(Tabella3[[#This Row],[Lombardy data]]))</f>
        <v>0</v>
      </c>
      <c r="O18" s="159">
        <f>Tabella8[[#This Row],[Lombardy fit]]</f>
        <v>0</v>
      </c>
      <c r="P18" s="10">
        <f>Tabella3[[#This Row],[Lombardy cumul. Fit]]/Kl</f>
        <v>0</v>
      </c>
      <c r="Q18" s="90">
        <f>IFERROR(Kl*_xlfn.LOGNORM.DIST((Tabella3[[#This Row],[Day]]-pl),mu_l,sigma_l,FALSE),0)</f>
        <v>0</v>
      </c>
      <c r="R18" s="90">
        <f>Tabella3[[#This Row],[Lombardy fit]]/y_l_peak</f>
        <v>0</v>
      </c>
      <c r="S18" s="10">
        <f>Tabella3[[#This Row],[Lombardy fit]]*NOT(ISBLANK(Tabella3[[#This Row],[Lombardy data]]))</f>
        <v>0</v>
      </c>
      <c r="T18" s="90">
        <f>Tabella3[[#This Row],[Lombardy fit]]+CIl</f>
        <v>2570.3823229164086</v>
      </c>
      <c r="U18" s="90">
        <f>MAX(Tabella3[[#This Row],[Lombardy fit]]-CIl,0)</f>
        <v>0</v>
      </c>
      <c r="V18" s="155"/>
      <c r="W18" s="158"/>
      <c r="X18" s="10">
        <f>Tabella3[[#This Row],[rest of Italy data]]*NOT(ISBLANK(Tabella3[[#This Row],[rest of Italy data]]))</f>
        <v>0</v>
      </c>
      <c r="Y18" s="159">
        <f>Tabella8[[#This Row],[rest of Italy fit]]</f>
        <v>0</v>
      </c>
      <c r="Z18" s="90">
        <f>Tabella3[[#This Row],[rest of Italy cumul. Fit]]/Ka</f>
        <v>0</v>
      </c>
      <c r="AA18" s="90">
        <f>IFERROR(Ka*_xlfn.LOGNORM.DIST((Tabella3[[#This Row],[Day]]-pa),mu_a,sigma_a,FALSE),0)</f>
        <v>0</v>
      </c>
      <c r="AB18" s="90">
        <f>Tabella3[[#This Row],[rest of Italy fit]]/y_a_peak</f>
        <v>0</v>
      </c>
      <c r="AC18" s="10">
        <f>Tabella3[[#This Row],[rest of Italy fit]]*NOT(ISBLANK(Tabella3[[#This Row],[rest of Italy data]]))</f>
        <v>0</v>
      </c>
      <c r="AD18" s="90">
        <f>Tabella3[[#This Row],[rest of Italy fit]]+CIa</f>
        <v>5338.8394351600173</v>
      </c>
      <c r="AE18" s="90">
        <f>MAX(Tabella3[[#This Row],[rest of Italy fit]]-CIa,0)</f>
        <v>0</v>
      </c>
      <c r="AF18" s="1"/>
      <c r="AG18" s="116" t="s">
        <v>43</v>
      </c>
      <c r="AH18" s="118" t="e">
        <f>_xlfn.XLOOKUP(Peak_w,#REF!,Tabella3[Date])</f>
        <v>#NAME?</v>
      </c>
      <c r="AU18" s="55" t="e">
        <f>MAX($AH$26)</f>
        <v>#DIV/0!</v>
      </c>
    </row>
    <row r="19" spans="2:47" x14ac:dyDescent="0.3">
      <c r="B19" s="149">
        <v>43842</v>
      </c>
      <c r="C19" s="4">
        <v>12</v>
      </c>
      <c r="D19" s="155"/>
      <c r="E19" s="158"/>
      <c r="F19" s="10">
        <f>Tabella3[[#This Row],[Spain daily cases]]*NOT(ISBLANK(Tabella3[[#This Row],[Spain daily cases]]))</f>
        <v>0</v>
      </c>
      <c r="G19" s="90">
        <f>IFERROR(Kf*_xlfn.LOGNORM.DIST((Tabella3[[#This Row],[Day]]-pf),mu_f,sigma_f,FALSE),0)</f>
        <v>0</v>
      </c>
      <c r="H19" s="90">
        <f>Tabella3[[#This Row],[Spain daily cases fit]]/y_f_peak</f>
        <v>0</v>
      </c>
      <c r="I19" s="90">
        <f>Tabella3[[#This Row],[Spain daily cases fit]]*NOT(ISBLANK(Tabella3[[#This Row],[Spain daily cases]]))</f>
        <v>0</v>
      </c>
      <c r="J19" s="90">
        <f>Tabella3[[#This Row],[Spain daily cases fit]]+CIf</f>
        <v>2342.6884176810927</v>
      </c>
      <c r="K19" s="90">
        <f>MAX(Tabella3[[#This Row],[Spain daily cases fit]]-CIf,0)</f>
        <v>0</v>
      </c>
      <c r="L19" s="153"/>
      <c r="M19" s="158"/>
      <c r="N19" s="10">
        <f>Tabella3[[#This Row],[Lombardy data]]*NOT(ISBLANK(Tabella3[[#This Row],[Lombardy data]]))</f>
        <v>0</v>
      </c>
      <c r="O19" s="159">
        <f>Tabella8[[#This Row],[Lombardy fit]]</f>
        <v>0</v>
      </c>
      <c r="P19" s="10">
        <f>Tabella3[[#This Row],[Lombardy cumul. Fit]]/Kl</f>
        <v>0</v>
      </c>
      <c r="Q19" s="90">
        <f>IFERROR(Kl*_xlfn.LOGNORM.DIST((Tabella3[[#This Row],[Day]]-pl),mu_l,sigma_l,FALSE),0)</f>
        <v>0</v>
      </c>
      <c r="R19" s="90">
        <f>Tabella3[[#This Row],[Lombardy fit]]/y_l_peak</f>
        <v>0</v>
      </c>
      <c r="S19" s="10">
        <f>Tabella3[[#This Row],[Lombardy fit]]*NOT(ISBLANK(Tabella3[[#This Row],[Lombardy data]]))</f>
        <v>0</v>
      </c>
      <c r="T19" s="90">
        <f>Tabella3[[#This Row],[Lombardy fit]]+CIl</f>
        <v>2570.3823229164086</v>
      </c>
      <c r="U19" s="90">
        <f>MAX(Tabella3[[#This Row],[Lombardy fit]]-CIl,0)</f>
        <v>0</v>
      </c>
      <c r="V19" s="155"/>
      <c r="W19" s="158"/>
      <c r="X19" s="10">
        <f>Tabella3[[#This Row],[rest of Italy data]]*NOT(ISBLANK(Tabella3[[#This Row],[rest of Italy data]]))</f>
        <v>0</v>
      </c>
      <c r="Y19" s="159">
        <f>Tabella8[[#This Row],[rest of Italy fit]]</f>
        <v>0</v>
      </c>
      <c r="Z19" s="90">
        <f>Tabella3[[#This Row],[rest of Italy cumul. Fit]]/Ka</f>
        <v>0</v>
      </c>
      <c r="AA19" s="90">
        <f>IFERROR(Ka*_xlfn.LOGNORM.DIST((Tabella3[[#This Row],[Day]]-pa),mu_a,sigma_a,FALSE),0)</f>
        <v>0</v>
      </c>
      <c r="AB19" s="90">
        <f>Tabella3[[#This Row],[rest of Italy fit]]/y_a_peak</f>
        <v>0</v>
      </c>
      <c r="AC19" s="10">
        <f>Tabella3[[#This Row],[rest of Italy fit]]*NOT(ISBLANK(Tabella3[[#This Row],[rest of Italy data]]))</f>
        <v>0</v>
      </c>
      <c r="AD19" s="90">
        <f>Tabella3[[#This Row],[rest of Italy fit]]+CIa</f>
        <v>5338.8394351600173</v>
      </c>
      <c r="AE19" s="90">
        <f>MAX(Tabella3[[#This Row],[rest of Italy fit]]-CIa,0)</f>
        <v>0</v>
      </c>
      <c r="AF19" s="1"/>
      <c r="AG19" s="18" t="s">
        <v>13</v>
      </c>
      <c r="AH19" s="3" t="s">
        <v>32</v>
      </c>
      <c r="AU19" s="56">
        <f>COUNT($AH$20,$AH$21,$AH$22,$AH$31)</f>
        <v>4</v>
      </c>
    </row>
    <row r="20" spans="2:47" x14ac:dyDescent="0.3">
      <c r="B20" s="149">
        <v>43843</v>
      </c>
      <c r="C20" s="4">
        <v>13</v>
      </c>
      <c r="D20" s="155"/>
      <c r="E20" s="158"/>
      <c r="F20" s="10">
        <f>Tabella3[[#This Row],[Spain daily cases]]*NOT(ISBLANK(Tabella3[[#This Row],[Spain daily cases]]))</f>
        <v>0</v>
      </c>
      <c r="G20" s="90">
        <f>IFERROR(Kf*_xlfn.LOGNORM.DIST((Tabella3[[#This Row],[Day]]-pf),mu_f,sigma_f,FALSE),0)</f>
        <v>0</v>
      </c>
      <c r="H20" s="90">
        <f>Tabella3[[#This Row],[Spain daily cases fit]]/y_f_peak</f>
        <v>0</v>
      </c>
      <c r="I20" s="90">
        <f>Tabella3[[#This Row],[Spain daily cases fit]]*NOT(ISBLANK(Tabella3[[#This Row],[Spain daily cases]]))</f>
        <v>0</v>
      </c>
      <c r="J20" s="90">
        <f>Tabella3[[#This Row],[Spain daily cases fit]]+CIf</f>
        <v>2342.6884176810927</v>
      </c>
      <c r="K20" s="90">
        <f>MAX(Tabella3[[#This Row],[Spain daily cases fit]]-CIf,0)</f>
        <v>0</v>
      </c>
      <c r="L20" s="153"/>
      <c r="M20" s="158"/>
      <c r="N20" s="10">
        <f>Tabella3[[#This Row],[Lombardy data]]*NOT(ISBLANK(Tabella3[[#This Row],[Lombardy data]]))</f>
        <v>0</v>
      </c>
      <c r="O20" s="159">
        <f>Tabella8[[#This Row],[Lombardy fit]]</f>
        <v>0</v>
      </c>
      <c r="P20" s="10">
        <f>Tabella3[[#This Row],[Lombardy cumul. Fit]]/Kl</f>
        <v>0</v>
      </c>
      <c r="Q20" s="90">
        <f>IFERROR(Kl*_xlfn.LOGNORM.DIST((Tabella3[[#This Row],[Day]]-pl),mu_l,sigma_l,FALSE),0)</f>
        <v>0</v>
      </c>
      <c r="R20" s="90">
        <f>Tabella3[[#This Row],[Lombardy fit]]/y_l_peak</f>
        <v>0</v>
      </c>
      <c r="S20" s="10">
        <f>Tabella3[[#This Row],[Lombardy fit]]*NOT(ISBLANK(Tabella3[[#This Row],[Lombardy data]]))</f>
        <v>0</v>
      </c>
      <c r="T20" s="90">
        <f>Tabella3[[#This Row],[Lombardy fit]]+CIl</f>
        <v>2570.3823229164086</v>
      </c>
      <c r="U20" s="90">
        <f>MAX(Tabella3[[#This Row],[Lombardy fit]]-CIl,0)</f>
        <v>0</v>
      </c>
      <c r="V20" s="155"/>
      <c r="W20" s="158"/>
      <c r="X20" s="10">
        <f>Tabella3[[#This Row],[rest of Italy data]]*NOT(ISBLANK(Tabella3[[#This Row],[rest of Italy data]]))</f>
        <v>0</v>
      </c>
      <c r="Y20" s="159">
        <f>Tabella8[[#This Row],[rest of Italy fit]]</f>
        <v>0</v>
      </c>
      <c r="Z20" s="90">
        <f>Tabella3[[#This Row],[rest of Italy cumul. Fit]]/Ka</f>
        <v>0</v>
      </c>
      <c r="AA20" s="90">
        <f>IFERROR(Ka*_xlfn.LOGNORM.DIST((Tabella3[[#This Row],[Day]]-pa),mu_a,sigma_a,FALSE),0)</f>
        <v>0</v>
      </c>
      <c r="AB20" s="90">
        <f>Tabella3[[#This Row],[rest of Italy fit]]/y_a_peak</f>
        <v>0</v>
      </c>
      <c r="AC20" s="10">
        <f>Tabella3[[#This Row],[rest of Italy fit]]*NOT(ISBLANK(Tabella3[[#This Row],[rest of Italy data]]))</f>
        <v>0</v>
      </c>
      <c r="AD20" s="90">
        <f>Tabella3[[#This Row],[rest of Italy fit]]+CIa</f>
        <v>5338.8394351600173</v>
      </c>
      <c r="AE20" s="90">
        <f>MAX(Tabella3[[#This Row],[rest of Italy fit]]-CIa,0)</f>
        <v>0</v>
      </c>
      <c r="AF20" s="1"/>
      <c r="AG20" s="14" t="s">
        <v>0</v>
      </c>
      <c r="AH20" s="5">
        <f>Kr</f>
        <v>87000</v>
      </c>
      <c r="AU20" s="56" t="b">
        <f>pl&lt;=0</f>
        <v>0</v>
      </c>
    </row>
    <row r="21" spans="2:47" x14ac:dyDescent="0.3">
      <c r="B21" s="149">
        <v>43844</v>
      </c>
      <c r="C21" s="4">
        <v>14</v>
      </c>
      <c r="D21" s="155"/>
      <c r="E21" s="158"/>
      <c r="F21" s="10">
        <f>Tabella3[[#This Row],[Spain daily cases]]*NOT(ISBLANK(Tabella3[[#This Row],[Spain daily cases]]))</f>
        <v>0</v>
      </c>
      <c r="G21" s="90">
        <f>IFERROR(Kf*_xlfn.LOGNORM.DIST((Tabella3[[#This Row],[Day]]-pf),mu_f,sigma_f,FALSE),0)</f>
        <v>0</v>
      </c>
      <c r="H21" s="90">
        <f>Tabella3[[#This Row],[Spain daily cases fit]]/y_f_peak</f>
        <v>0</v>
      </c>
      <c r="I21" s="90">
        <f>Tabella3[[#This Row],[Spain daily cases fit]]*NOT(ISBLANK(Tabella3[[#This Row],[Spain daily cases]]))</f>
        <v>0</v>
      </c>
      <c r="J21" s="90">
        <f>Tabella3[[#This Row],[Spain daily cases fit]]+CIf</f>
        <v>2342.6884176810927</v>
      </c>
      <c r="K21" s="90">
        <f>MAX(Tabella3[[#This Row],[Spain daily cases fit]]-CIf,0)</f>
        <v>0</v>
      </c>
      <c r="L21" s="153"/>
      <c r="M21" s="158"/>
      <c r="N21" s="10">
        <f>Tabella3[[#This Row],[Lombardy data]]*NOT(ISBLANK(Tabella3[[#This Row],[Lombardy data]]))</f>
        <v>0</v>
      </c>
      <c r="O21" s="159">
        <f>Tabella8[[#This Row],[Lombardy fit]]</f>
        <v>0</v>
      </c>
      <c r="P21" s="10">
        <f>Tabella3[[#This Row],[Lombardy cumul. Fit]]/Kl</f>
        <v>0</v>
      </c>
      <c r="Q21" s="90">
        <f>IFERROR(Kl*_xlfn.LOGNORM.DIST((Tabella3[[#This Row],[Day]]-pl),mu_l,sigma_l,FALSE),0)</f>
        <v>0</v>
      </c>
      <c r="R21" s="90">
        <f>Tabella3[[#This Row],[Lombardy fit]]/y_l_peak</f>
        <v>0</v>
      </c>
      <c r="S21" s="10">
        <f>Tabella3[[#This Row],[Lombardy fit]]*NOT(ISBLANK(Tabella3[[#This Row],[Lombardy data]]))</f>
        <v>0</v>
      </c>
      <c r="T21" s="90">
        <f>Tabella3[[#This Row],[Lombardy fit]]+CIl</f>
        <v>2570.3823229164086</v>
      </c>
      <c r="U21" s="90">
        <f>MAX(Tabella3[[#This Row],[Lombardy fit]]-CIl,0)</f>
        <v>0</v>
      </c>
      <c r="V21" s="155"/>
      <c r="W21" s="158"/>
      <c r="X21" s="10">
        <f>Tabella3[[#This Row],[rest of Italy data]]*NOT(ISBLANK(Tabella3[[#This Row],[rest of Italy data]]))</f>
        <v>0</v>
      </c>
      <c r="Y21" s="159">
        <f>Tabella8[[#This Row],[rest of Italy fit]]</f>
        <v>0</v>
      </c>
      <c r="Z21" s="90">
        <f>Tabella3[[#This Row],[rest of Italy cumul. Fit]]/Ka</f>
        <v>0</v>
      </c>
      <c r="AA21" s="90">
        <f>IFERROR(Ka*_xlfn.LOGNORM.DIST((Tabella3[[#This Row],[Day]]-pa),mu_a,sigma_a,FALSE),0)</f>
        <v>0</v>
      </c>
      <c r="AB21" s="90">
        <f>Tabella3[[#This Row],[rest of Italy fit]]/y_a_peak</f>
        <v>0</v>
      </c>
      <c r="AC21" s="10">
        <f>Tabella3[[#This Row],[rest of Italy fit]]*NOT(ISBLANK(Tabella3[[#This Row],[rest of Italy data]]))</f>
        <v>0</v>
      </c>
      <c r="AD21" s="90">
        <f>Tabella3[[#This Row],[rest of Italy fit]]+CIa</f>
        <v>5338.8394351600173</v>
      </c>
      <c r="AE21" s="90">
        <f>MAX(Tabella3[[#This Row],[rest of Italy fit]]-CIa,0)</f>
        <v>0</v>
      </c>
      <c r="AF21" s="1"/>
      <c r="AG21" s="101" t="s">
        <v>63</v>
      </c>
      <c r="AH21" s="30">
        <f>mu_r</f>
        <v>4.1183177467413179</v>
      </c>
      <c r="AU21" s="56" t="b">
        <f>sigma_l&gt;=0.000001</f>
        <v>1</v>
      </c>
    </row>
    <row r="22" spans="2:47" x14ac:dyDescent="0.3">
      <c r="B22" s="149">
        <v>43845</v>
      </c>
      <c r="C22" s="4">
        <v>15</v>
      </c>
      <c r="D22" s="155"/>
      <c r="E22" s="158"/>
      <c r="F22" s="10">
        <f>Tabella3[[#This Row],[Spain daily cases]]*NOT(ISBLANK(Tabella3[[#This Row],[Spain daily cases]]))</f>
        <v>0</v>
      </c>
      <c r="G22" s="90">
        <f>IFERROR(Kf*_xlfn.LOGNORM.DIST((Tabella3[[#This Row],[Day]]-pf),mu_f,sigma_f,FALSE),0)</f>
        <v>0</v>
      </c>
      <c r="H22" s="90">
        <f>Tabella3[[#This Row],[Spain daily cases fit]]/y_f_peak</f>
        <v>0</v>
      </c>
      <c r="I22" s="90">
        <f>Tabella3[[#This Row],[Spain daily cases fit]]*NOT(ISBLANK(Tabella3[[#This Row],[Spain daily cases]]))</f>
        <v>0</v>
      </c>
      <c r="J22" s="90">
        <f>Tabella3[[#This Row],[Spain daily cases fit]]+CIf</f>
        <v>2342.6884176810927</v>
      </c>
      <c r="K22" s="90">
        <f>MAX(Tabella3[[#This Row],[Spain daily cases fit]]-CIf,0)</f>
        <v>0</v>
      </c>
      <c r="L22" s="153"/>
      <c r="M22" s="158"/>
      <c r="N22" s="10">
        <f>Tabella3[[#This Row],[Lombardy data]]*NOT(ISBLANK(Tabella3[[#This Row],[Lombardy data]]))</f>
        <v>0</v>
      </c>
      <c r="O22" s="159">
        <f>Tabella8[[#This Row],[Lombardy fit]]</f>
        <v>0</v>
      </c>
      <c r="P22" s="10">
        <f>Tabella3[[#This Row],[Lombardy cumul. Fit]]/Kl</f>
        <v>0</v>
      </c>
      <c r="Q22" s="90">
        <f>IFERROR(Kl*_xlfn.LOGNORM.DIST((Tabella3[[#This Row],[Day]]-pl),mu_l,sigma_l,FALSE),0)</f>
        <v>0</v>
      </c>
      <c r="R22" s="90">
        <f>Tabella3[[#This Row],[Lombardy fit]]/y_l_peak</f>
        <v>0</v>
      </c>
      <c r="S22" s="10">
        <f>Tabella3[[#This Row],[Lombardy fit]]*NOT(ISBLANK(Tabella3[[#This Row],[Lombardy data]]))</f>
        <v>0</v>
      </c>
      <c r="T22" s="90">
        <f>Tabella3[[#This Row],[Lombardy fit]]+CIl</f>
        <v>2570.3823229164086</v>
      </c>
      <c r="U22" s="90">
        <f>MAX(Tabella3[[#This Row],[Lombardy fit]]-CIl,0)</f>
        <v>0</v>
      </c>
      <c r="V22" s="155"/>
      <c r="W22" s="158"/>
      <c r="X22" s="10">
        <f>Tabella3[[#This Row],[rest of Italy data]]*NOT(ISBLANK(Tabella3[[#This Row],[rest of Italy data]]))</f>
        <v>0</v>
      </c>
      <c r="Y22" s="159">
        <f>Tabella8[[#This Row],[rest of Italy fit]]</f>
        <v>0</v>
      </c>
      <c r="Z22" s="90">
        <f>Tabella3[[#This Row],[rest of Italy cumul. Fit]]/Ka</f>
        <v>0</v>
      </c>
      <c r="AA22" s="90">
        <f>IFERROR(Ka*_xlfn.LOGNORM.DIST((Tabella3[[#This Row],[Day]]-pa),mu_a,sigma_a,FALSE),0)</f>
        <v>0</v>
      </c>
      <c r="AB22" s="90">
        <f>Tabella3[[#This Row],[rest of Italy fit]]/y_a_peak</f>
        <v>0</v>
      </c>
      <c r="AC22" s="10">
        <f>Tabella3[[#This Row],[rest of Italy fit]]*NOT(ISBLANK(Tabella3[[#This Row],[rest of Italy data]]))</f>
        <v>0</v>
      </c>
      <c r="AD22" s="90">
        <f>Tabella3[[#This Row],[rest of Italy fit]]+CIa</f>
        <v>5338.8394351600173</v>
      </c>
      <c r="AE22" s="90">
        <f>MAX(Tabella3[[#This Row],[rest of Italy fit]]-CIa,0)</f>
        <v>0</v>
      </c>
      <c r="AF22" s="1"/>
      <c r="AG22" s="14" t="s">
        <v>64</v>
      </c>
      <c r="AH22" s="30">
        <f>sigma_r</f>
        <v>0.3404272985968646</v>
      </c>
      <c r="AU22" s="56">
        <f>{32767;32767;0.000001;0.01;FALSE;FALSE;FALSE;1;2;1;0.0001;TRUE}</f>
        <v>32767</v>
      </c>
    </row>
    <row r="23" spans="2:47" x14ac:dyDescent="0.3">
      <c r="B23" s="149">
        <v>43846</v>
      </c>
      <c r="C23" s="4">
        <v>16</v>
      </c>
      <c r="D23" s="155"/>
      <c r="E23" s="158"/>
      <c r="F23" s="10">
        <f>Tabella3[[#This Row],[Spain daily cases]]*NOT(ISBLANK(Tabella3[[#This Row],[Spain daily cases]]))</f>
        <v>0</v>
      </c>
      <c r="G23" s="90">
        <f>IFERROR(Kf*_xlfn.LOGNORM.DIST((Tabella3[[#This Row],[Day]]-pf),mu_f,sigma_f,FALSE),0)</f>
        <v>0</v>
      </c>
      <c r="H23" s="90">
        <f>Tabella3[[#This Row],[Spain daily cases fit]]/y_f_peak</f>
        <v>0</v>
      </c>
      <c r="I23" s="90">
        <f>Tabella3[[#This Row],[Spain daily cases fit]]*NOT(ISBLANK(Tabella3[[#This Row],[Spain daily cases]]))</f>
        <v>0</v>
      </c>
      <c r="J23" s="90">
        <f>Tabella3[[#This Row],[Spain daily cases fit]]+CIf</f>
        <v>2342.6884176810927</v>
      </c>
      <c r="K23" s="90">
        <f>MAX(Tabella3[[#This Row],[Spain daily cases fit]]-CIf,0)</f>
        <v>0</v>
      </c>
      <c r="L23" s="153"/>
      <c r="M23" s="158"/>
      <c r="N23" s="10">
        <f>Tabella3[[#This Row],[Lombardy data]]*NOT(ISBLANK(Tabella3[[#This Row],[Lombardy data]]))</f>
        <v>0</v>
      </c>
      <c r="O23" s="159">
        <f>Tabella8[[#This Row],[Lombardy fit]]</f>
        <v>0</v>
      </c>
      <c r="P23" s="10">
        <f>Tabella3[[#This Row],[Lombardy cumul. Fit]]/Kl</f>
        <v>0</v>
      </c>
      <c r="Q23" s="90">
        <f>IFERROR(Kl*_xlfn.LOGNORM.DIST((Tabella3[[#This Row],[Day]]-pl),mu_l,sigma_l,FALSE),0)</f>
        <v>0</v>
      </c>
      <c r="R23" s="90">
        <f>Tabella3[[#This Row],[Lombardy fit]]/y_l_peak</f>
        <v>0</v>
      </c>
      <c r="S23" s="10">
        <f>Tabella3[[#This Row],[Lombardy fit]]*NOT(ISBLANK(Tabella3[[#This Row],[Lombardy data]]))</f>
        <v>0</v>
      </c>
      <c r="T23" s="90">
        <f>Tabella3[[#This Row],[Lombardy fit]]+CIl</f>
        <v>2570.3823229164086</v>
      </c>
      <c r="U23" s="90">
        <f>MAX(Tabella3[[#This Row],[Lombardy fit]]-CIl,0)</f>
        <v>0</v>
      </c>
      <c r="V23" s="155"/>
      <c r="W23" s="158"/>
      <c r="X23" s="10">
        <f>Tabella3[[#This Row],[rest of Italy data]]*NOT(ISBLANK(Tabella3[[#This Row],[rest of Italy data]]))</f>
        <v>0</v>
      </c>
      <c r="Y23" s="159">
        <f>Tabella8[[#This Row],[rest of Italy fit]]</f>
        <v>0</v>
      </c>
      <c r="Z23" s="90">
        <f>Tabella3[[#This Row],[rest of Italy cumul. Fit]]/Ka</f>
        <v>0</v>
      </c>
      <c r="AA23" s="90">
        <f>IFERROR(Ka*_xlfn.LOGNORM.DIST((Tabella3[[#This Row],[Day]]-pa),mu_a,sigma_a,FALSE),0)</f>
        <v>0</v>
      </c>
      <c r="AB23" s="90">
        <f>Tabella3[[#This Row],[rest of Italy fit]]/y_a_peak</f>
        <v>0</v>
      </c>
      <c r="AC23" s="10">
        <f>Tabella3[[#This Row],[rest of Italy fit]]*NOT(ISBLANK(Tabella3[[#This Row],[rest of Italy data]]))</f>
        <v>0</v>
      </c>
      <c r="AD23" s="90">
        <f>Tabella3[[#This Row],[rest of Italy fit]]+CIa</f>
        <v>5338.8394351600173</v>
      </c>
      <c r="AE23" s="90">
        <f>MAX(Tabella3[[#This Row],[rest of Italy fit]]-CIa,0)</f>
        <v>0</v>
      </c>
      <c r="AF23" s="1"/>
      <c r="AG23" s="2" t="s">
        <v>1</v>
      </c>
      <c r="AH23" s="6">
        <f>AVERAGE(Tabella3[Lombardy data])</f>
        <v>0</v>
      </c>
      <c r="AU23" s="57">
        <f>{0;0;1;200;0;FALSE;FALSE;0.075;0;0;FALSE;30}</f>
        <v>0</v>
      </c>
    </row>
    <row r="24" spans="2:47" x14ac:dyDescent="0.3">
      <c r="B24" s="149">
        <v>43847</v>
      </c>
      <c r="C24" s="4">
        <v>17</v>
      </c>
      <c r="D24" s="155"/>
      <c r="E24" s="158"/>
      <c r="F24" s="10">
        <f>Tabella3[[#This Row],[Spain daily cases]]*NOT(ISBLANK(Tabella3[[#This Row],[Spain daily cases]]))</f>
        <v>0</v>
      </c>
      <c r="G24" s="90">
        <f>IFERROR(Kf*_xlfn.LOGNORM.DIST((Tabella3[[#This Row],[Day]]-pf),mu_f,sigma_f,FALSE),0)</f>
        <v>0</v>
      </c>
      <c r="H24" s="90">
        <f>Tabella3[[#This Row],[Spain daily cases fit]]/y_f_peak</f>
        <v>0</v>
      </c>
      <c r="I24" s="90">
        <f>Tabella3[[#This Row],[Spain daily cases fit]]*NOT(ISBLANK(Tabella3[[#This Row],[Spain daily cases]]))</f>
        <v>0</v>
      </c>
      <c r="J24" s="90">
        <f>Tabella3[[#This Row],[Spain daily cases fit]]+CIf</f>
        <v>2342.6884176810927</v>
      </c>
      <c r="K24" s="90">
        <f>MAX(Tabella3[[#This Row],[Spain daily cases fit]]-CIf,0)</f>
        <v>0</v>
      </c>
      <c r="L24" s="153"/>
      <c r="M24" s="158"/>
      <c r="N24" s="10">
        <f>Tabella3[[#This Row],[Lombardy data]]*NOT(ISBLANK(Tabella3[[#This Row],[Lombardy data]]))</f>
        <v>0</v>
      </c>
      <c r="O24" s="159">
        <f>Tabella8[[#This Row],[Lombardy fit]]</f>
        <v>0</v>
      </c>
      <c r="P24" s="10">
        <f>Tabella3[[#This Row],[Lombardy cumul. Fit]]/Kl</f>
        <v>0</v>
      </c>
      <c r="Q24" s="90">
        <f>IFERROR(Kl*_xlfn.LOGNORM.DIST((Tabella3[[#This Row],[Day]]-pl),mu_l,sigma_l,FALSE),0)</f>
        <v>0</v>
      </c>
      <c r="R24" s="90">
        <f>Tabella3[[#This Row],[Lombardy fit]]/y_l_peak</f>
        <v>0</v>
      </c>
      <c r="S24" s="10">
        <f>Tabella3[[#This Row],[Lombardy fit]]*NOT(ISBLANK(Tabella3[[#This Row],[Lombardy data]]))</f>
        <v>0</v>
      </c>
      <c r="T24" s="90">
        <f>Tabella3[[#This Row],[Lombardy fit]]+CIl</f>
        <v>2570.3823229164086</v>
      </c>
      <c r="U24" s="90">
        <f>MAX(Tabella3[[#This Row],[Lombardy fit]]-CIl,0)</f>
        <v>0</v>
      </c>
      <c r="V24" s="155"/>
      <c r="W24" s="158"/>
      <c r="X24" s="10">
        <f>Tabella3[[#This Row],[rest of Italy data]]*NOT(ISBLANK(Tabella3[[#This Row],[rest of Italy data]]))</f>
        <v>0</v>
      </c>
      <c r="Y24" s="159">
        <f>Tabella8[[#This Row],[rest of Italy fit]]</f>
        <v>0</v>
      </c>
      <c r="Z24" s="90">
        <f>Tabella3[[#This Row],[rest of Italy cumul. Fit]]/Ka</f>
        <v>0</v>
      </c>
      <c r="AA24" s="90">
        <f>IFERROR(Ka*_xlfn.LOGNORM.DIST((Tabella3[[#This Row],[Day]]-pa),mu_a,sigma_a,FALSE),0)</f>
        <v>0</v>
      </c>
      <c r="AB24" s="90">
        <f>Tabella3[[#This Row],[rest of Italy fit]]/y_a_peak</f>
        <v>0</v>
      </c>
      <c r="AC24" s="10">
        <f>Tabella3[[#This Row],[rest of Italy fit]]*NOT(ISBLANK(Tabella3[[#This Row],[rest of Italy data]]))</f>
        <v>0</v>
      </c>
      <c r="AD24" s="90">
        <f>Tabella3[[#This Row],[rest of Italy fit]]+CIa</f>
        <v>5338.8394351600173</v>
      </c>
      <c r="AE24" s="90">
        <f>MAX(Tabella3[[#This Row],[rest of Italy fit]]-CIa,0)</f>
        <v>0</v>
      </c>
      <c r="AF24" s="1"/>
      <c r="AG24" s="2" t="s">
        <v>2</v>
      </c>
      <c r="AH24" s="1">
        <f>COUNT(Tabella3[Lombardy data])-COUNT(AH20:AH22)</f>
        <v>61</v>
      </c>
      <c r="AU24" s="58"/>
    </row>
    <row r="25" spans="2:47" x14ac:dyDescent="0.3">
      <c r="B25" s="149">
        <v>43848</v>
      </c>
      <c r="C25" s="4">
        <v>18</v>
      </c>
      <c r="D25" s="155"/>
      <c r="E25" s="158"/>
      <c r="F25" s="10">
        <f>Tabella3[[#This Row],[Spain daily cases]]*NOT(ISBLANK(Tabella3[[#This Row],[Spain daily cases]]))</f>
        <v>0</v>
      </c>
      <c r="G25" s="90">
        <f>IFERROR(Kf*_xlfn.LOGNORM.DIST((Tabella3[[#This Row],[Day]]-pf),mu_f,sigma_f,FALSE),0)</f>
        <v>0</v>
      </c>
      <c r="H25" s="90">
        <f>Tabella3[[#This Row],[Spain daily cases fit]]/y_f_peak</f>
        <v>0</v>
      </c>
      <c r="I25" s="90">
        <f>Tabella3[[#This Row],[Spain daily cases fit]]*NOT(ISBLANK(Tabella3[[#This Row],[Spain daily cases]]))</f>
        <v>0</v>
      </c>
      <c r="J25" s="90">
        <f>Tabella3[[#This Row],[Spain daily cases fit]]+CIf</f>
        <v>2342.6884176810927</v>
      </c>
      <c r="K25" s="90">
        <f>MAX(Tabella3[[#This Row],[Spain daily cases fit]]-CIf,0)</f>
        <v>0</v>
      </c>
      <c r="L25" s="153"/>
      <c r="M25" s="158"/>
      <c r="N25" s="10">
        <f>Tabella3[[#This Row],[Lombardy data]]*NOT(ISBLANK(Tabella3[[#This Row],[Lombardy data]]))</f>
        <v>0</v>
      </c>
      <c r="O25" s="159">
        <f>Tabella8[[#This Row],[Lombardy fit]]</f>
        <v>0</v>
      </c>
      <c r="P25" s="10">
        <f>Tabella3[[#This Row],[Lombardy cumul. Fit]]/Kl</f>
        <v>0</v>
      </c>
      <c r="Q25" s="90">
        <f>IFERROR(Kl*_xlfn.LOGNORM.DIST((Tabella3[[#This Row],[Day]]-pl),mu_l,sigma_l,FALSE),0)</f>
        <v>0</v>
      </c>
      <c r="R25" s="90">
        <f>Tabella3[[#This Row],[Lombardy fit]]/y_l_peak</f>
        <v>0</v>
      </c>
      <c r="S25" s="10">
        <f>Tabella3[[#This Row],[Lombardy fit]]*NOT(ISBLANK(Tabella3[[#This Row],[Lombardy data]]))</f>
        <v>0</v>
      </c>
      <c r="T25" s="90">
        <f>Tabella3[[#This Row],[Lombardy fit]]+CIl</f>
        <v>2570.3823229164086</v>
      </c>
      <c r="U25" s="90">
        <f>MAX(Tabella3[[#This Row],[Lombardy fit]]-CIl,0)</f>
        <v>0</v>
      </c>
      <c r="V25" s="155"/>
      <c r="W25" s="158"/>
      <c r="X25" s="10">
        <f>Tabella3[[#This Row],[rest of Italy data]]*NOT(ISBLANK(Tabella3[[#This Row],[rest of Italy data]]))</f>
        <v>0</v>
      </c>
      <c r="Y25" s="159">
        <f>Tabella8[[#This Row],[rest of Italy fit]]</f>
        <v>0</v>
      </c>
      <c r="Z25" s="90">
        <f>Tabella3[[#This Row],[rest of Italy cumul. Fit]]/Ka</f>
        <v>0</v>
      </c>
      <c r="AA25" s="90">
        <f>IFERROR(Ka*_xlfn.LOGNORM.DIST((Tabella3[[#This Row],[Day]]-pa),mu_a,sigma_a,FALSE),0)</f>
        <v>0</v>
      </c>
      <c r="AB25" s="90">
        <f>Tabella3[[#This Row],[rest of Italy fit]]/y_a_peak</f>
        <v>0</v>
      </c>
      <c r="AC25" s="10">
        <f>Tabella3[[#This Row],[rest of Italy fit]]*NOT(ISBLANK(Tabella3[[#This Row],[rest of Italy data]]))</f>
        <v>0</v>
      </c>
      <c r="AD25" s="90">
        <f>Tabella3[[#This Row],[rest of Italy fit]]+CIa</f>
        <v>5338.8394351600173</v>
      </c>
      <c r="AE25" s="90">
        <f>MAX(Tabella3[[#This Row],[rest of Italy fit]]-CIa,0)</f>
        <v>0</v>
      </c>
      <c r="AF25" s="1"/>
      <c r="AG25" s="2" t="s">
        <v>3</v>
      </c>
      <c r="AH25" s="6" cm="1">
        <f t="array" ref="AH25">SQRT(SUM((Tabella3[Colonna3]-Tabella3[Colonna32])^2)/dfl)</f>
        <v>1285.433089609669</v>
      </c>
      <c r="AU25" s="59"/>
    </row>
    <row r="26" spans="2:47" ht="16.2" x14ac:dyDescent="0.3">
      <c r="B26" s="149">
        <v>43849</v>
      </c>
      <c r="C26" s="4">
        <v>19</v>
      </c>
      <c r="D26" s="155"/>
      <c r="E26" s="158"/>
      <c r="F26" s="10">
        <f>Tabella3[[#This Row],[Spain daily cases]]*NOT(ISBLANK(Tabella3[[#This Row],[Spain daily cases]]))</f>
        <v>0</v>
      </c>
      <c r="G26" s="90">
        <f>IFERROR(Kf*_xlfn.LOGNORM.DIST((Tabella3[[#This Row],[Day]]-pf),mu_f,sigma_f,FALSE),0)</f>
        <v>0</v>
      </c>
      <c r="H26" s="90">
        <f>Tabella3[[#This Row],[Spain daily cases fit]]/y_f_peak</f>
        <v>0</v>
      </c>
      <c r="I26" s="90">
        <f>Tabella3[[#This Row],[Spain daily cases fit]]*NOT(ISBLANK(Tabella3[[#This Row],[Spain daily cases]]))</f>
        <v>0</v>
      </c>
      <c r="J26" s="90">
        <f>Tabella3[[#This Row],[Spain daily cases fit]]+CIf</f>
        <v>2342.6884176810927</v>
      </c>
      <c r="K26" s="90">
        <f>MAX(Tabella3[[#This Row],[Spain daily cases fit]]-CIf,0)</f>
        <v>0</v>
      </c>
      <c r="L26" s="153"/>
      <c r="M26" s="158"/>
      <c r="N26" s="10">
        <f>Tabella3[[#This Row],[Lombardy data]]*NOT(ISBLANK(Tabella3[[#This Row],[Lombardy data]]))</f>
        <v>0</v>
      </c>
      <c r="O26" s="159">
        <f>Tabella8[[#This Row],[Lombardy fit]]</f>
        <v>0</v>
      </c>
      <c r="P26" s="10">
        <f>Tabella3[[#This Row],[Lombardy cumul. Fit]]/Kl</f>
        <v>0</v>
      </c>
      <c r="Q26" s="90">
        <f>IFERROR(Kl*_xlfn.LOGNORM.DIST((Tabella3[[#This Row],[Day]]-pl),mu_l,sigma_l,FALSE),0)</f>
        <v>0</v>
      </c>
      <c r="R26" s="90">
        <f>Tabella3[[#This Row],[Lombardy fit]]/y_l_peak</f>
        <v>0</v>
      </c>
      <c r="S26" s="10">
        <f>Tabella3[[#This Row],[Lombardy fit]]*NOT(ISBLANK(Tabella3[[#This Row],[Lombardy data]]))</f>
        <v>0</v>
      </c>
      <c r="T26" s="90">
        <f>Tabella3[[#This Row],[Lombardy fit]]+CIl</f>
        <v>2570.3823229164086</v>
      </c>
      <c r="U26" s="90">
        <f>MAX(Tabella3[[#This Row],[Lombardy fit]]-CIl,0)</f>
        <v>0</v>
      </c>
      <c r="V26" s="155"/>
      <c r="W26" s="158"/>
      <c r="X26" s="10">
        <f>Tabella3[[#This Row],[rest of Italy data]]*NOT(ISBLANK(Tabella3[[#This Row],[rest of Italy data]]))</f>
        <v>0</v>
      </c>
      <c r="Y26" s="159">
        <f>Tabella8[[#This Row],[rest of Italy fit]]</f>
        <v>0</v>
      </c>
      <c r="Z26" s="90">
        <f>Tabella3[[#This Row],[rest of Italy cumul. Fit]]/Ka</f>
        <v>0</v>
      </c>
      <c r="AA26" s="90">
        <f>IFERROR(Ka*_xlfn.LOGNORM.DIST((Tabella3[[#This Row],[Day]]-pa),mu_a,sigma_a,FALSE),0)</f>
        <v>0</v>
      </c>
      <c r="AB26" s="90">
        <f>Tabella3[[#This Row],[rest of Italy fit]]/y_a_peak</f>
        <v>0</v>
      </c>
      <c r="AC26" s="10">
        <f>Tabella3[[#This Row],[rest of Italy fit]]*NOT(ISBLANK(Tabella3[[#This Row],[rest of Italy data]]))</f>
        <v>0</v>
      </c>
      <c r="AD26" s="90">
        <f>Tabella3[[#This Row],[rest of Italy fit]]+CIa</f>
        <v>5338.8394351600173</v>
      </c>
      <c r="AE26" s="90">
        <f>MAX(Tabella3[[#This Row],[rest of Italy fit]]-CIa,0)</f>
        <v>0</v>
      </c>
      <c r="AF26" s="1"/>
      <c r="AG26" s="2" t="s">
        <v>4</v>
      </c>
      <c r="AH26" s="7" t="e" cm="1">
        <f t="array" ref="AH26">1-SUM((Tabella3[Colonna3]-Tabella3[Colonna32])^2)/SUM((Tabella3[Colonna3]-Mean_of_yl)^2)</f>
        <v>#DIV/0!</v>
      </c>
      <c r="AU26" s="59"/>
    </row>
    <row r="27" spans="2:47" ht="15" thickBot="1" x14ac:dyDescent="0.35">
      <c r="B27" s="149">
        <v>43850</v>
      </c>
      <c r="C27" s="4">
        <v>20</v>
      </c>
      <c r="D27" s="155"/>
      <c r="E27" s="158"/>
      <c r="F27" s="10">
        <f>Tabella3[[#This Row],[Spain daily cases]]*NOT(ISBLANK(Tabella3[[#This Row],[Spain daily cases]]))</f>
        <v>0</v>
      </c>
      <c r="G27" s="90">
        <f>IFERROR(Kf*_xlfn.LOGNORM.DIST((Tabella3[[#This Row],[Day]]-pf),mu_f,sigma_f,FALSE),0)</f>
        <v>0</v>
      </c>
      <c r="H27" s="90">
        <f>Tabella3[[#This Row],[Spain daily cases fit]]/y_f_peak</f>
        <v>0</v>
      </c>
      <c r="I27" s="90">
        <f>Tabella3[[#This Row],[Spain daily cases fit]]*NOT(ISBLANK(Tabella3[[#This Row],[Spain daily cases]]))</f>
        <v>0</v>
      </c>
      <c r="J27" s="90">
        <f>Tabella3[[#This Row],[Spain daily cases fit]]+CIf</f>
        <v>2342.6884176810927</v>
      </c>
      <c r="K27" s="90">
        <f>MAX(Tabella3[[#This Row],[Spain daily cases fit]]-CIf,0)</f>
        <v>0</v>
      </c>
      <c r="L27" s="153"/>
      <c r="M27" s="158"/>
      <c r="N27" s="10">
        <f>Tabella3[[#This Row],[Lombardy data]]*NOT(ISBLANK(Tabella3[[#This Row],[Lombardy data]]))</f>
        <v>0</v>
      </c>
      <c r="O27" s="159">
        <f>Tabella8[[#This Row],[Lombardy fit]]</f>
        <v>0</v>
      </c>
      <c r="P27" s="10">
        <f>Tabella3[[#This Row],[Lombardy cumul. Fit]]/Kl</f>
        <v>0</v>
      </c>
      <c r="Q27" s="90">
        <f>IFERROR(Kl*_xlfn.LOGNORM.DIST((Tabella3[[#This Row],[Day]]-pl),mu_l,sigma_l,FALSE),0)</f>
        <v>0</v>
      </c>
      <c r="R27" s="90">
        <f>Tabella3[[#This Row],[Lombardy fit]]/y_l_peak</f>
        <v>0</v>
      </c>
      <c r="S27" s="10">
        <f>Tabella3[[#This Row],[Lombardy fit]]*NOT(ISBLANK(Tabella3[[#This Row],[Lombardy data]]))</f>
        <v>0</v>
      </c>
      <c r="T27" s="90">
        <f>Tabella3[[#This Row],[Lombardy fit]]+CIl</f>
        <v>2570.3823229164086</v>
      </c>
      <c r="U27" s="90">
        <f>MAX(Tabella3[[#This Row],[Lombardy fit]]-CIl,0)</f>
        <v>0</v>
      </c>
      <c r="V27" s="155"/>
      <c r="W27" s="158"/>
      <c r="X27" s="10">
        <f>Tabella3[[#This Row],[rest of Italy data]]*NOT(ISBLANK(Tabella3[[#This Row],[rest of Italy data]]))</f>
        <v>0</v>
      </c>
      <c r="Y27" s="159">
        <f>Tabella8[[#This Row],[rest of Italy fit]]</f>
        <v>0</v>
      </c>
      <c r="Z27" s="90">
        <f>Tabella3[[#This Row],[rest of Italy cumul. Fit]]/Ka</f>
        <v>0</v>
      </c>
      <c r="AA27" s="90">
        <f>IFERROR(Ka*_xlfn.LOGNORM.DIST((Tabella3[[#This Row],[Day]]-pa),mu_a,sigma_a,FALSE),0)</f>
        <v>0</v>
      </c>
      <c r="AB27" s="90">
        <f>Tabella3[[#This Row],[rest of Italy fit]]/y_a_peak</f>
        <v>0</v>
      </c>
      <c r="AC27" s="10">
        <f>Tabella3[[#This Row],[rest of Italy fit]]*NOT(ISBLANK(Tabella3[[#This Row],[rest of Italy data]]))</f>
        <v>0</v>
      </c>
      <c r="AD27" s="90">
        <f>Tabella3[[#This Row],[rest of Italy fit]]+CIa</f>
        <v>5338.8394351600173</v>
      </c>
      <c r="AE27" s="90">
        <f>MAX(Tabella3[[#This Row],[rest of Italy fit]]-CIa,0)</f>
        <v>0</v>
      </c>
      <c r="AF27" s="1"/>
      <c r="AG27" s="2" t="s">
        <v>5</v>
      </c>
      <c r="AH27" s="7">
        <f>TINV(0.05,dfl)</f>
        <v>1.9996235849949404</v>
      </c>
      <c r="AU27" s="60"/>
    </row>
    <row r="28" spans="2:47" ht="15" thickTop="1" x14ac:dyDescent="0.3">
      <c r="B28" s="149">
        <v>43851</v>
      </c>
      <c r="C28" s="4">
        <v>21</v>
      </c>
      <c r="D28" s="155"/>
      <c r="E28" s="158"/>
      <c r="F28" s="10">
        <f>Tabella3[[#This Row],[Spain daily cases]]*NOT(ISBLANK(Tabella3[[#This Row],[Spain daily cases]]))</f>
        <v>0</v>
      </c>
      <c r="G28" s="90">
        <f>IFERROR(Kf*_xlfn.LOGNORM.DIST((Tabella3[[#This Row],[Day]]-pf),mu_f,sigma_f,FALSE),0)</f>
        <v>0</v>
      </c>
      <c r="H28" s="90">
        <f>Tabella3[[#This Row],[Spain daily cases fit]]/y_f_peak</f>
        <v>0</v>
      </c>
      <c r="I28" s="90">
        <f>Tabella3[[#This Row],[Spain daily cases fit]]*NOT(ISBLANK(Tabella3[[#This Row],[Spain daily cases]]))</f>
        <v>0</v>
      </c>
      <c r="J28" s="90">
        <f>Tabella3[[#This Row],[Spain daily cases fit]]+CIf</f>
        <v>2342.6884176810927</v>
      </c>
      <c r="K28" s="90">
        <f>MAX(Tabella3[[#This Row],[Spain daily cases fit]]-CIf,0)</f>
        <v>0</v>
      </c>
      <c r="L28" s="153"/>
      <c r="M28" s="158"/>
      <c r="N28" s="10">
        <f>Tabella3[[#This Row],[Lombardy data]]*NOT(ISBLANK(Tabella3[[#This Row],[Lombardy data]]))</f>
        <v>0</v>
      </c>
      <c r="O28" s="159">
        <f>Tabella8[[#This Row],[Lombardy fit]]</f>
        <v>0</v>
      </c>
      <c r="P28" s="10">
        <f>Tabella3[[#This Row],[Lombardy cumul. Fit]]/Kl</f>
        <v>0</v>
      </c>
      <c r="Q28" s="90">
        <f>IFERROR(Kl*_xlfn.LOGNORM.DIST((Tabella3[[#This Row],[Day]]-pl),mu_l,sigma_l,FALSE),0)</f>
        <v>0</v>
      </c>
      <c r="R28" s="90">
        <f>Tabella3[[#This Row],[Lombardy fit]]/y_l_peak</f>
        <v>0</v>
      </c>
      <c r="S28" s="10">
        <f>Tabella3[[#This Row],[Lombardy fit]]*NOT(ISBLANK(Tabella3[[#This Row],[Lombardy data]]))</f>
        <v>0</v>
      </c>
      <c r="T28" s="90">
        <f>Tabella3[[#This Row],[Lombardy fit]]+CIl</f>
        <v>2570.3823229164086</v>
      </c>
      <c r="U28" s="90">
        <f>MAX(Tabella3[[#This Row],[Lombardy fit]]-CIl,0)</f>
        <v>0</v>
      </c>
      <c r="V28" s="155"/>
      <c r="W28" s="158"/>
      <c r="X28" s="10">
        <f>Tabella3[[#This Row],[rest of Italy data]]*NOT(ISBLANK(Tabella3[[#This Row],[rest of Italy data]]))</f>
        <v>0</v>
      </c>
      <c r="Y28" s="159">
        <f>Tabella8[[#This Row],[rest of Italy fit]]</f>
        <v>0</v>
      </c>
      <c r="Z28" s="90">
        <f>Tabella3[[#This Row],[rest of Italy cumul. Fit]]/Ka</f>
        <v>0</v>
      </c>
      <c r="AA28" s="90">
        <f>IFERROR(Ka*_xlfn.LOGNORM.DIST((Tabella3[[#This Row],[Day]]-pa),mu_a,sigma_a,FALSE),0)</f>
        <v>0</v>
      </c>
      <c r="AB28" s="90">
        <f>Tabella3[[#This Row],[rest of Italy fit]]/y_a_peak</f>
        <v>0</v>
      </c>
      <c r="AC28" s="10">
        <f>Tabella3[[#This Row],[rest of Italy fit]]*NOT(ISBLANK(Tabella3[[#This Row],[rest of Italy data]]))</f>
        <v>0</v>
      </c>
      <c r="AD28" s="90">
        <f>Tabella3[[#This Row],[rest of Italy fit]]+CIa</f>
        <v>5338.8394351600173</v>
      </c>
      <c r="AE28" s="90">
        <f>MAX(Tabella3[[#This Row],[rest of Italy fit]]-CIa,0)</f>
        <v>0</v>
      </c>
      <c r="AF28" s="1"/>
      <c r="AG28" s="2" t="s">
        <v>6</v>
      </c>
      <c r="AH28" s="6">
        <f>Critical_tl*SE_of_yl</f>
        <v>2570.3823229164086</v>
      </c>
      <c r="AU28" s="61">
        <f>MAX($AH$39)</f>
        <v>0.86752460367068851</v>
      </c>
    </row>
    <row r="29" spans="2:47" x14ac:dyDescent="0.3">
      <c r="B29" s="148">
        <v>43852</v>
      </c>
      <c r="C29" s="4">
        <v>22</v>
      </c>
      <c r="D29" s="10">
        <f>Tabella8[[#This Row],[Spain cum. Cases]]</f>
        <v>0</v>
      </c>
      <c r="E29" s="158"/>
      <c r="F29" s="10">
        <f>Tabella3[[#This Row],[Spain daily cases]]*NOT(ISBLANK(Tabella3[[#This Row],[Spain daily cases]]))</f>
        <v>0</v>
      </c>
      <c r="G29" s="90">
        <f>IFERROR(Kf*_xlfn.LOGNORM.DIST((Tabella3[[#This Row],[Day]]-pf),mu_f,sigma_f,FALSE),0)</f>
        <v>0</v>
      </c>
      <c r="H29" s="90">
        <f>Tabella3[[#This Row],[Spain daily cases fit]]/y_f_peak</f>
        <v>0</v>
      </c>
      <c r="I29" s="90">
        <f>Tabella3[[#This Row],[Spain daily cases fit]]*NOT(ISBLANK(Tabella3[[#This Row],[Spain daily cases]]))</f>
        <v>0</v>
      </c>
      <c r="J29" s="90">
        <f>Tabella3[[#This Row],[Spain daily cases fit]]+CIf</f>
        <v>2342.6884176810927</v>
      </c>
      <c r="K29" s="90">
        <f>MAX(Tabella3[[#This Row],[Spain daily cases fit]]-CIf,0)</f>
        <v>0</v>
      </c>
      <c r="L29" s="153"/>
      <c r="M29" s="158"/>
      <c r="N29" s="10">
        <f>Tabella3[[#This Row],[Lombardy data]]*NOT(ISBLANK(Tabella3[[#This Row],[Lombardy data]]))</f>
        <v>0</v>
      </c>
      <c r="O29" s="159">
        <f>Tabella8[[#This Row],[Lombardy fit]]</f>
        <v>0</v>
      </c>
      <c r="P29" s="10">
        <f>Tabella3[[#This Row],[Lombardy cumul. Fit]]/Kl</f>
        <v>0</v>
      </c>
      <c r="Q29" s="90">
        <f>IFERROR(Kl*_xlfn.LOGNORM.DIST((Tabella3[[#This Row],[Day]]-pl),mu_l,sigma_l,FALSE),0)</f>
        <v>0</v>
      </c>
      <c r="R29" s="90">
        <f>Tabella3[[#This Row],[Lombardy fit]]/y_l_peak</f>
        <v>0</v>
      </c>
      <c r="S29" s="10">
        <f>Tabella3[[#This Row],[Lombardy fit]]*NOT(ISBLANK(Tabella3[[#This Row],[Lombardy data]]))</f>
        <v>0</v>
      </c>
      <c r="T29" s="90">
        <f>Tabella3[[#This Row],[Lombardy fit]]+CIl</f>
        <v>2570.3823229164086</v>
      </c>
      <c r="U29" s="90">
        <f>MAX(Tabella3[[#This Row],[Lombardy fit]]-CIl,0)</f>
        <v>0</v>
      </c>
      <c r="V29" s="155"/>
      <c r="W29" s="158"/>
      <c r="X29" s="10">
        <f>Tabella3[[#This Row],[rest of Italy data]]*NOT(ISBLANK(Tabella3[[#This Row],[rest of Italy data]]))</f>
        <v>0</v>
      </c>
      <c r="Y29" s="159">
        <f>Tabella8[[#This Row],[rest of Italy fit]]</f>
        <v>0</v>
      </c>
      <c r="Z29" s="90">
        <f>Tabella3[[#This Row],[rest of Italy cumul. Fit]]/Ka</f>
        <v>0</v>
      </c>
      <c r="AA29" s="90">
        <f>IFERROR(Ka*_xlfn.LOGNORM.DIST((Tabella3[[#This Row],[Day]]-pa),mu_a,sigma_a,FALSE),0)</f>
        <v>0</v>
      </c>
      <c r="AB29" s="90">
        <f>Tabella3[[#This Row],[rest of Italy fit]]/y_a_peak</f>
        <v>0</v>
      </c>
      <c r="AC29" s="10">
        <f>Tabella3[[#This Row],[rest of Italy fit]]*NOT(ISBLANK(Tabella3[[#This Row],[rest of Italy data]]))</f>
        <v>0</v>
      </c>
      <c r="AD29" s="90">
        <f>Tabella3[[#This Row],[rest of Italy fit]]+CIa</f>
        <v>5338.8394351600173</v>
      </c>
      <c r="AE29" s="90">
        <f>MAX(Tabella3[[#This Row],[rest of Italy fit]]-CIa,0)</f>
        <v>0</v>
      </c>
      <c r="AF29" s="1"/>
      <c r="AG29" s="19" t="s">
        <v>62</v>
      </c>
      <c r="AH29" s="105">
        <f>Kl*_xlfn.LOGNORM.DIST(EXP(mu_l-sigma_l^2),mu_l,sigma_l,FALSE)</f>
        <v>1757.954472109541</v>
      </c>
      <c r="AU29" s="62">
        <f>COUNT($AH$33,$AH$34,$AH$35,$AH$44)</f>
        <v>4</v>
      </c>
    </row>
    <row r="30" spans="2:47" x14ac:dyDescent="0.3">
      <c r="B30" s="148">
        <v>43853</v>
      </c>
      <c r="C30" s="4">
        <v>23</v>
      </c>
      <c r="D30" s="10">
        <f>Tabella8[[#This Row],[Spain cum. Cases]]</f>
        <v>0</v>
      </c>
      <c r="E30" s="90">
        <f>(Tabella3[[#This Row],[Spain cumul. Cases]]-D29)</f>
        <v>0</v>
      </c>
      <c r="F30" s="10">
        <f>Tabella3[[#This Row],[Spain daily cases]]*NOT(ISBLANK(Tabella3[[#This Row],[Spain daily cases]]))</f>
        <v>0</v>
      </c>
      <c r="G30" s="90">
        <f>IFERROR(Kf*_xlfn.LOGNORM.DIST((Tabella3[[#This Row],[Day]]-pf),mu_f,sigma_f,FALSE),0)</f>
        <v>0</v>
      </c>
      <c r="H30" s="90">
        <f>Tabella3[[#This Row],[Spain daily cases fit]]/y_f_peak</f>
        <v>0</v>
      </c>
      <c r="I30" s="90">
        <f>Tabella3[[#This Row],[Spain daily cases fit]]*NOT(ISBLANK(Tabella3[[#This Row],[Spain daily cases]]))</f>
        <v>0</v>
      </c>
      <c r="J30" s="90">
        <f>Tabella3[[#This Row],[Spain daily cases fit]]+CIf</f>
        <v>2342.6884176810927</v>
      </c>
      <c r="K30" s="90">
        <f>MAX(Tabella3[[#This Row],[Spain daily cases fit]]-CIf,0)</f>
        <v>0</v>
      </c>
      <c r="L30" s="153"/>
      <c r="M30" s="158"/>
      <c r="N30" s="10">
        <f>Tabella3[[#This Row],[Lombardy data]]*NOT(ISBLANK(Tabella3[[#This Row],[Lombardy data]]))</f>
        <v>0</v>
      </c>
      <c r="O30" s="159">
        <f>Tabella8[[#This Row],[Lombardy fit]]</f>
        <v>0</v>
      </c>
      <c r="P30" s="10">
        <f>Tabella3[[#This Row],[Lombardy cumul. Fit]]/Kl</f>
        <v>0</v>
      </c>
      <c r="Q30" s="90">
        <f>IFERROR(Kl*_xlfn.LOGNORM.DIST((Tabella3[[#This Row],[Day]]-pl),mu_l,sigma_l,FALSE),0)</f>
        <v>0</v>
      </c>
      <c r="R30" s="90">
        <f>Tabella3[[#This Row],[Lombardy fit]]/y_l_peak</f>
        <v>0</v>
      </c>
      <c r="S30" s="10">
        <f>Tabella3[[#This Row],[Lombardy fit]]*NOT(ISBLANK(Tabella3[[#This Row],[Lombardy data]]))</f>
        <v>0</v>
      </c>
      <c r="T30" s="90">
        <f>Tabella3[[#This Row],[Lombardy fit]]+CIl</f>
        <v>2570.3823229164086</v>
      </c>
      <c r="U30" s="90">
        <f>MAX(Tabella3[[#This Row],[Lombardy fit]]-CIl,0)</f>
        <v>0</v>
      </c>
      <c r="V30" s="155"/>
      <c r="W30" s="158"/>
      <c r="X30" s="10">
        <f>Tabella3[[#This Row],[rest of Italy data]]*NOT(ISBLANK(Tabella3[[#This Row],[rest of Italy data]]))</f>
        <v>0</v>
      </c>
      <c r="Y30" s="159">
        <f>Tabella8[[#This Row],[rest of Italy fit]]</f>
        <v>0</v>
      </c>
      <c r="Z30" s="90">
        <f>Tabella3[[#This Row],[rest of Italy cumul. Fit]]/Ka</f>
        <v>0</v>
      </c>
      <c r="AA30" s="90">
        <f>IFERROR(Ka*_xlfn.LOGNORM.DIST((Tabella3[[#This Row],[Day]]-pa),mu_a,sigma_a,FALSE),0)</f>
        <v>0</v>
      </c>
      <c r="AB30" s="90">
        <f>Tabella3[[#This Row],[rest of Italy fit]]/y_a_peak</f>
        <v>0</v>
      </c>
      <c r="AC30" s="10">
        <f>Tabella3[[#This Row],[rest of Italy fit]]*NOT(ISBLANK(Tabella3[[#This Row],[rest of Italy data]]))</f>
        <v>0</v>
      </c>
      <c r="AD30" s="90">
        <f>Tabella3[[#This Row],[rest of Italy fit]]+CIa</f>
        <v>5338.8394351600173</v>
      </c>
      <c r="AE30" s="90">
        <f>MAX(Tabella3[[#This Row],[rest of Italy fit]]-CIa,0)</f>
        <v>0</v>
      </c>
      <c r="AF30" s="1"/>
      <c r="AG30" s="19" t="s">
        <v>43</v>
      </c>
      <c r="AH30" s="34">
        <f>_xlfn.XLOOKUP(ROUND(EXP(mu_l-sigma_l^2)+pl,0),Tabella3[Day],Tabella3[Date])</f>
        <v>43916</v>
      </c>
      <c r="AU30" s="62" t="b">
        <f>pa&lt;=0</f>
        <v>0</v>
      </c>
    </row>
    <row r="31" spans="2:47" x14ac:dyDescent="0.3">
      <c r="B31" s="148">
        <v>43854</v>
      </c>
      <c r="C31" s="4">
        <v>24</v>
      </c>
      <c r="D31" s="10">
        <f>Tabella8[[#This Row],[Spain cum. Cases]]</f>
        <v>0</v>
      </c>
      <c r="E31" s="90">
        <f>(Tabella3[[#This Row],[Spain cumul. Cases]]-D30)</f>
        <v>0</v>
      </c>
      <c r="F31" s="10">
        <f>Tabella3[[#This Row],[Spain daily cases]]*NOT(ISBLANK(Tabella3[[#This Row],[Spain daily cases]]))</f>
        <v>0</v>
      </c>
      <c r="G31" s="90">
        <f>IFERROR(Kf*_xlfn.LOGNORM.DIST((Tabella3[[#This Row],[Day]]-pf),mu_f,sigma_f,FALSE),0)</f>
        <v>0</v>
      </c>
      <c r="H31" s="90">
        <f>Tabella3[[#This Row],[Spain daily cases fit]]/y_f_peak</f>
        <v>0</v>
      </c>
      <c r="I31" s="90">
        <f>Tabella3[[#This Row],[Spain daily cases fit]]*NOT(ISBLANK(Tabella3[[#This Row],[Spain daily cases]]))</f>
        <v>0</v>
      </c>
      <c r="J31" s="90">
        <f>Tabella3[[#This Row],[Spain daily cases fit]]+CIf</f>
        <v>2342.6884176810927</v>
      </c>
      <c r="K31" s="90">
        <f>MAX(Tabella3[[#This Row],[Spain daily cases fit]]-CIf,0)</f>
        <v>0</v>
      </c>
      <c r="L31" s="153"/>
      <c r="M31" s="158"/>
      <c r="N31" s="10">
        <f>Tabella3[[#This Row],[Lombardy data]]*NOT(ISBLANK(Tabella3[[#This Row],[Lombardy data]]))</f>
        <v>0</v>
      </c>
      <c r="O31" s="159">
        <f>Tabella8[[#This Row],[Lombardy fit]]</f>
        <v>0</v>
      </c>
      <c r="P31" s="10">
        <f>Tabella3[[#This Row],[Lombardy cumul. Fit]]/Kl</f>
        <v>0</v>
      </c>
      <c r="Q31" s="90">
        <f>IFERROR(Kl*_xlfn.LOGNORM.DIST((Tabella3[[#This Row],[Day]]-pl),mu_l,sigma_l,FALSE),0)</f>
        <v>0</v>
      </c>
      <c r="R31" s="90">
        <f>Tabella3[[#This Row],[Lombardy fit]]/y_l_peak</f>
        <v>0</v>
      </c>
      <c r="S31" s="10">
        <f>Tabella3[[#This Row],[Lombardy fit]]*NOT(ISBLANK(Tabella3[[#This Row],[Lombardy data]]))</f>
        <v>0</v>
      </c>
      <c r="T31" s="90">
        <f>Tabella3[[#This Row],[Lombardy fit]]+CIl</f>
        <v>2570.3823229164086</v>
      </c>
      <c r="U31" s="90">
        <f>MAX(Tabella3[[#This Row],[Lombardy fit]]-CIl,0)</f>
        <v>0</v>
      </c>
      <c r="V31" s="155"/>
      <c r="W31" s="158"/>
      <c r="X31" s="10">
        <f>Tabella3[[#This Row],[rest of Italy data]]*NOT(ISBLANK(Tabella3[[#This Row],[rest of Italy data]]))</f>
        <v>0</v>
      </c>
      <c r="Y31" s="159">
        <f>Tabella8[[#This Row],[rest of Italy fit]]</f>
        <v>0</v>
      </c>
      <c r="Z31" s="90">
        <f>Tabella3[[#This Row],[rest of Italy cumul. Fit]]/Ka</f>
        <v>0</v>
      </c>
      <c r="AA31" s="90">
        <f>IFERROR(Ka*_xlfn.LOGNORM.DIST((Tabella3[[#This Row],[Day]]-pa),mu_a,sigma_a,FALSE),0)</f>
        <v>0</v>
      </c>
      <c r="AB31" s="90">
        <f>Tabella3[[#This Row],[rest of Italy fit]]/y_a_peak</f>
        <v>0</v>
      </c>
      <c r="AC31" s="10">
        <f>Tabella3[[#This Row],[rest of Italy fit]]*NOT(ISBLANK(Tabella3[[#This Row],[rest of Italy data]]))</f>
        <v>0</v>
      </c>
      <c r="AD31" s="90">
        <f>Tabella3[[#This Row],[rest of Italy fit]]+CIa</f>
        <v>5338.8394351600173</v>
      </c>
      <c r="AE31" s="90">
        <f>MAX(Tabella3[[#This Row],[rest of Italy fit]]-CIa,0)</f>
        <v>0</v>
      </c>
      <c r="AF31" s="1"/>
      <c r="AG31" s="14" t="s">
        <v>74</v>
      </c>
      <c r="AH31" s="150">
        <f>pr</f>
        <v>31.22221573497708</v>
      </c>
      <c r="AU31" s="62" t="b">
        <f>sigma_a&gt;=0.000001</f>
        <v>1</v>
      </c>
    </row>
    <row r="32" spans="2:47" x14ac:dyDescent="0.3">
      <c r="B32" s="148">
        <v>43855</v>
      </c>
      <c r="C32" s="4">
        <v>25</v>
      </c>
      <c r="D32" s="10">
        <f>Tabella8[[#This Row],[Spain cum. Cases]]</f>
        <v>0</v>
      </c>
      <c r="E32" s="90">
        <f>(Tabella3[[#This Row],[Spain cumul. Cases]]-D31)</f>
        <v>0</v>
      </c>
      <c r="F32" s="10">
        <f>Tabella3[[#This Row],[Spain daily cases]]*NOT(ISBLANK(Tabella3[[#This Row],[Spain daily cases]]))</f>
        <v>0</v>
      </c>
      <c r="G32" s="90">
        <f>IFERROR(Kf*_xlfn.LOGNORM.DIST((Tabella3[[#This Row],[Day]]-pf),mu_f,sigma_f,FALSE),0)</f>
        <v>0</v>
      </c>
      <c r="H32" s="90">
        <f>Tabella3[[#This Row],[Spain daily cases fit]]/y_f_peak</f>
        <v>0</v>
      </c>
      <c r="I32" s="90">
        <f>Tabella3[[#This Row],[Spain daily cases fit]]*NOT(ISBLANK(Tabella3[[#This Row],[Spain daily cases]]))</f>
        <v>0</v>
      </c>
      <c r="J32" s="90">
        <f>Tabella3[[#This Row],[Spain daily cases fit]]+CIf</f>
        <v>2342.6884176810927</v>
      </c>
      <c r="K32" s="90">
        <f>MAX(Tabella3[[#This Row],[Spain daily cases fit]]-CIf,0)</f>
        <v>0</v>
      </c>
      <c r="L32" s="153"/>
      <c r="M32" s="158"/>
      <c r="N32" s="10">
        <f>Tabella3[[#This Row],[Lombardy data]]*NOT(ISBLANK(Tabella3[[#This Row],[Lombardy data]]))</f>
        <v>0</v>
      </c>
      <c r="O32" s="159">
        <f>Tabella8[[#This Row],[Lombardy fit]]</f>
        <v>0</v>
      </c>
      <c r="P32" s="10">
        <f>Tabella3[[#This Row],[Lombardy cumul. Fit]]/Kl</f>
        <v>0</v>
      </c>
      <c r="Q32" s="90">
        <f>IFERROR(Kl*_xlfn.LOGNORM.DIST((Tabella3[[#This Row],[Day]]-pl),mu_l,sigma_l,FALSE),0)</f>
        <v>0</v>
      </c>
      <c r="R32" s="90">
        <f>Tabella3[[#This Row],[Lombardy fit]]/y_l_peak</f>
        <v>0</v>
      </c>
      <c r="S32" s="10">
        <f>Tabella3[[#This Row],[Lombardy fit]]*NOT(ISBLANK(Tabella3[[#This Row],[Lombardy data]]))</f>
        <v>0</v>
      </c>
      <c r="T32" s="90">
        <f>Tabella3[[#This Row],[Lombardy fit]]+CIl</f>
        <v>2570.3823229164086</v>
      </c>
      <c r="U32" s="90">
        <f>MAX(Tabella3[[#This Row],[Lombardy fit]]-CIl,0)</f>
        <v>0</v>
      </c>
      <c r="V32" s="155"/>
      <c r="W32" s="158"/>
      <c r="X32" s="10">
        <f>Tabella3[[#This Row],[rest of Italy data]]*NOT(ISBLANK(Tabella3[[#This Row],[rest of Italy data]]))</f>
        <v>0</v>
      </c>
      <c r="Y32" s="159">
        <f>Tabella8[[#This Row],[rest of Italy fit]]</f>
        <v>0</v>
      </c>
      <c r="Z32" s="90">
        <f>Tabella3[[#This Row],[rest of Italy cumul. Fit]]/Ka</f>
        <v>0</v>
      </c>
      <c r="AA32" s="90">
        <f>IFERROR(Ka*_xlfn.LOGNORM.DIST((Tabella3[[#This Row],[Day]]-pa),mu_a,sigma_a,FALSE),0)</f>
        <v>0</v>
      </c>
      <c r="AB32" s="90">
        <f>Tabella3[[#This Row],[rest of Italy fit]]/y_a_peak</f>
        <v>0</v>
      </c>
      <c r="AC32" s="10">
        <f>Tabella3[[#This Row],[rest of Italy fit]]*NOT(ISBLANK(Tabella3[[#This Row],[rest of Italy data]]))</f>
        <v>0</v>
      </c>
      <c r="AD32" s="90">
        <f>Tabella3[[#This Row],[rest of Italy fit]]+CIa</f>
        <v>5338.8394351600173</v>
      </c>
      <c r="AE32" s="90">
        <f>MAX(Tabella3[[#This Row],[rest of Italy fit]]-CIa,0)</f>
        <v>0</v>
      </c>
      <c r="AF32" s="1"/>
      <c r="AG32" s="35" t="s">
        <v>18</v>
      </c>
      <c r="AH32" s="36" t="s">
        <v>34</v>
      </c>
      <c r="AU32" s="62">
        <f>{32767;32767;0.000001;0.01;FALSE;FALSE;FALSE;1;2;1;0.0001;TRUE}</f>
        <v>32767</v>
      </c>
    </row>
    <row r="33" spans="2:47" ht="15" thickBot="1" x14ac:dyDescent="0.35">
      <c r="B33" s="148">
        <v>43856</v>
      </c>
      <c r="C33" s="4">
        <v>26</v>
      </c>
      <c r="D33" s="10">
        <f>Tabella8[[#This Row],[Spain cum. Cases]]</f>
        <v>0</v>
      </c>
      <c r="E33" s="90">
        <f>(Tabella3[[#This Row],[Spain cumul. Cases]]-D32)</f>
        <v>0</v>
      </c>
      <c r="F33" s="10">
        <f>Tabella3[[#This Row],[Spain daily cases]]*NOT(ISBLANK(Tabella3[[#This Row],[Spain daily cases]]))</f>
        <v>0</v>
      </c>
      <c r="G33" s="90">
        <f>IFERROR(Kf*_xlfn.LOGNORM.DIST((Tabella3[[#This Row],[Day]]-pf),mu_f,sigma_f,FALSE),0)</f>
        <v>0</v>
      </c>
      <c r="H33" s="90">
        <f>Tabella3[[#This Row],[Spain daily cases fit]]/y_f_peak</f>
        <v>0</v>
      </c>
      <c r="I33" s="90">
        <f>Tabella3[[#This Row],[Spain daily cases fit]]*NOT(ISBLANK(Tabella3[[#This Row],[Spain daily cases]]))</f>
        <v>0</v>
      </c>
      <c r="J33" s="90">
        <f>Tabella3[[#This Row],[Spain daily cases fit]]+CIf</f>
        <v>2342.6884176810927</v>
      </c>
      <c r="K33" s="90">
        <f>MAX(Tabella3[[#This Row],[Spain daily cases fit]]-CIf,0)</f>
        <v>0</v>
      </c>
      <c r="L33" s="153"/>
      <c r="M33" s="158"/>
      <c r="N33" s="10">
        <f>Tabella3[[#This Row],[Lombardy data]]*NOT(ISBLANK(Tabella3[[#This Row],[Lombardy data]]))</f>
        <v>0</v>
      </c>
      <c r="O33" s="159">
        <f>Tabella8[[#This Row],[Lombardy fit]]</f>
        <v>0</v>
      </c>
      <c r="P33" s="10">
        <f>Tabella3[[#This Row],[Lombardy cumul. Fit]]/Kl</f>
        <v>0</v>
      </c>
      <c r="Q33" s="90">
        <f>IFERROR(Kl*_xlfn.LOGNORM.DIST((Tabella3[[#This Row],[Day]]-pl),mu_l,sigma_l,FALSE),0)</f>
        <v>0</v>
      </c>
      <c r="R33" s="90">
        <f>Tabella3[[#This Row],[Lombardy fit]]/y_l_peak</f>
        <v>0</v>
      </c>
      <c r="S33" s="10">
        <f>Tabella3[[#This Row],[Lombardy fit]]*NOT(ISBLANK(Tabella3[[#This Row],[Lombardy data]]))</f>
        <v>0</v>
      </c>
      <c r="T33" s="90">
        <f>Tabella3[[#This Row],[Lombardy fit]]+CIl</f>
        <v>2570.3823229164086</v>
      </c>
      <c r="U33" s="90">
        <f>MAX(Tabella3[[#This Row],[Lombardy fit]]-CIl,0)</f>
        <v>0</v>
      </c>
      <c r="V33" s="155"/>
      <c r="W33" s="158"/>
      <c r="X33" s="10">
        <f>Tabella3[[#This Row],[rest of Italy data]]*NOT(ISBLANK(Tabella3[[#This Row],[rest of Italy data]]))</f>
        <v>0</v>
      </c>
      <c r="Y33" s="159">
        <f>Tabella8[[#This Row],[rest of Italy fit]]</f>
        <v>0</v>
      </c>
      <c r="Z33" s="90">
        <f>Tabella3[[#This Row],[rest of Italy cumul. Fit]]/Ka</f>
        <v>0</v>
      </c>
      <c r="AA33" s="90">
        <f>IFERROR(Ka*_xlfn.LOGNORM.DIST((Tabella3[[#This Row],[Day]]-pa),mu_a,sigma_a,FALSE),0)</f>
        <v>0</v>
      </c>
      <c r="AB33" s="90">
        <f>Tabella3[[#This Row],[rest of Italy fit]]/y_a_peak</f>
        <v>0</v>
      </c>
      <c r="AC33" s="10">
        <f>Tabella3[[#This Row],[rest of Italy fit]]*NOT(ISBLANK(Tabella3[[#This Row],[rest of Italy data]]))</f>
        <v>0</v>
      </c>
      <c r="AD33" s="90">
        <f>Tabella3[[#This Row],[rest of Italy fit]]+CIa</f>
        <v>5338.8394351600173</v>
      </c>
      <c r="AE33" s="90">
        <f>MAX(Tabella3[[#This Row],[rest of Italy fit]]-CIa,0)</f>
        <v>0</v>
      </c>
      <c r="AF33" s="1"/>
      <c r="AG33" s="14" t="s">
        <v>0</v>
      </c>
      <c r="AH33" s="5">
        <f>Ko</f>
        <v>147999.98277109722</v>
      </c>
      <c r="AU33" s="62">
        <f>{0;0;1;200;0;FALSE;FALSE;0.075;0;0;FALSE;30}</f>
        <v>0</v>
      </c>
    </row>
    <row r="34" spans="2:47" x14ac:dyDescent="0.3">
      <c r="B34" s="148">
        <v>43857</v>
      </c>
      <c r="C34" s="4">
        <v>27</v>
      </c>
      <c r="D34" s="10">
        <f>Tabella8[[#This Row],[Spain cum. Cases]]</f>
        <v>0</v>
      </c>
      <c r="E34" s="90">
        <f>(Tabella3[[#This Row],[Spain cumul. Cases]]-D33)</f>
        <v>0</v>
      </c>
      <c r="F34" s="10">
        <f>Tabella3[[#This Row],[Spain daily cases]]*NOT(ISBLANK(Tabella3[[#This Row],[Spain daily cases]]))</f>
        <v>0</v>
      </c>
      <c r="G34" s="90">
        <f>IFERROR(Kf*_xlfn.LOGNORM.DIST((Tabella3[[#This Row],[Day]]-pf),mu_f,sigma_f,FALSE),0)</f>
        <v>0</v>
      </c>
      <c r="H34" s="90">
        <f>Tabella3[[#This Row],[Spain daily cases fit]]/y_f_peak</f>
        <v>0</v>
      </c>
      <c r="I34" s="90">
        <f>Tabella3[[#This Row],[Spain daily cases fit]]*NOT(ISBLANK(Tabella3[[#This Row],[Spain daily cases]]))</f>
        <v>0</v>
      </c>
      <c r="J34" s="90">
        <f>Tabella3[[#This Row],[Spain daily cases fit]]+CIf</f>
        <v>2342.6884176810927</v>
      </c>
      <c r="K34" s="90">
        <f>MAX(Tabella3[[#This Row],[Spain daily cases fit]]-CIf,0)</f>
        <v>0</v>
      </c>
      <c r="L34" s="153"/>
      <c r="M34" s="158"/>
      <c r="N34" s="10">
        <f>Tabella3[[#This Row],[Lombardy data]]*NOT(ISBLANK(Tabella3[[#This Row],[Lombardy data]]))</f>
        <v>0</v>
      </c>
      <c r="O34" s="159">
        <f>Tabella8[[#This Row],[Lombardy fit]]</f>
        <v>0</v>
      </c>
      <c r="P34" s="10">
        <f>Tabella3[[#This Row],[Lombardy cumul. Fit]]/Kl</f>
        <v>0</v>
      </c>
      <c r="Q34" s="90">
        <f>IFERROR(Kl*_xlfn.LOGNORM.DIST((Tabella3[[#This Row],[Day]]-pl),mu_l,sigma_l,FALSE),0)</f>
        <v>0</v>
      </c>
      <c r="R34" s="90">
        <f>Tabella3[[#This Row],[Lombardy fit]]/y_l_peak</f>
        <v>0</v>
      </c>
      <c r="S34" s="10">
        <f>Tabella3[[#This Row],[Lombardy fit]]*NOT(ISBLANK(Tabella3[[#This Row],[Lombardy data]]))</f>
        <v>0</v>
      </c>
      <c r="T34" s="90">
        <f>Tabella3[[#This Row],[Lombardy fit]]+CIl</f>
        <v>2570.3823229164086</v>
      </c>
      <c r="U34" s="90">
        <f>MAX(Tabella3[[#This Row],[Lombardy fit]]-CIl,0)</f>
        <v>0</v>
      </c>
      <c r="V34" s="155"/>
      <c r="W34" s="158"/>
      <c r="X34" s="10">
        <f>Tabella3[[#This Row],[rest of Italy data]]*NOT(ISBLANK(Tabella3[[#This Row],[rest of Italy data]]))</f>
        <v>0</v>
      </c>
      <c r="Y34" s="159">
        <f>Tabella8[[#This Row],[rest of Italy fit]]</f>
        <v>0</v>
      </c>
      <c r="Z34" s="90">
        <f>Tabella3[[#This Row],[rest of Italy cumul. Fit]]/Ka</f>
        <v>0</v>
      </c>
      <c r="AA34" s="90">
        <f>IFERROR(Ka*_xlfn.LOGNORM.DIST((Tabella3[[#This Row],[Day]]-pa),mu_a,sigma_a,FALSE),0)</f>
        <v>0</v>
      </c>
      <c r="AB34" s="90">
        <f>Tabella3[[#This Row],[rest of Italy fit]]/y_a_peak</f>
        <v>0</v>
      </c>
      <c r="AC34" s="10">
        <f>Tabella3[[#This Row],[rest of Italy fit]]*NOT(ISBLANK(Tabella3[[#This Row],[rest of Italy data]]))</f>
        <v>0</v>
      </c>
      <c r="AD34" s="90">
        <f>Tabella3[[#This Row],[rest of Italy fit]]+CIa</f>
        <v>5338.8394351600173</v>
      </c>
      <c r="AE34" s="90">
        <f>MAX(Tabella3[[#This Row],[rest of Italy fit]]-CIa,0)</f>
        <v>0</v>
      </c>
      <c r="AF34" s="1"/>
      <c r="AG34" s="101" t="s">
        <v>63</v>
      </c>
      <c r="AH34" s="30">
        <f>mu_o</f>
        <v>4.0471265119141284</v>
      </c>
      <c r="AU34" s="63"/>
    </row>
    <row r="35" spans="2:47" x14ac:dyDescent="0.3">
      <c r="B35" s="148">
        <v>43858</v>
      </c>
      <c r="C35" s="4">
        <v>28</v>
      </c>
      <c r="D35" s="10">
        <f>Tabella8[[#This Row],[Spain cum. Cases]]</f>
        <v>0</v>
      </c>
      <c r="E35" s="90">
        <f>(Tabella3[[#This Row],[Spain cumul. Cases]]-D34)</f>
        <v>0</v>
      </c>
      <c r="F35" s="10">
        <f>Tabella3[[#This Row],[Spain daily cases]]*NOT(ISBLANK(Tabella3[[#This Row],[Spain daily cases]]))</f>
        <v>0</v>
      </c>
      <c r="G35" s="90">
        <f>IFERROR(Kf*_xlfn.LOGNORM.DIST((Tabella3[[#This Row],[Day]]-pf),mu_f,sigma_f,FALSE),0)</f>
        <v>0</v>
      </c>
      <c r="H35" s="90">
        <f>Tabella3[[#This Row],[Spain daily cases fit]]/y_f_peak</f>
        <v>0</v>
      </c>
      <c r="I35" s="90">
        <f>Tabella3[[#This Row],[Spain daily cases fit]]*NOT(ISBLANK(Tabella3[[#This Row],[Spain daily cases]]))</f>
        <v>0</v>
      </c>
      <c r="J35" s="90">
        <f>Tabella3[[#This Row],[Spain daily cases fit]]+CIf</f>
        <v>2342.6884176810927</v>
      </c>
      <c r="K35" s="90">
        <f>MAX(Tabella3[[#This Row],[Spain daily cases fit]]-CIf,0)</f>
        <v>0</v>
      </c>
      <c r="L35" s="153"/>
      <c r="M35" s="158"/>
      <c r="N35" s="10">
        <f>Tabella3[[#This Row],[Lombardy data]]*NOT(ISBLANK(Tabella3[[#This Row],[Lombardy data]]))</f>
        <v>0</v>
      </c>
      <c r="O35" s="159">
        <f>Tabella8[[#This Row],[Lombardy fit]]</f>
        <v>0</v>
      </c>
      <c r="P35" s="10">
        <f>Tabella3[[#This Row],[Lombardy cumul. Fit]]/Kl</f>
        <v>0</v>
      </c>
      <c r="Q35" s="90">
        <f>IFERROR(Kl*_xlfn.LOGNORM.DIST((Tabella3[[#This Row],[Day]]-pl),mu_l,sigma_l,FALSE),0)</f>
        <v>0</v>
      </c>
      <c r="R35" s="90">
        <f>Tabella3[[#This Row],[Lombardy fit]]/y_l_peak</f>
        <v>0</v>
      </c>
      <c r="S35" s="10">
        <f>Tabella3[[#This Row],[Lombardy fit]]*NOT(ISBLANK(Tabella3[[#This Row],[Lombardy data]]))</f>
        <v>0</v>
      </c>
      <c r="T35" s="90">
        <f>Tabella3[[#This Row],[Lombardy fit]]+CIl</f>
        <v>2570.3823229164086</v>
      </c>
      <c r="U35" s="90">
        <f>MAX(Tabella3[[#This Row],[Lombardy fit]]-CIl,0)</f>
        <v>0</v>
      </c>
      <c r="V35" s="155"/>
      <c r="W35" s="158"/>
      <c r="X35" s="10">
        <f>Tabella3[[#This Row],[rest of Italy data]]*NOT(ISBLANK(Tabella3[[#This Row],[rest of Italy data]]))</f>
        <v>0</v>
      </c>
      <c r="Y35" s="159">
        <f>Tabella8[[#This Row],[rest of Italy fit]]</f>
        <v>0</v>
      </c>
      <c r="Z35" s="90">
        <f>Tabella3[[#This Row],[rest of Italy cumul. Fit]]/Ka</f>
        <v>0</v>
      </c>
      <c r="AA35" s="90">
        <f>IFERROR(Ka*_xlfn.LOGNORM.DIST((Tabella3[[#This Row],[Day]]-pa),mu_a,sigma_a,FALSE),0)</f>
        <v>0</v>
      </c>
      <c r="AB35" s="90">
        <f>Tabella3[[#This Row],[rest of Italy fit]]/y_a_peak</f>
        <v>0</v>
      </c>
      <c r="AC35" s="10">
        <f>Tabella3[[#This Row],[rest of Italy fit]]*NOT(ISBLANK(Tabella3[[#This Row],[rest of Italy data]]))</f>
        <v>0</v>
      </c>
      <c r="AD35" s="90">
        <f>Tabella3[[#This Row],[rest of Italy fit]]+CIa</f>
        <v>5338.8394351600173</v>
      </c>
      <c r="AE35" s="90">
        <f>MAX(Tabella3[[#This Row],[rest of Italy fit]]-CIa,0)</f>
        <v>0</v>
      </c>
      <c r="AG35" s="14" t="s">
        <v>64</v>
      </c>
      <c r="AH35" s="30">
        <f>sigma_o</f>
        <v>0.32148638864951307</v>
      </c>
      <c r="AK35" s="1"/>
      <c r="AU35" s="59"/>
    </row>
    <row r="36" spans="2:47" x14ac:dyDescent="0.3">
      <c r="B36" s="148">
        <v>43859</v>
      </c>
      <c r="C36" s="4">
        <v>29</v>
      </c>
      <c r="D36" s="10">
        <f>Tabella8[[#This Row],[Spain cum. Cases]]</f>
        <v>0</v>
      </c>
      <c r="E36" s="90">
        <f>(Tabella3[[#This Row],[Spain cumul. Cases]]-D35)</f>
        <v>0</v>
      </c>
      <c r="F36" s="10">
        <f>Tabella3[[#This Row],[Spain daily cases]]*NOT(ISBLANK(Tabella3[[#This Row],[Spain daily cases]]))</f>
        <v>0</v>
      </c>
      <c r="G36" s="90">
        <f>IFERROR(Kf*_xlfn.LOGNORM.DIST((Tabella3[[#This Row],[Day]]-pf),mu_f,sigma_f,FALSE),0)</f>
        <v>0</v>
      </c>
      <c r="H36" s="90">
        <f>Tabella3[[#This Row],[Spain daily cases fit]]/y_f_peak</f>
        <v>0</v>
      </c>
      <c r="I36" s="90">
        <f>Tabella3[[#This Row],[Spain daily cases fit]]*NOT(ISBLANK(Tabella3[[#This Row],[Spain daily cases]]))</f>
        <v>0</v>
      </c>
      <c r="J36" s="90">
        <f>Tabella3[[#This Row],[Spain daily cases fit]]+CIf</f>
        <v>2342.6884176810927</v>
      </c>
      <c r="K36" s="90">
        <f>MAX(Tabella3[[#This Row],[Spain daily cases fit]]-CIf,0)</f>
        <v>0</v>
      </c>
      <c r="L36" s="153"/>
      <c r="M36" s="158"/>
      <c r="N36" s="10">
        <f>Tabella3[[#This Row],[Lombardy data]]*NOT(ISBLANK(Tabella3[[#This Row],[Lombardy data]]))</f>
        <v>0</v>
      </c>
      <c r="O36" s="159">
        <f>Tabella8[[#This Row],[Lombardy fit]]</f>
        <v>0</v>
      </c>
      <c r="P36" s="10">
        <f>Tabella3[[#This Row],[Lombardy cumul. Fit]]/Kl</f>
        <v>0</v>
      </c>
      <c r="Q36" s="90">
        <f>IFERROR(Kl*_xlfn.LOGNORM.DIST((Tabella3[[#This Row],[Day]]-pl),mu_l,sigma_l,FALSE),0)</f>
        <v>0</v>
      </c>
      <c r="R36" s="90">
        <f>Tabella3[[#This Row],[Lombardy fit]]/y_l_peak</f>
        <v>0</v>
      </c>
      <c r="S36" s="10">
        <f>Tabella3[[#This Row],[Lombardy fit]]*NOT(ISBLANK(Tabella3[[#This Row],[Lombardy data]]))</f>
        <v>0</v>
      </c>
      <c r="T36" s="90">
        <f>Tabella3[[#This Row],[Lombardy fit]]+CIl</f>
        <v>2570.3823229164086</v>
      </c>
      <c r="U36" s="90">
        <f>MAX(Tabella3[[#This Row],[Lombardy fit]]-CIl,0)</f>
        <v>0</v>
      </c>
      <c r="V36" s="155"/>
      <c r="W36" s="158"/>
      <c r="X36" s="10">
        <f>Tabella3[[#This Row],[rest of Italy data]]*NOT(ISBLANK(Tabella3[[#This Row],[rest of Italy data]]))</f>
        <v>0</v>
      </c>
      <c r="Y36" s="159">
        <f>Tabella8[[#This Row],[rest of Italy fit]]</f>
        <v>0</v>
      </c>
      <c r="Z36" s="90">
        <f>Tabella3[[#This Row],[rest of Italy cumul. Fit]]/Ka</f>
        <v>0</v>
      </c>
      <c r="AA36" s="90">
        <f>IFERROR(Ka*_xlfn.LOGNORM.DIST((Tabella3[[#This Row],[Day]]-pa),mu_a,sigma_a,FALSE),0)</f>
        <v>0</v>
      </c>
      <c r="AB36" s="90">
        <f>Tabella3[[#This Row],[rest of Italy fit]]/y_a_peak</f>
        <v>0</v>
      </c>
      <c r="AC36" s="10">
        <f>Tabella3[[#This Row],[rest of Italy fit]]*NOT(ISBLANK(Tabella3[[#This Row],[rest of Italy data]]))</f>
        <v>0</v>
      </c>
      <c r="AD36" s="90">
        <f>Tabella3[[#This Row],[rest of Italy fit]]+CIa</f>
        <v>5338.8394351600173</v>
      </c>
      <c r="AE36" s="90">
        <f>MAX(Tabella3[[#This Row],[rest of Italy fit]]-CIa,0)</f>
        <v>0</v>
      </c>
      <c r="AG36" s="2" t="s">
        <v>1</v>
      </c>
      <c r="AH36" s="6">
        <f>AVERAGE(Tabella3[rest of Italy data])</f>
        <v>3626.96875</v>
      </c>
      <c r="AU36" s="59"/>
    </row>
    <row r="37" spans="2:47" x14ac:dyDescent="0.3">
      <c r="B37" s="148">
        <v>43860</v>
      </c>
      <c r="C37" s="4">
        <v>30</v>
      </c>
      <c r="D37" s="10">
        <f>Tabella8[[#This Row],[Spain cum. Cases]]</f>
        <v>0</v>
      </c>
      <c r="E37" s="90">
        <f>(Tabella3[[#This Row],[Spain cumul. Cases]]-D36)</f>
        <v>0</v>
      </c>
      <c r="F37" s="10">
        <f>Tabella3[[#This Row],[Spain daily cases]]*NOT(ISBLANK(Tabella3[[#This Row],[Spain daily cases]]))</f>
        <v>0</v>
      </c>
      <c r="G37" s="90">
        <f>IFERROR(Kf*_xlfn.LOGNORM.DIST((Tabella3[[#This Row],[Day]]-pf),mu_f,sigma_f,FALSE),0)</f>
        <v>0</v>
      </c>
      <c r="H37" s="90">
        <f>Tabella3[[#This Row],[Spain daily cases fit]]/y_f_peak</f>
        <v>0</v>
      </c>
      <c r="I37" s="90">
        <f>Tabella3[[#This Row],[Spain daily cases fit]]*NOT(ISBLANK(Tabella3[[#This Row],[Spain daily cases]]))</f>
        <v>0</v>
      </c>
      <c r="J37" s="90">
        <f>Tabella3[[#This Row],[Spain daily cases fit]]+CIf</f>
        <v>2342.6884176810927</v>
      </c>
      <c r="K37" s="90">
        <f>MAX(Tabella3[[#This Row],[Spain daily cases fit]]-CIf,0)</f>
        <v>0</v>
      </c>
      <c r="L37" s="153"/>
      <c r="M37" s="158"/>
      <c r="N37" s="10">
        <f>Tabella3[[#This Row],[Lombardy data]]*NOT(ISBLANK(Tabella3[[#This Row],[Lombardy data]]))</f>
        <v>0</v>
      </c>
      <c r="O37" s="159">
        <f>Tabella8[[#This Row],[Lombardy fit]]</f>
        <v>0</v>
      </c>
      <c r="P37" s="10">
        <f>Tabella3[[#This Row],[Lombardy cumul. Fit]]/Kl</f>
        <v>0</v>
      </c>
      <c r="Q37" s="90">
        <f>IFERROR(Kl*_xlfn.LOGNORM.DIST((Tabella3[[#This Row],[Day]]-pl),mu_l,sigma_l,FALSE),0)</f>
        <v>0</v>
      </c>
      <c r="R37" s="90">
        <f>Tabella3[[#This Row],[Lombardy fit]]/y_l_peak</f>
        <v>0</v>
      </c>
      <c r="S37" s="10">
        <f>Tabella3[[#This Row],[Lombardy fit]]*NOT(ISBLANK(Tabella3[[#This Row],[Lombardy data]]))</f>
        <v>0</v>
      </c>
      <c r="T37" s="90">
        <f>Tabella3[[#This Row],[Lombardy fit]]+CIl</f>
        <v>2570.3823229164086</v>
      </c>
      <c r="U37" s="90">
        <f>MAX(Tabella3[[#This Row],[Lombardy fit]]-CIl,0)</f>
        <v>0</v>
      </c>
      <c r="V37" s="155"/>
      <c r="W37" s="158"/>
      <c r="X37" s="10">
        <f>Tabella3[[#This Row],[rest of Italy data]]*NOT(ISBLANK(Tabella3[[#This Row],[rest of Italy data]]))</f>
        <v>0</v>
      </c>
      <c r="Y37" s="159">
        <f>Tabella8[[#This Row],[rest of Italy fit]]</f>
        <v>0</v>
      </c>
      <c r="Z37" s="90">
        <f>Tabella3[[#This Row],[rest of Italy cumul. Fit]]/Ka</f>
        <v>0</v>
      </c>
      <c r="AA37" s="90">
        <f>IFERROR(Ka*_xlfn.LOGNORM.DIST((Tabella3[[#This Row],[Day]]-pa),mu_a,sigma_a,FALSE),0)</f>
        <v>0</v>
      </c>
      <c r="AB37" s="90">
        <f>Tabella3[[#This Row],[rest of Italy fit]]/y_a_peak</f>
        <v>0</v>
      </c>
      <c r="AC37" s="10">
        <f>Tabella3[[#This Row],[rest of Italy fit]]*NOT(ISBLANK(Tabella3[[#This Row],[rest of Italy data]]))</f>
        <v>0</v>
      </c>
      <c r="AD37" s="90">
        <f>Tabella3[[#This Row],[rest of Italy fit]]+CIa</f>
        <v>5338.8394351600173</v>
      </c>
      <c r="AE37" s="90">
        <f>MAX(Tabella3[[#This Row],[rest of Italy fit]]-CIa,0)</f>
        <v>0</v>
      </c>
      <c r="AG37" s="2" t="s">
        <v>2</v>
      </c>
      <c r="AH37" s="1">
        <f>COUNT(Tabella3[rest of Italy data])-COUNT(AH33:AH35)</f>
        <v>61</v>
      </c>
      <c r="AU37" s="59"/>
    </row>
    <row r="38" spans="2:47" x14ac:dyDescent="0.3">
      <c r="B38" s="148">
        <v>43861</v>
      </c>
      <c r="C38" s="4">
        <v>31</v>
      </c>
      <c r="D38" s="10">
        <f>Tabella8[[#This Row],[Spain cum. Cases]]</f>
        <v>0</v>
      </c>
      <c r="E38" s="90">
        <f>(Tabella3[[#This Row],[Spain cumul. Cases]]-D37)</f>
        <v>0</v>
      </c>
      <c r="F38" s="10">
        <f>Tabella3[[#This Row],[Spain daily cases]]*NOT(ISBLANK(Tabella3[[#This Row],[Spain daily cases]]))</f>
        <v>0</v>
      </c>
      <c r="G38" s="90">
        <f>IFERROR(Kf*_xlfn.LOGNORM.DIST((Tabella3[[#This Row],[Day]]-pf),mu_f,sigma_f,FALSE),0)</f>
        <v>0</v>
      </c>
      <c r="H38" s="90">
        <f>Tabella3[[#This Row],[Spain daily cases fit]]/y_f_peak</f>
        <v>0</v>
      </c>
      <c r="I38" s="90">
        <f>Tabella3[[#This Row],[Spain daily cases fit]]*NOT(ISBLANK(Tabella3[[#This Row],[Spain daily cases]]))</f>
        <v>0</v>
      </c>
      <c r="J38" s="90">
        <f>Tabella3[[#This Row],[Spain daily cases fit]]+CIf</f>
        <v>2342.6884176810927</v>
      </c>
      <c r="K38" s="90">
        <f>MAX(Tabella3[[#This Row],[Spain daily cases fit]]-CIf,0)</f>
        <v>0</v>
      </c>
      <c r="L38" s="153"/>
      <c r="M38" s="158"/>
      <c r="N38" s="10">
        <f>Tabella3[[#This Row],[Lombardy data]]*NOT(ISBLANK(Tabella3[[#This Row],[Lombardy data]]))</f>
        <v>0</v>
      </c>
      <c r="O38" s="159">
        <f>Tabella8[[#This Row],[Lombardy fit]]</f>
        <v>0</v>
      </c>
      <c r="P38" s="10">
        <f>Tabella3[[#This Row],[Lombardy cumul. Fit]]/Kl</f>
        <v>0</v>
      </c>
      <c r="Q38" s="90">
        <f>IFERROR(Kl*_xlfn.LOGNORM.DIST((Tabella3[[#This Row],[Day]]-pl),mu_l,sigma_l,FALSE),0)</f>
        <v>0</v>
      </c>
      <c r="R38" s="90">
        <f>Tabella3[[#This Row],[Lombardy fit]]/y_l_peak</f>
        <v>0</v>
      </c>
      <c r="S38" s="10">
        <f>Tabella3[[#This Row],[Lombardy fit]]*NOT(ISBLANK(Tabella3[[#This Row],[Lombardy data]]))</f>
        <v>0</v>
      </c>
      <c r="T38" s="90">
        <f>Tabella3[[#This Row],[Lombardy fit]]+CIl</f>
        <v>2570.3823229164086</v>
      </c>
      <c r="U38" s="90">
        <f>MAX(Tabella3[[#This Row],[Lombardy fit]]-CIl,0)</f>
        <v>0</v>
      </c>
      <c r="V38" s="155"/>
      <c r="W38" s="158"/>
      <c r="X38" s="10">
        <f>Tabella3[[#This Row],[rest of Italy data]]*NOT(ISBLANK(Tabella3[[#This Row],[rest of Italy data]]))</f>
        <v>0</v>
      </c>
      <c r="Y38" s="159">
        <f>Tabella8[[#This Row],[rest of Italy fit]]</f>
        <v>0</v>
      </c>
      <c r="Z38" s="90">
        <f>Tabella3[[#This Row],[rest of Italy cumul. Fit]]/Ka</f>
        <v>0</v>
      </c>
      <c r="AA38" s="90">
        <f>IFERROR(Ka*_xlfn.LOGNORM.DIST((Tabella3[[#This Row],[Day]]-pa),mu_a,sigma_a,FALSE),0)</f>
        <v>0</v>
      </c>
      <c r="AB38" s="90">
        <f>Tabella3[[#This Row],[rest of Italy fit]]/y_a_peak</f>
        <v>0</v>
      </c>
      <c r="AC38" s="10">
        <f>Tabella3[[#This Row],[rest of Italy fit]]*NOT(ISBLANK(Tabella3[[#This Row],[rest of Italy data]]))</f>
        <v>0</v>
      </c>
      <c r="AD38" s="90">
        <f>Tabella3[[#This Row],[rest of Italy fit]]+CIa</f>
        <v>5338.8394351600173</v>
      </c>
      <c r="AE38" s="90">
        <f>MAX(Tabella3[[#This Row],[rest of Italy fit]]-CIa,0)</f>
        <v>0</v>
      </c>
      <c r="AG38" s="2" t="s">
        <v>3</v>
      </c>
      <c r="AH38" s="6" cm="1">
        <f t="array" ref="AH38">SQRT(SUM((Tabella3[Colonna33]-Tabella3[Colonna322])^2)/dfa)</f>
        <v>2669.9222169724139</v>
      </c>
      <c r="AU38" s="59"/>
    </row>
    <row r="39" spans="2:47" ht="16.2" x14ac:dyDescent="0.3">
      <c r="B39" s="148">
        <v>43862</v>
      </c>
      <c r="C39" s="4">
        <v>32</v>
      </c>
      <c r="D39" s="10">
        <f>Tabella8[[#This Row],[Spain cum. Cases]]</f>
        <v>1</v>
      </c>
      <c r="E39" s="90">
        <f>(Tabella3[[#This Row],[Spain cumul. Cases]]-D38)</f>
        <v>1</v>
      </c>
      <c r="F39" s="10">
        <f>Tabella3[[#This Row],[Spain daily cases]]*NOT(ISBLANK(Tabella3[[#This Row],[Spain daily cases]]))</f>
        <v>1</v>
      </c>
      <c r="G39" s="90">
        <f>IFERROR(Kf*_xlfn.LOGNORM.DIST((Tabella3[[#This Row],[Day]]-pf),mu_f,sigma_f,FALSE),0)</f>
        <v>0</v>
      </c>
      <c r="H39" s="90">
        <f>Tabella3[[#This Row],[Spain daily cases fit]]/y_f_peak</f>
        <v>0</v>
      </c>
      <c r="I39" s="90">
        <f>Tabella3[[#This Row],[Spain daily cases fit]]*NOT(ISBLANK(Tabella3[[#This Row],[Spain daily cases]]))</f>
        <v>0</v>
      </c>
      <c r="J39" s="90">
        <f>Tabella3[[#This Row],[Spain daily cases fit]]+CIf</f>
        <v>2342.6884176810927</v>
      </c>
      <c r="K39" s="90">
        <f>MAX(Tabella3[[#This Row],[Spain daily cases fit]]-CIf,0)</f>
        <v>0</v>
      </c>
      <c r="L39" s="153"/>
      <c r="M39" s="158"/>
      <c r="N39" s="10">
        <f>Tabella3[[#This Row],[Lombardy data]]*NOT(ISBLANK(Tabella3[[#This Row],[Lombardy data]]))</f>
        <v>0</v>
      </c>
      <c r="O39" s="159">
        <f>Tabella8[[#This Row],[Lombardy fit]]</f>
        <v>4.5004674482023335E-33</v>
      </c>
      <c r="P39" s="10">
        <f>Tabella3[[#This Row],[Lombardy cumul. Fit]]/Kl</f>
        <v>5.1729510898877396E-38</v>
      </c>
      <c r="Q39" s="90">
        <f>IFERROR(Kl*_xlfn.LOGNORM.DIST((Tabella3[[#This Row],[Day]]-pl),mu_l,sigma_l,FALSE),0)</f>
        <v>2.194779593411024E-31</v>
      </c>
      <c r="R39" s="90">
        <f>Tabella3[[#This Row],[Lombardy fit]]/y_l_peak</f>
        <v>1.2484848886770623E-34</v>
      </c>
      <c r="S39" s="10">
        <f>Tabella3[[#This Row],[Lombardy fit]]*NOT(ISBLANK(Tabella3[[#This Row],[Lombardy data]]))</f>
        <v>0</v>
      </c>
      <c r="T39" s="90">
        <f>Tabella3[[#This Row],[Lombardy fit]]+CIl</f>
        <v>2570.3823229164086</v>
      </c>
      <c r="U39" s="90">
        <f>MAX(Tabella3[[#This Row],[Lombardy fit]]-CIl,0)</f>
        <v>0</v>
      </c>
      <c r="V39" s="155"/>
      <c r="W39" s="158"/>
      <c r="X39" s="10">
        <f>Tabella3[[#This Row],[rest of Italy data]]*NOT(ISBLANK(Tabella3[[#This Row],[rest of Italy data]]))</f>
        <v>0</v>
      </c>
      <c r="Y39" s="159">
        <f>Tabella8[[#This Row],[rest of Italy fit]]</f>
        <v>0</v>
      </c>
      <c r="Z39" s="90">
        <f>Tabella3[[#This Row],[rest of Italy cumul. Fit]]/Ka</f>
        <v>0</v>
      </c>
      <c r="AA39" s="90">
        <f>IFERROR(Ka*_xlfn.LOGNORM.DIST((Tabella3[[#This Row],[Day]]-pa),mu_a,sigma_a,FALSE),0)</f>
        <v>0</v>
      </c>
      <c r="AB39" s="90">
        <f>Tabella3[[#This Row],[rest of Italy fit]]/y_a_peak</f>
        <v>0</v>
      </c>
      <c r="AC39" s="10">
        <f>Tabella3[[#This Row],[rest of Italy fit]]*NOT(ISBLANK(Tabella3[[#This Row],[rest of Italy data]]))</f>
        <v>0</v>
      </c>
      <c r="AD39" s="90">
        <f>Tabella3[[#This Row],[rest of Italy fit]]+CIa</f>
        <v>5338.8394351600173</v>
      </c>
      <c r="AE39" s="90">
        <f>MAX(Tabella3[[#This Row],[rest of Italy fit]]-CIa,0)</f>
        <v>0</v>
      </c>
      <c r="AG39" s="2" t="s">
        <v>4</v>
      </c>
      <c r="AH39" s="7" cm="1">
        <f t="array" ref="AH39">1-SUM((Tabella3[Colonna33]-Tabella3[Colonna322])^2)/SUM((Tabella3[Colonna33]-Mean_of_ya)^2)</f>
        <v>0.86752460367068851</v>
      </c>
      <c r="AU39" s="59"/>
    </row>
    <row r="40" spans="2:47" x14ac:dyDescent="0.3">
      <c r="B40" s="148">
        <v>43863</v>
      </c>
      <c r="C40" s="4">
        <v>33</v>
      </c>
      <c r="D40" s="10">
        <f>Tabella8[[#This Row],[Spain cum. Cases]]</f>
        <v>1</v>
      </c>
      <c r="E40" s="90">
        <f>(Tabella3[[#This Row],[Spain cumul. Cases]]-D39)</f>
        <v>0</v>
      </c>
      <c r="F40" s="10">
        <f>Tabella3[[#This Row],[Spain daily cases]]*NOT(ISBLANK(Tabella3[[#This Row],[Spain daily cases]]))</f>
        <v>0</v>
      </c>
      <c r="G40" s="90">
        <f>IFERROR(Kf*_xlfn.LOGNORM.DIST((Tabella3[[#This Row],[Day]]-pf),mu_f,sigma_f,FALSE),0)</f>
        <v>0</v>
      </c>
      <c r="H40" s="90">
        <f>Tabella3[[#This Row],[Spain daily cases fit]]/y_f_peak</f>
        <v>0</v>
      </c>
      <c r="I40" s="90">
        <f>Tabella3[[#This Row],[Spain daily cases fit]]*NOT(ISBLANK(Tabella3[[#This Row],[Spain daily cases]]))</f>
        <v>0</v>
      </c>
      <c r="J40" s="90">
        <f>Tabella3[[#This Row],[Spain daily cases fit]]+CIf</f>
        <v>2342.6884176810927</v>
      </c>
      <c r="K40" s="90">
        <f>MAX(Tabella3[[#This Row],[Spain daily cases fit]]-CIf,0)</f>
        <v>0</v>
      </c>
      <c r="L40" s="153"/>
      <c r="M40" s="158"/>
      <c r="N40" s="10">
        <f>Tabella3[[#This Row],[Lombardy data]]*NOT(ISBLANK(Tabella3[[#This Row],[Lombardy data]]))</f>
        <v>0</v>
      </c>
      <c r="O40" s="159">
        <f>Tabella8[[#This Row],[Lombardy fit]]</f>
        <v>9.982998313231629E-21</v>
      </c>
      <c r="P40" s="10">
        <f>Tabella3[[#This Row],[Lombardy cumul. Fit]]/Kl</f>
        <v>1.1474710704863941E-25</v>
      </c>
      <c r="Q40" s="90">
        <f>IFERROR(Kl*_xlfn.LOGNORM.DIST((Tabella3[[#This Row],[Day]]-pl),mu_l,sigma_l,FALSE),0)</f>
        <v>1.7322845421536119E-19</v>
      </c>
      <c r="R40" s="90">
        <f>Tabella3[[#This Row],[Lombardy fit]]/y_l_peak</f>
        <v>9.8539784143264793E-23</v>
      </c>
      <c r="S40" s="10">
        <f>Tabella3[[#This Row],[Lombardy fit]]*NOT(ISBLANK(Tabella3[[#This Row],[Lombardy data]]))</f>
        <v>0</v>
      </c>
      <c r="T40" s="90">
        <f>Tabella3[[#This Row],[Lombardy fit]]+CIl</f>
        <v>2570.3823229164086</v>
      </c>
      <c r="U40" s="90">
        <f>MAX(Tabella3[[#This Row],[Lombardy fit]]-CIl,0)</f>
        <v>0</v>
      </c>
      <c r="V40" s="155"/>
      <c r="W40" s="158"/>
      <c r="X40" s="10">
        <f>Tabella3[[#This Row],[rest of Italy data]]*NOT(ISBLANK(Tabella3[[#This Row],[rest of Italy data]]))</f>
        <v>0</v>
      </c>
      <c r="Y40" s="159">
        <f>Tabella8[[#This Row],[rest of Italy fit]]</f>
        <v>0</v>
      </c>
      <c r="Z40" s="90">
        <f>Tabella3[[#This Row],[rest of Italy cumul. Fit]]/Ka</f>
        <v>0</v>
      </c>
      <c r="AA40" s="90">
        <f>IFERROR(Ka*_xlfn.LOGNORM.DIST((Tabella3[[#This Row],[Day]]-pa),mu_a,sigma_a,FALSE),0)</f>
        <v>0</v>
      </c>
      <c r="AB40" s="90">
        <f>Tabella3[[#This Row],[rest of Italy fit]]/y_a_peak</f>
        <v>0</v>
      </c>
      <c r="AC40" s="10">
        <f>Tabella3[[#This Row],[rest of Italy fit]]*NOT(ISBLANK(Tabella3[[#This Row],[rest of Italy data]]))</f>
        <v>0</v>
      </c>
      <c r="AD40" s="90">
        <f>Tabella3[[#This Row],[rest of Italy fit]]+CIa</f>
        <v>5338.8394351600173</v>
      </c>
      <c r="AE40" s="90">
        <f>MAX(Tabella3[[#This Row],[rest of Italy fit]]-CIa,0)</f>
        <v>0</v>
      </c>
      <c r="AG40" s="2" t="s">
        <v>5</v>
      </c>
      <c r="AH40" s="7">
        <f>TINV(0.05,dfa)</f>
        <v>1.9996235849949404</v>
      </c>
      <c r="AU40" s="59"/>
    </row>
    <row r="41" spans="2:47" x14ac:dyDescent="0.3">
      <c r="B41" s="148">
        <v>43864</v>
      </c>
      <c r="C41" s="4">
        <v>34</v>
      </c>
      <c r="D41" s="10">
        <f>Tabella8[[#This Row],[Spain cum. Cases]]</f>
        <v>1</v>
      </c>
      <c r="E41" s="90">
        <f>(Tabella3[[#This Row],[Spain cumul. Cases]]-D40)</f>
        <v>0</v>
      </c>
      <c r="F41" s="10">
        <f>Tabella3[[#This Row],[Spain daily cases]]*NOT(ISBLANK(Tabella3[[#This Row],[Spain daily cases]]))</f>
        <v>0</v>
      </c>
      <c r="G41" s="90">
        <f>IFERROR(Kf*_xlfn.LOGNORM.DIST((Tabella3[[#This Row],[Day]]-pf),mu_f,sigma_f,FALSE),0)</f>
        <v>0</v>
      </c>
      <c r="H41" s="90">
        <f>Tabella3[[#This Row],[Spain daily cases fit]]/y_f_peak</f>
        <v>0</v>
      </c>
      <c r="I41" s="90">
        <f>Tabella3[[#This Row],[Spain daily cases fit]]*NOT(ISBLANK(Tabella3[[#This Row],[Spain daily cases]]))</f>
        <v>0</v>
      </c>
      <c r="J41" s="90">
        <f>Tabella3[[#This Row],[Spain daily cases fit]]+CIf</f>
        <v>2342.6884176810927</v>
      </c>
      <c r="K41" s="90">
        <f>MAX(Tabella3[[#This Row],[Spain daily cases fit]]-CIf,0)</f>
        <v>0</v>
      </c>
      <c r="L41" s="153"/>
      <c r="M41" s="158"/>
      <c r="N41" s="10">
        <f>Tabella3[[#This Row],[Lombardy data]]*NOT(ISBLANK(Tabella3[[#This Row],[Lombardy data]]))</f>
        <v>0</v>
      </c>
      <c r="O41" s="159">
        <f>Tabella8[[#This Row],[Lombardy fit]]</f>
        <v>4.0616974750038979E-15</v>
      </c>
      <c r="P41" s="10">
        <f>Tabella3[[#This Row],[Lombardy cumul. Fit]]/Kl</f>
        <v>4.6686177873608025E-20</v>
      </c>
      <c r="Q41" s="90">
        <f>IFERROR(Kl*_xlfn.LOGNORM.DIST((Tabella3[[#This Row],[Day]]-pl),mu_l,sigma_l,FALSE),0)</f>
        <v>3.9532398639963845E-14</v>
      </c>
      <c r="R41" s="90">
        <f>Tabella3[[#This Row],[Lombardy fit]]/y_l_peak</f>
        <v>2.2487726085718856E-17</v>
      </c>
      <c r="S41" s="10">
        <f>Tabella3[[#This Row],[Lombardy fit]]*NOT(ISBLANK(Tabella3[[#This Row],[Lombardy data]]))</f>
        <v>0</v>
      </c>
      <c r="T41" s="90">
        <f>Tabella3[[#This Row],[Lombardy fit]]+CIl</f>
        <v>2570.3823229164086</v>
      </c>
      <c r="U41" s="90">
        <f>MAX(Tabella3[[#This Row],[Lombardy fit]]-CIl,0)</f>
        <v>0</v>
      </c>
      <c r="V41" s="155"/>
      <c r="W41" s="158"/>
      <c r="X41" s="10">
        <f>Tabella3[[#This Row],[rest of Italy data]]*NOT(ISBLANK(Tabella3[[#This Row],[rest of Italy data]]))</f>
        <v>0</v>
      </c>
      <c r="Y41" s="159">
        <f>Tabella8[[#This Row],[rest of Italy fit]]</f>
        <v>0</v>
      </c>
      <c r="Z41" s="90">
        <f>Tabella3[[#This Row],[rest of Italy cumul. Fit]]/Ka</f>
        <v>0</v>
      </c>
      <c r="AA41" s="90">
        <f>IFERROR(Ka*_xlfn.LOGNORM.DIST((Tabella3[[#This Row],[Day]]-pa),mu_a,sigma_a,FALSE),0)</f>
        <v>0</v>
      </c>
      <c r="AB41" s="90">
        <f>Tabella3[[#This Row],[rest of Italy fit]]/y_a_peak</f>
        <v>0</v>
      </c>
      <c r="AC41" s="10">
        <f>Tabella3[[#This Row],[rest of Italy fit]]*NOT(ISBLANK(Tabella3[[#This Row],[rest of Italy data]]))</f>
        <v>0</v>
      </c>
      <c r="AD41" s="90">
        <f>Tabella3[[#This Row],[rest of Italy fit]]+CIa</f>
        <v>5338.8394351600173</v>
      </c>
      <c r="AE41" s="90">
        <f>MAX(Tabella3[[#This Row],[rest of Italy fit]]-CIa,0)</f>
        <v>0</v>
      </c>
      <c r="AG41" s="2" t="s">
        <v>6</v>
      </c>
      <c r="AH41" s="6">
        <f>Critical_ta*SE_of_ya</f>
        <v>5338.8394351600173</v>
      </c>
      <c r="AU41" s="59"/>
    </row>
    <row r="42" spans="2:47" ht="15" thickBot="1" x14ac:dyDescent="0.35">
      <c r="B42" s="148">
        <v>43865</v>
      </c>
      <c r="C42" s="4">
        <v>35</v>
      </c>
      <c r="D42" s="10">
        <f>Tabella8[[#This Row],[Spain cum. Cases]]</f>
        <v>1</v>
      </c>
      <c r="E42" s="90">
        <f>(Tabella3[[#This Row],[Spain cumul. Cases]]-D41)</f>
        <v>0</v>
      </c>
      <c r="F42" s="10">
        <f>Tabella3[[#This Row],[Spain daily cases]]*NOT(ISBLANK(Tabella3[[#This Row],[Spain daily cases]]))</f>
        <v>0</v>
      </c>
      <c r="G42" s="90">
        <f>IFERROR(Kf*_xlfn.LOGNORM.DIST((Tabella3[[#This Row],[Day]]-pf),mu_f,sigma_f,FALSE),0)</f>
        <v>7.9678609483227346E-58</v>
      </c>
      <c r="H42" s="90">
        <f>Tabella3[[#This Row],[Spain daily cases fit]]/y_f_peak</f>
        <v>1.1937467973779438E-61</v>
      </c>
      <c r="I42" s="90">
        <f>Tabella3[[#This Row],[Spain daily cases fit]]*NOT(ISBLANK(Tabella3[[#This Row],[Spain daily cases]]))</f>
        <v>7.9678609483227346E-58</v>
      </c>
      <c r="J42" s="90">
        <f>Tabella3[[#This Row],[Spain daily cases fit]]+CIf</f>
        <v>2342.6884176810927</v>
      </c>
      <c r="K42" s="90">
        <f>MAX(Tabella3[[#This Row],[Spain daily cases fit]]-CIf,0)</f>
        <v>0</v>
      </c>
      <c r="L42" s="153"/>
      <c r="M42" s="158"/>
      <c r="N42" s="10">
        <f>Tabella3[[#This Row],[Lombardy data]]*NOT(ISBLANK(Tabella3[[#This Row],[Lombardy data]]))</f>
        <v>0</v>
      </c>
      <c r="O42" s="159">
        <f>Tabella8[[#This Row],[Lombardy fit]]</f>
        <v>1.1067531237093309E-11</v>
      </c>
      <c r="P42" s="10">
        <f>Tabella3[[#This Row],[Lombardy cumul. Fit]]/Kl</f>
        <v>1.2721300272521045E-16</v>
      </c>
      <c r="Q42" s="90">
        <f>IFERROR(Kl*_xlfn.LOGNORM.DIST((Tabella3[[#This Row],[Day]]-pl),mu_l,sigma_l,FALSE),0)</f>
        <v>7.1529656312274142E-11</v>
      </c>
      <c r="R42" s="90">
        <f>Tabella3[[#This Row],[Lombardy fit]]/y_l_peak</f>
        <v>4.0689140388510025E-14</v>
      </c>
      <c r="S42" s="10">
        <f>Tabella3[[#This Row],[Lombardy fit]]*NOT(ISBLANK(Tabella3[[#This Row],[Lombardy data]]))</f>
        <v>0</v>
      </c>
      <c r="T42" s="90">
        <f>Tabella3[[#This Row],[Lombardy fit]]+CIl</f>
        <v>2570.38232291648</v>
      </c>
      <c r="U42" s="90">
        <f>MAX(Tabella3[[#This Row],[Lombardy fit]]-CIl,0)</f>
        <v>0</v>
      </c>
      <c r="V42" s="155"/>
      <c r="W42" s="158"/>
      <c r="X42" s="10">
        <f>Tabella3[[#This Row],[rest of Italy data]]*NOT(ISBLANK(Tabella3[[#This Row],[rest of Italy data]]))</f>
        <v>0</v>
      </c>
      <c r="Y42" s="159">
        <f>Tabella8[[#This Row],[rest of Italy fit]]</f>
        <v>0</v>
      </c>
      <c r="Z42" s="90">
        <f>Tabella3[[#This Row],[rest of Italy cumul. Fit]]/Ka</f>
        <v>0</v>
      </c>
      <c r="AA42" s="90">
        <f>IFERROR(Ka*_xlfn.LOGNORM.DIST((Tabella3[[#This Row],[Day]]-pa),mu_a,sigma_a,FALSE),0)</f>
        <v>0</v>
      </c>
      <c r="AB42" s="90">
        <f>Tabella3[[#This Row],[rest of Italy fit]]/y_a_peak</f>
        <v>0</v>
      </c>
      <c r="AC42" s="10">
        <f>Tabella3[[#This Row],[rest of Italy fit]]*NOT(ISBLANK(Tabella3[[#This Row],[rest of Italy data]]))</f>
        <v>0</v>
      </c>
      <c r="AD42" s="90">
        <f>Tabella3[[#This Row],[rest of Italy fit]]+CIa</f>
        <v>5338.8394351600173</v>
      </c>
      <c r="AE42" s="90">
        <f>MAX(Tabella3[[#This Row],[rest of Italy fit]]-CIa,0)</f>
        <v>0</v>
      </c>
      <c r="AG42" s="37" t="s">
        <v>62</v>
      </c>
      <c r="AH42" s="104">
        <f>Ka*_xlfn.LOGNORM.DIST(EXP(mu_a-sigma_a^2),mu_a,sigma_a,FALSE)</f>
        <v>3379.1491076162692</v>
      </c>
      <c r="AU42" s="60"/>
    </row>
    <row r="43" spans="2:47" ht="15" thickTop="1" x14ac:dyDescent="0.3">
      <c r="B43" s="148">
        <v>43866</v>
      </c>
      <c r="C43" s="4">
        <v>36</v>
      </c>
      <c r="D43" s="10">
        <f>Tabella8[[#This Row],[Spain cum. Cases]]</f>
        <v>1</v>
      </c>
      <c r="E43" s="90">
        <f>(Tabella3[[#This Row],[Spain cumul. Cases]]-D42)</f>
        <v>0</v>
      </c>
      <c r="F43" s="10">
        <f>Tabella3[[#This Row],[Spain daily cases]]*NOT(ISBLANK(Tabella3[[#This Row],[Spain daily cases]]))</f>
        <v>0</v>
      </c>
      <c r="G43" s="90">
        <f>IFERROR(Kf*_xlfn.LOGNORM.DIST((Tabella3[[#This Row],[Day]]-pf),mu_f,sigma_f,FALSE),0)</f>
        <v>1.5205728985505733E-35</v>
      </c>
      <c r="H43" s="90">
        <f>Tabella3[[#This Row],[Spain daily cases fit]]/y_f_peak</f>
        <v>2.2781258854756319E-39</v>
      </c>
      <c r="I43" s="90">
        <f>Tabella3[[#This Row],[Spain daily cases fit]]*NOT(ISBLANK(Tabella3[[#This Row],[Spain daily cases]]))</f>
        <v>1.5205728985505733E-35</v>
      </c>
      <c r="J43" s="90">
        <f>Tabella3[[#This Row],[Spain daily cases fit]]+CIf</f>
        <v>2342.6884176810927</v>
      </c>
      <c r="K43" s="90">
        <f>MAX(Tabella3[[#This Row],[Spain daily cases fit]]-CIf,0)</f>
        <v>0</v>
      </c>
      <c r="L43" s="153"/>
      <c r="M43" s="158"/>
      <c r="N43" s="10">
        <f>Tabella3[[#This Row],[Lombardy data]]*NOT(ISBLANK(Tabella3[[#This Row],[Lombardy data]]))</f>
        <v>0</v>
      </c>
      <c r="O43" s="159">
        <f>Tabella8[[#This Row],[Lombardy fit]]</f>
        <v>2.706273601535887E-9</v>
      </c>
      <c r="P43" s="10">
        <f>Tabella3[[#This Row],[Lombardy cumul. Fit]]/Kl</f>
        <v>3.1106593121102147E-14</v>
      </c>
      <c r="Q43" s="90">
        <f>IFERROR(Kl*_xlfn.LOGNORM.DIST((Tabella3[[#This Row],[Day]]-pl),mu_l,sigma_l,FALSE),0)</f>
        <v>1.2699112488216759E-8</v>
      </c>
      <c r="R43" s="90">
        <f>Tabella3[[#This Row],[Lombardy fit]]/y_l_peak</f>
        <v>7.2238005532520164E-12</v>
      </c>
      <c r="S43" s="10">
        <f>Tabella3[[#This Row],[Lombardy fit]]*NOT(ISBLANK(Tabella3[[#This Row],[Lombardy data]]))</f>
        <v>0</v>
      </c>
      <c r="T43" s="90">
        <f>Tabella3[[#This Row],[Lombardy fit]]+CIl</f>
        <v>2570.3823229291079</v>
      </c>
      <c r="U43" s="90">
        <f>MAX(Tabella3[[#This Row],[Lombardy fit]]-CIl,0)</f>
        <v>0</v>
      </c>
      <c r="V43" s="155"/>
      <c r="W43" s="158"/>
      <c r="X43" s="10">
        <f>Tabella3[[#This Row],[rest of Italy data]]*NOT(ISBLANK(Tabella3[[#This Row],[rest of Italy data]]))</f>
        <v>0</v>
      </c>
      <c r="Y43" s="159">
        <f>Tabella8[[#This Row],[rest of Italy fit]]</f>
        <v>0</v>
      </c>
      <c r="Z43" s="90">
        <f>Tabella3[[#This Row],[rest of Italy cumul. Fit]]/Ka</f>
        <v>0</v>
      </c>
      <c r="AA43" s="90">
        <f>IFERROR(Ka*_xlfn.LOGNORM.DIST((Tabella3[[#This Row],[Day]]-pa),mu_a,sigma_a,FALSE),0)</f>
        <v>0</v>
      </c>
      <c r="AB43" s="90">
        <f>Tabella3[[#This Row],[rest of Italy fit]]/y_a_peak</f>
        <v>0</v>
      </c>
      <c r="AC43" s="10">
        <f>Tabella3[[#This Row],[rest of Italy fit]]*NOT(ISBLANK(Tabella3[[#This Row],[rest of Italy data]]))</f>
        <v>0</v>
      </c>
      <c r="AD43" s="90">
        <f>Tabella3[[#This Row],[rest of Italy fit]]+CIa</f>
        <v>5338.8394351600173</v>
      </c>
      <c r="AE43" s="90">
        <f>MAX(Tabella3[[#This Row],[rest of Italy fit]]-CIa,0)</f>
        <v>0</v>
      </c>
      <c r="AG43" s="37" t="s">
        <v>43</v>
      </c>
      <c r="AH43" s="38">
        <f>_xlfn.XLOOKUP(ROUND(EXP(mu_a-sigma_a^2)+pa,0),Tabella3[Day],Tabella3[Date])</f>
        <v>43919</v>
      </c>
      <c r="AU43" s="64">
        <f>MAX($AH$52)</f>
        <v>0.92809615191492389</v>
      </c>
    </row>
    <row r="44" spans="2:47" x14ac:dyDescent="0.3">
      <c r="B44" s="148">
        <v>43867</v>
      </c>
      <c r="C44" s="4">
        <v>37</v>
      </c>
      <c r="D44" s="10">
        <f>Tabella8[[#This Row],[Spain cum. Cases]]</f>
        <v>1</v>
      </c>
      <c r="E44" s="90">
        <f>(Tabella3[[#This Row],[Spain cumul. Cases]]-D43)</f>
        <v>0</v>
      </c>
      <c r="F44" s="10">
        <f>Tabella3[[#This Row],[Spain daily cases]]*NOT(ISBLANK(Tabella3[[#This Row],[Spain daily cases]]))</f>
        <v>0</v>
      </c>
      <c r="G44" s="90">
        <f>IFERROR(Kf*_xlfn.LOGNORM.DIST((Tabella3[[#This Row],[Day]]-pf),mu_f,sigma_f,FALSE),0)</f>
        <v>4.4768553032989256E-26</v>
      </c>
      <c r="H44" s="90">
        <f>Tabella3[[#This Row],[Spain daily cases fit]]/y_f_peak</f>
        <v>6.7072351228249491E-30</v>
      </c>
      <c r="I44" s="90">
        <f>Tabella3[[#This Row],[Spain daily cases fit]]*NOT(ISBLANK(Tabella3[[#This Row],[Spain daily cases]]))</f>
        <v>4.4768553032989256E-26</v>
      </c>
      <c r="J44" s="90">
        <f>Tabella3[[#This Row],[Spain daily cases fit]]+CIf</f>
        <v>2342.6884176810927</v>
      </c>
      <c r="K44" s="90">
        <f>MAX(Tabella3[[#This Row],[Spain daily cases fit]]-CIf,0)</f>
        <v>0</v>
      </c>
      <c r="L44" s="153"/>
      <c r="M44" s="158"/>
      <c r="N44" s="10">
        <f>Tabella3[[#This Row],[Lombardy data]]*NOT(ISBLANK(Tabella3[[#This Row],[Lombardy data]]))</f>
        <v>0</v>
      </c>
      <c r="O44" s="159">
        <f>Tabella8[[#This Row],[Lombardy fit]]</f>
        <v>1.6452786763801899E-7</v>
      </c>
      <c r="P44" s="10">
        <f>Tabella3[[#This Row],[Lombardy cumul. Fit]]/Kl</f>
        <v>1.8911249153795285E-12</v>
      </c>
      <c r="Q44" s="90">
        <f>IFERROR(Kl*_xlfn.LOGNORM.DIST((Tabella3[[#This Row],[Day]]-pl),mu_l,sigma_l,FALSE),0)</f>
        <v>5.9253015244641235E-7</v>
      </c>
      <c r="R44" s="90">
        <f>Tabella3[[#This Row],[Lombardy fit]]/y_l_peak</f>
        <v>3.3705659722539776E-10</v>
      </c>
      <c r="S44" s="10">
        <f>Tabella3[[#This Row],[Lombardy fit]]*NOT(ISBLANK(Tabella3[[#This Row],[Lombardy data]]))</f>
        <v>0</v>
      </c>
      <c r="T44" s="90">
        <f>Tabella3[[#This Row],[Lombardy fit]]+CIl</f>
        <v>2570.382323508939</v>
      </c>
      <c r="U44" s="90">
        <f>MAX(Tabella3[[#This Row],[Lombardy fit]]-CIl,0)</f>
        <v>0</v>
      </c>
      <c r="V44" s="155"/>
      <c r="W44" s="158"/>
      <c r="X44" s="10">
        <f>Tabella3[[#This Row],[rest of Italy data]]*NOT(ISBLANK(Tabella3[[#This Row],[rest of Italy data]]))</f>
        <v>0</v>
      </c>
      <c r="Y44" s="159">
        <f>Tabella8[[#This Row],[rest of Italy fit]]</f>
        <v>0</v>
      </c>
      <c r="Z44" s="90">
        <f>Tabella3[[#This Row],[rest of Italy cumul. Fit]]/Ka</f>
        <v>0</v>
      </c>
      <c r="AA44" s="90">
        <f>IFERROR(Ka*_xlfn.LOGNORM.DIST((Tabella3[[#This Row],[Day]]-pa),mu_a,sigma_a,FALSE),0)</f>
        <v>0</v>
      </c>
      <c r="AB44" s="90">
        <f>Tabella3[[#This Row],[rest of Italy fit]]/y_a_peak</f>
        <v>0</v>
      </c>
      <c r="AC44" s="10">
        <f>Tabella3[[#This Row],[rest of Italy fit]]*NOT(ISBLANK(Tabella3[[#This Row],[rest of Italy data]]))</f>
        <v>0</v>
      </c>
      <c r="AD44" s="90">
        <f>Tabella3[[#This Row],[rest of Italy fit]]+CIa</f>
        <v>5338.8394351600173</v>
      </c>
      <c r="AE44" s="90">
        <f>MAX(Tabella3[[#This Row],[rest of Italy fit]]-CIa,0)</f>
        <v>0</v>
      </c>
      <c r="AG44" s="14" t="s">
        <v>74</v>
      </c>
      <c r="AH44" s="151">
        <f>po</f>
        <v>37.717425443399762</v>
      </c>
      <c r="AU44" s="65">
        <f>COUNT($AH$46,$AH$47,$AH$48,$AH$57)</f>
        <v>4</v>
      </c>
    </row>
    <row r="45" spans="2:47" x14ac:dyDescent="0.3">
      <c r="B45" s="148">
        <v>43868</v>
      </c>
      <c r="C45" s="4">
        <v>38</v>
      </c>
      <c r="D45" s="10">
        <f>Tabella8[[#This Row],[Spain cum. Cases]]</f>
        <v>1</v>
      </c>
      <c r="E45" s="90">
        <f>(Tabella3[[#This Row],[Spain cumul. Cases]]-D44)</f>
        <v>0</v>
      </c>
      <c r="F45" s="10">
        <f>Tabella3[[#This Row],[Spain daily cases]]*NOT(ISBLANK(Tabella3[[#This Row],[Spain daily cases]]))</f>
        <v>0</v>
      </c>
      <c r="G45" s="90">
        <f>IFERROR(Kf*_xlfn.LOGNORM.DIST((Tabella3[[#This Row],[Day]]-pf),mu_f,sigma_f,FALSE),0)</f>
        <v>2.0492760335062298E-20</v>
      </c>
      <c r="H45" s="90">
        <f>Tabella3[[#This Row],[Spain daily cases fit]]/y_f_peak</f>
        <v>3.0702301631611641E-24</v>
      </c>
      <c r="I45" s="90">
        <f>Tabella3[[#This Row],[Spain daily cases fit]]*NOT(ISBLANK(Tabella3[[#This Row],[Spain daily cases]]))</f>
        <v>2.0492760335062298E-20</v>
      </c>
      <c r="J45" s="90">
        <f>Tabella3[[#This Row],[Spain daily cases fit]]+CIf</f>
        <v>2342.6884176810927</v>
      </c>
      <c r="K45" s="90">
        <f>MAX(Tabella3[[#This Row],[Spain daily cases fit]]-CIf,0)</f>
        <v>0</v>
      </c>
      <c r="L45" s="153"/>
      <c r="M45" s="158"/>
      <c r="N45" s="10">
        <f>Tabella3[[#This Row],[Lombardy data]]*NOT(ISBLANK(Tabella3[[#This Row],[Lombardy data]]))</f>
        <v>0</v>
      </c>
      <c r="O45" s="159">
        <f>Tabella8[[#This Row],[Lombardy fit]]</f>
        <v>4.0922874212949553E-6</v>
      </c>
      <c r="P45" s="10">
        <f>Tabella3[[#This Row],[Lombardy cumul. Fit]]/Kl</f>
        <v>4.7037786451666155E-11</v>
      </c>
      <c r="Q45" s="90">
        <f>IFERROR(Kl*_xlfn.LOGNORM.DIST((Tabella3[[#This Row],[Day]]-pl),mu_l,sigma_l,FALSE),0)</f>
        <v>1.1748239881930595E-5</v>
      </c>
      <c r="R45" s="90">
        <f>Tabella3[[#This Row],[Lombardy fit]]/y_l_peak</f>
        <v>6.6829033790805378E-9</v>
      </c>
      <c r="S45" s="10">
        <f>Tabella3[[#This Row],[Lombardy fit]]*NOT(ISBLANK(Tabella3[[#This Row],[Lombardy data]]))</f>
        <v>0</v>
      </c>
      <c r="T45" s="90">
        <f>Tabella3[[#This Row],[Lombardy fit]]+CIl</f>
        <v>2570.3823346646486</v>
      </c>
      <c r="U45" s="90">
        <f>MAX(Tabella3[[#This Row],[Lombardy fit]]-CIl,0)</f>
        <v>0</v>
      </c>
      <c r="V45" s="155"/>
      <c r="W45" s="158"/>
      <c r="X45" s="10">
        <f>Tabella3[[#This Row],[rest of Italy data]]*NOT(ISBLANK(Tabella3[[#This Row],[rest of Italy data]]))</f>
        <v>0</v>
      </c>
      <c r="Y45" s="159">
        <f>Tabella8[[#This Row],[rest of Italy fit]]</f>
        <v>1.9507327401080682E-56</v>
      </c>
      <c r="Z45" s="90">
        <f>Tabella3[[#This Row],[rest of Italy cumul. Fit]]/Ka</f>
        <v>1.3180628156728576E-61</v>
      </c>
      <c r="AA45" s="90">
        <f>IFERROR(Ka*_xlfn.LOGNORM.DIST((Tabella3[[#This Row],[Day]]-pa),mu_a,sigma_a,FALSE),0)</f>
        <v>3.5603108157235843E-54</v>
      </c>
      <c r="AB45" s="90">
        <f>Tabella3[[#This Row],[rest of Italy fit]]/y_a_peak</f>
        <v>1.0536116348636391E-57</v>
      </c>
      <c r="AC45" s="10">
        <f>Tabella3[[#This Row],[rest of Italy fit]]*NOT(ISBLANK(Tabella3[[#This Row],[rest of Italy data]]))</f>
        <v>0</v>
      </c>
      <c r="AD45" s="90">
        <f>Tabella3[[#This Row],[rest of Italy fit]]+CIa</f>
        <v>5338.8394351600173</v>
      </c>
      <c r="AE45" s="90">
        <f>MAX(Tabella3[[#This Row],[rest of Italy fit]]-CIa,0)</f>
        <v>0</v>
      </c>
      <c r="AG45" s="39" t="s">
        <v>44</v>
      </c>
      <c r="AH45" s="17" t="s">
        <v>20</v>
      </c>
      <c r="AU45" s="65" t="b">
        <f>pf&lt;=0</f>
        <v>0</v>
      </c>
    </row>
    <row r="46" spans="2:47" x14ac:dyDescent="0.3">
      <c r="B46" s="148">
        <v>43869</v>
      </c>
      <c r="C46" s="4">
        <v>39</v>
      </c>
      <c r="D46" s="10">
        <f>Tabella8[[#This Row],[Spain cum. Cases]]</f>
        <v>1</v>
      </c>
      <c r="E46" s="90">
        <f>(Tabella3[[#This Row],[Spain cumul. Cases]]-D45)</f>
        <v>0</v>
      </c>
      <c r="F46" s="10">
        <f>Tabella3[[#This Row],[Spain daily cases]]*NOT(ISBLANK(Tabella3[[#This Row],[Spain daily cases]]))</f>
        <v>0</v>
      </c>
      <c r="G46" s="90">
        <f>IFERROR(Kf*_xlfn.LOGNORM.DIST((Tabella3[[#This Row],[Day]]-pf),mu_f,sigma_f,FALSE),0)</f>
        <v>1.557676539120464E-16</v>
      </c>
      <c r="H46" s="90">
        <f>Tabella3[[#This Row],[Spain daily cases fit]]/y_f_peak</f>
        <v>2.3337146468617014E-20</v>
      </c>
      <c r="I46" s="90">
        <f>Tabella3[[#This Row],[Spain daily cases fit]]*NOT(ISBLANK(Tabella3[[#This Row],[Spain daily cases]]))</f>
        <v>1.557676539120464E-16</v>
      </c>
      <c r="J46" s="90">
        <f>Tabella3[[#This Row],[Spain daily cases fit]]+CIf</f>
        <v>2342.6884176810927</v>
      </c>
      <c r="K46" s="90">
        <f>MAX(Tabella3[[#This Row],[Spain daily cases fit]]-CIf,0)</f>
        <v>0</v>
      </c>
      <c r="L46" s="153"/>
      <c r="M46" s="158"/>
      <c r="N46" s="10">
        <f>Tabella3[[#This Row],[Lombardy data]]*NOT(ISBLANK(Tabella3[[#This Row],[Lombardy data]]))</f>
        <v>0</v>
      </c>
      <c r="O46" s="159">
        <f>Tabella8[[#This Row],[Lombardy fit]]</f>
        <v>5.4980686627547732E-5</v>
      </c>
      <c r="P46" s="10">
        <f>Tabella3[[#This Row],[Lombardy cumul. Fit]]/Kl</f>
        <v>6.3196191525916934E-10</v>
      </c>
      <c r="Q46" s="90">
        <f>IFERROR(Kl*_xlfn.LOGNORM.DIST((Tabella3[[#This Row],[Day]]-pl),mu_l,sigma_l,FALSE),0)</f>
        <v>1.2933818240994045E-4</v>
      </c>
      <c r="R46" s="90">
        <f>Tabella3[[#This Row],[Lombardy fit]]/y_l_peak</f>
        <v>7.3573112649916895E-8</v>
      </c>
      <c r="S46" s="10">
        <f>Tabella3[[#This Row],[Lombardy fit]]*NOT(ISBLANK(Tabella3[[#This Row],[Lombardy data]]))</f>
        <v>0</v>
      </c>
      <c r="T46" s="90">
        <f>Tabella3[[#This Row],[Lombardy fit]]+CIl</f>
        <v>2570.382452254591</v>
      </c>
      <c r="U46" s="90">
        <f>MAX(Tabella3[[#This Row],[Lombardy fit]]-CIl,0)</f>
        <v>0</v>
      </c>
      <c r="V46" s="155"/>
      <c r="W46" s="158"/>
      <c r="X46" s="10">
        <f>Tabella3[[#This Row],[rest of Italy data]]*NOT(ISBLANK(Tabella3[[#This Row],[rest of Italy data]]))</f>
        <v>0</v>
      </c>
      <c r="Y46" s="159">
        <f>Tabella8[[#This Row],[rest of Italy fit]]</f>
        <v>2.4258346319876795E-27</v>
      </c>
      <c r="Z46" s="90">
        <f>Tabella3[[#This Row],[rest of Italy cumul. Fit]]/Ka</f>
        <v>1.6390776448532252E-32</v>
      </c>
      <c r="AA46" s="90">
        <f>IFERROR(Ka*_xlfn.LOGNORM.DIST((Tabella3[[#This Row],[Day]]-pa),mu_a,sigma_a,FALSE),0)</f>
        <v>6.9999540786373238E-26</v>
      </c>
      <c r="AB46" s="90">
        <f>Tabella3[[#This Row],[rest of Italy fit]]/y_a_peak</f>
        <v>2.0715138207012283E-29</v>
      </c>
      <c r="AC46" s="10">
        <f>Tabella3[[#This Row],[rest of Italy fit]]*NOT(ISBLANK(Tabella3[[#This Row],[rest of Italy data]]))</f>
        <v>0</v>
      </c>
      <c r="AD46" s="90">
        <f>Tabella3[[#This Row],[rest of Italy fit]]+CIa</f>
        <v>5338.8394351600173</v>
      </c>
      <c r="AE46" s="90">
        <f>MAX(Tabella3[[#This Row],[rest of Italy fit]]-CIa,0)</f>
        <v>0</v>
      </c>
      <c r="AG46" s="14" t="s">
        <v>0</v>
      </c>
      <c r="AH46" s="5">
        <f>Kt</f>
        <v>279999.89576931909</v>
      </c>
      <c r="AU46" s="65" t="b">
        <f>sigma_f&gt;=0.000001</f>
        <v>1</v>
      </c>
    </row>
    <row r="47" spans="2:47" x14ac:dyDescent="0.3">
      <c r="B47" s="148">
        <v>43870</v>
      </c>
      <c r="C47" s="4">
        <v>40</v>
      </c>
      <c r="D47" s="10">
        <f>Tabella8[[#This Row],[Spain cum. Cases]]</f>
        <v>2</v>
      </c>
      <c r="E47" s="90">
        <f>(Tabella3[[#This Row],[Spain cumul. Cases]]-D46)</f>
        <v>1</v>
      </c>
      <c r="F47" s="10">
        <f>Tabella3[[#This Row],[Spain daily cases]]*NOT(ISBLANK(Tabella3[[#This Row],[Spain daily cases]]))</f>
        <v>1</v>
      </c>
      <c r="G47" s="90">
        <f>IFERROR(Kf*_xlfn.LOGNORM.DIST((Tabella3[[#This Row],[Day]]-pf),mu_f,sigma_f,FALSE),0)</f>
        <v>1.1554187824201693E-13</v>
      </c>
      <c r="H47" s="90">
        <f>Tabella3[[#This Row],[Spain daily cases fit]]/y_f_peak</f>
        <v>1.7310511316525215E-17</v>
      </c>
      <c r="I47" s="90">
        <f>Tabella3[[#This Row],[Spain daily cases fit]]*NOT(ISBLANK(Tabella3[[#This Row],[Spain daily cases]]))</f>
        <v>1.1554187824201693E-13</v>
      </c>
      <c r="J47" s="90">
        <f>Tabella3[[#This Row],[Spain daily cases fit]]+CIf</f>
        <v>2342.6884176810927</v>
      </c>
      <c r="K47" s="90">
        <f>MAX(Tabella3[[#This Row],[Spain daily cases fit]]-CIf,0)</f>
        <v>0</v>
      </c>
      <c r="L47" s="153"/>
      <c r="M47" s="158"/>
      <c r="N47" s="10">
        <f>Tabella3[[#This Row],[Lombardy data]]*NOT(ISBLANK(Tabella3[[#This Row],[Lombardy data]]))</f>
        <v>0</v>
      </c>
      <c r="O47" s="159">
        <f>Tabella8[[#This Row],[Lombardy fit]]</f>
        <v>4.7268540916532139E-4</v>
      </c>
      <c r="P47" s="10">
        <f>Tabella3[[#This Row],[Lombardy cumul. Fit]]/Kl</f>
        <v>5.4331656225899009E-9</v>
      </c>
      <c r="Q47" s="90">
        <f>IFERROR(Kl*_xlfn.LOGNORM.DIST((Tabella3[[#This Row],[Day]]-pl),mu_l,sigma_l,FALSE),0)</f>
        <v>9.3046935614295309E-4</v>
      </c>
      <c r="R47" s="90">
        <f>Tabella3[[#This Row],[Lombardy fit]]/y_l_peak</f>
        <v>5.2929092926188933E-7</v>
      </c>
      <c r="S47" s="10">
        <f>Tabella3[[#This Row],[Lombardy fit]]*NOT(ISBLANK(Tabella3[[#This Row],[Lombardy data]]))</f>
        <v>0</v>
      </c>
      <c r="T47" s="90">
        <f>Tabella3[[#This Row],[Lombardy fit]]+CIl</f>
        <v>2570.3832533857649</v>
      </c>
      <c r="U47" s="90">
        <f>MAX(Tabella3[[#This Row],[Lombardy fit]]-CIl,0)</f>
        <v>0</v>
      </c>
      <c r="V47" s="155"/>
      <c r="W47" s="158"/>
      <c r="X47" s="10">
        <f>Tabella3[[#This Row],[rest of Italy data]]*NOT(ISBLANK(Tabella3[[#This Row],[rest of Italy data]]))</f>
        <v>0</v>
      </c>
      <c r="Y47" s="159">
        <f>Tabella8[[#This Row],[rest of Italy fit]]</f>
        <v>9.0611137748086005E-19</v>
      </c>
      <c r="Z47" s="90">
        <f>Tabella3[[#This Row],[rest of Italy cumul. Fit]]/Ka</f>
        <v>6.1223748848828497E-24</v>
      </c>
      <c r="AA47" s="90">
        <f>IFERROR(Ka*_xlfn.LOGNORM.DIST((Tabella3[[#This Row],[Day]]-pa),mu_a,sigma_a,FALSE),0)</f>
        <v>1.2495526260343405E-17</v>
      </c>
      <c r="AB47" s="90">
        <f>Tabella3[[#This Row],[rest of Italy fit]]/y_a_peak</f>
        <v>3.6978321649612088E-21</v>
      </c>
      <c r="AC47" s="10">
        <f>Tabella3[[#This Row],[rest of Italy fit]]*NOT(ISBLANK(Tabella3[[#This Row],[rest of Italy data]]))</f>
        <v>0</v>
      </c>
      <c r="AD47" s="90">
        <f>Tabella3[[#This Row],[rest of Italy fit]]+CIa</f>
        <v>5338.8394351600173</v>
      </c>
      <c r="AE47" s="90">
        <f>MAX(Tabella3[[#This Row],[rest of Italy fit]]-CIa,0)</f>
        <v>0</v>
      </c>
      <c r="AG47" s="101" t="s">
        <v>63</v>
      </c>
      <c r="AH47" s="30">
        <f>mu_t</f>
        <v>4.1677232340841748</v>
      </c>
      <c r="AU47" s="65">
        <f>{32767;32767;0.000001;0.01;FALSE;FALSE;FALSE;1;2;1;0.0001;TRUE}</f>
        <v>32767</v>
      </c>
    </row>
    <row r="48" spans="2:47" ht="15" thickBot="1" x14ac:dyDescent="0.35">
      <c r="B48" s="148">
        <v>43871</v>
      </c>
      <c r="C48" s="4">
        <v>41</v>
      </c>
      <c r="D48" s="10">
        <f>Tabella8[[#This Row],[Spain cum. Cases]]</f>
        <v>2</v>
      </c>
      <c r="E48" s="90">
        <f>(Tabella3[[#This Row],[Spain cumul. Cases]]-D47)</f>
        <v>0</v>
      </c>
      <c r="F48" s="10">
        <f>Tabella3[[#This Row],[Spain daily cases]]*NOT(ISBLANK(Tabella3[[#This Row],[Spain daily cases]]))</f>
        <v>0</v>
      </c>
      <c r="G48" s="90">
        <f>IFERROR(Kf*_xlfn.LOGNORM.DIST((Tabella3[[#This Row],[Day]]-pf),mu_f,sigma_f,FALSE),0)</f>
        <v>1.9542580576720066E-11</v>
      </c>
      <c r="H48" s="90">
        <f>Tabella3[[#This Row],[Spain daily cases fit]]/y_f_peak</f>
        <v>2.9278740087539816E-15</v>
      </c>
      <c r="I48" s="90">
        <f>Tabella3[[#This Row],[Spain daily cases fit]]*NOT(ISBLANK(Tabella3[[#This Row],[Spain daily cases]]))</f>
        <v>1.9542580576720066E-11</v>
      </c>
      <c r="J48" s="90">
        <f>Tabella3[[#This Row],[Spain daily cases fit]]+CIf</f>
        <v>2342.6884176811122</v>
      </c>
      <c r="K48" s="90">
        <f>MAX(Tabella3[[#This Row],[Spain daily cases fit]]-CIf,0)</f>
        <v>0</v>
      </c>
      <c r="L48" s="153"/>
      <c r="M48" s="158"/>
      <c r="N48" s="10">
        <f>Tabella3[[#This Row],[Lombardy data]]*NOT(ISBLANK(Tabella3[[#This Row],[Lombardy data]]))</f>
        <v>0</v>
      </c>
      <c r="O48" s="159">
        <f>Tabella8[[#This Row],[Lombardy fit]]</f>
        <v>2.9037514905089928E-3</v>
      </c>
      <c r="P48" s="10">
        <f>Tabella3[[#This Row],[Lombardy cumul. Fit]]/Kl</f>
        <v>3.3376453913896467E-8</v>
      </c>
      <c r="Q48" s="90">
        <f>IFERROR(Kl*_xlfn.LOGNORM.DIST((Tabella3[[#This Row],[Day]]-pl),mu_l,sigma_l,FALSE),0)</f>
        <v>4.8624763084411642E-3</v>
      </c>
      <c r="R48" s="90">
        <f>Tabella3[[#This Row],[Lombardy fit]]/y_l_peak</f>
        <v>2.7659853458014782E-6</v>
      </c>
      <c r="S48" s="10">
        <f>Tabella3[[#This Row],[Lombardy fit]]*NOT(ISBLANK(Tabella3[[#This Row],[Lombardy data]]))</f>
        <v>0</v>
      </c>
      <c r="T48" s="90">
        <f>Tabella3[[#This Row],[Lombardy fit]]+CIl</f>
        <v>2570.3871853927171</v>
      </c>
      <c r="U48" s="90">
        <f>MAX(Tabella3[[#This Row],[Lombardy fit]]-CIl,0)</f>
        <v>0</v>
      </c>
      <c r="V48" s="155"/>
      <c r="W48" s="158"/>
      <c r="X48" s="10">
        <f>Tabella3[[#This Row],[rest of Italy data]]*NOT(ISBLANK(Tabella3[[#This Row],[rest of Italy data]]))</f>
        <v>0</v>
      </c>
      <c r="Y48" s="159">
        <f>Tabella8[[#This Row],[rest of Italy fit]]</f>
        <v>4.4611368624324991E-14</v>
      </c>
      <c r="Z48" s="90">
        <f>Tabella3[[#This Row],[rest of Italy cumul. Fit]]/Ka</f>
        <v>3.0142820147028492E-19</v>
      </c>
      <c r="AA48" s="90">
        <f>IFERROR(Ka*_xlfn.LOGNORM.DIST((Tabella3[[#This Row],[Day]]-pa),mu_a,sigma_a,FALSE),0)</f>
        <v>3.8051631768297409E-13</v>
      </c>
      <c r="AB48" s="90">
        <f>Tabella3[[#This Row],[rest of Italy fit]]/y_a_peak</f>
        <v>1.1260714030799286E-16</v>
      </c>
      <c r="AC48" s="10">
        <f>Tabella3[[#This Row],[rest of Italy fit]]*NOT(ISBLANK(Tabella3[[#This Row],[rest of Italy data]]))</f>
        <v>0</v>
      </c>
      <c r="AD48" s="90">
        <f>Tabella3[[#This Row],[rest of Italy fit]]+CIa</f>
        <v>5338.8394351600173</v>
      </c>
      <c r="AE48" s="90">
        <f>MAX(Tabella3[[#This Row],[rest of Italy fit]]-CIa,0)</f>
        <v>0</v>
      </c>
      <c r="AG48" s="14" t="s">
        <v>64</v>
      </c>
      <c r="AH48" s="30">
        <f>sigma_t</f>
        <v>0.26871967492158361</v>
      </c>
      <c r="AI48" s="6"/>
      <c r="AU48" s="66">
        <f>{0;0;1;200;0;FALSE;FALSE;0.075;0;0;FALSE;30}</f>
        <v>0</v>
      </c>
    </row>
    <row r="49" spans="2:36" x14ac:dyDescent="0.3">
      <c r="B49" s="148">
        <v>43872</v>
      </c>
      <c r="C49" s="4">
        <v>42</v>
      </c>
      <c r="D49" s="10">
        <f>Tabella8[[#This Row],[Spain cum. Cases]]</f>
        <v>2</v>
      </c>
      <c r="E49" s="90">
        <f>(Tabella3[[#This Row],[Spain cumul. Cases]]-D48)</f>
        <v>0</v>
      </c>
      <c r="F49" s="10">
        <f>Tabella3[[#This Row],[Spain daily cases]]*NOT(ISBLANK(Tabella3[[#This Row],[Spain daily cases]]))</f>
        <v>0</v>
      </c>
      <c r="G49" s="90">
        <f>IFERROR(Kf*_xlfn.LOGNORM.DIST((Tabella3[[#This Row],[Day]]-pf),mu_f,sigma_f,FALSE),0)</f>
        <v>1.2027162744515017E-9</v>
      </c>
      <c r="H49" s="90">
        <f>Tabella3[[#This Row],[Spain daily cases fit]]/y_f_peak</f>
        <v>1.8019123452236459E-13</v>
      </c>
      <c r="I49" s="90">
        <f>Tabella3[[#This Row],[Spain daily cases fit]]*NOT(ISBLANK(Tabella3[[#This Row],[Spain daily cases]]))</f>
        <v>1.2027162744515017E-9</v>
      </c>
      <c r="J49" s="90">
        <f>Tabella3[[#This Row],[Spain daily cases fit]]+CIf</f>
        <v>2342.6884176822955</v>
      </c>
      <c r="K49" s="90">
        <f>MAX(Tabella3[[#This Row],[Spain daily cases fit]]-CIf,0)</f>
        <v>0</v>
      </c>
      <c r="L49" s="153"/>
      <c r="M49" s="158"/>
      <c r="N49" s="10">
        <f>Tabella3[[#This Row],[Lombardy data]]*NOT(ISBLANK(Tabella3[[#This Row],[Lombardy data]]))</f>
        <v>0</v>
      </c>
      <c r="O49" s="159">
        <f>Tabella8[[#This Row],[Lombardy fit]]</f>
        <v>1.3744676008109632E-2</v>
      </c>
      <c r="P49" s="10">
        <f>Tabella3[[#This Row],[Lombardy cumul. Fit]]/Kl</f>
        <v>1.5798478170240956E-7</v>
      </c>
      <c r="Q49" s="90">
        <f>IFERROR(Kl*_xlfn.LOGNORM.DIST((Tabella3[[#This Row],[Day]]-pl),mu_l,sigma_l,FALSE),0)</f>
        <v>1.9841352030007232E-2</v>
      </c>
      <c r="R49" s="90">
        <f>Tabella3[[#This Row],[Lombardy fit]]/y_l_peak</f>
        <v>1.1286613131793827E-5</v>
      </c>
      <c r="S49" s="10">
        <f>Tabella3[[#This Row],[Lombardy fit]]*NOT(ISBLANK(Tabella3[[#This Row],[Lombardy data]]))</f>
        <v>0</v>
      </c>
      <c r="T49" s="90">
        <f>Tabella3[[#This Row],[Lombardy fit]]+CIl</f>
        <v>2570.4021642684388</v>
      </c>
      <c r="U49" s="90">
        <f>MAX(Tabella3[[#This Row],[Lombardy fit]]-CIl,0)</f>
        <v>0</v>
      </c>
      <c r="V49" s="155"/>
      <c r="W49" s="158"/>
      <c r="X49" s="10">
        <f>Tabella3[[#This Row],[rest of Italy data]]*NOT(ISBLANK(Tabella3[[#This Row],[rest of Italy data]]))</f>
        <v>0</v>
      </c>
      <c r="Y49" s="159">
        <f>Tabella8[[#This Row],[rest of Italy fit]]</f>
        <v>5.4492801872499963E-11</v>
      </c>
      <c r="Z49" s="90">
        <f>Tabella3[[#This Row],[rest of Italy cumul. Fit]]/Ka</f>
        <v>3.6819465010871482E-16</v>
      </c>
      <c r="AA49" s="90">
        <f>IFERROR(Ka*_xlfn.LOGNORM.DIST((Tabella3[[#This Row],[Day]]-pa),mu_a,sigma_a,FALSE),0)</f>
        <v>3.2395059036526822E-10</v>
      </c>
      <c r="AB49" s="90">
        <f>Tabella3[[#This Row],[rest of Italy fit]]/y_a_peak</f>
        <v>9.5867503933198887E-14</v>
      </c>
      <c r="AC49" s="10">
        <f>Tabella3[[#This Row],[rest of Italy fit]]*NOT(ISBLANK(Tabella3[[#This Row],[rest of Italy data]]))</f>
        <v>0</v>
      </c>
      <c r="AD49" s="90">
        <f>Tabella3[[#This Row],[rest of Italy fit]]+CIa</f>
        <v>5338.8394351603411</v>
      </c>
      <c r="AE49" s="90">
        <f>MAX(Tabella3[[#This Row],[rest of Italy fit]]-CIa,0)</f>
        <v>0</v>
      </c>
      <c r="AG49" s="2" t="s">
        <v>1</v>
      </c>
      <c r="AH49" s="6">
        <f>AVERAGE(Tabella3[Spain daily cases])</f>
        <v>2393.0721649484535</v>
      </c>
    </row>
    <row r="50" spans="2:36" x14ac:dyDescent="0.3">
      <c r="B50" s="148">
        <v>43873</v>
      </c>
      <c r="C50" s="4">
        <v>43</v>
      </c>
      <c r="D50" s="10">
        <f>Tabella8[[#This Row],[Spain cum. Cases]]</f>
        <v>2</v>
      </c>
      <c r="E50" s="90">
        <f>(Tabella3[[#This Row],[Spain cumul. Cases]]-D49)</f>
        <v>0</v>
      </c>
      <c r="F50" s="10">
        <f>Tabella3[[#This Row],[Spain daily cases]]*NOT(ISBLANK(Tabella3[[#This Row],[Spain daily cases]]))</f>
        <v>0</v>
      </c>
      <c r="G50" s="90">
        <f>IFERROR(Kf*_xlfn.LOGNORM.DIST((Tabella3[[#This Row],[Day]]-pf),mu_f,sigma_f,FALSE),0)</f>
        <v>3.5722475603691846E-8</v>
      </c>
      <c r="H50" s="90">
        <f>Tabella3[[#This Row],[Spain daily cases fit]]/y_f_peak</f>
        <v>5.351949679204117E-12</v>
      </c>
      <c r="I50" s="90">
        <f>Tabella3[[#This Row],[Spain daily cases fit]]*NOT(ISBLANK(Tabella3[[#This Row],[Spain daily cases]]))</f>
        <v>3.5722475603691846E-8</v>
      </c>
      <c r="J50" s="90">
        <f>Tabella3[[#This Row],[Spain daily cases fit]]+CIf</f>
        <v>2342.6884177168154</v>
      </c>
      <c r="K50" s="90">
        <f>MAX(Tabella3[[#This Row],[Spain daily cases fit]]-CIf,0)</f>
        <v>0</v>
      </c>
      <c r="L50" s="153"/>
      <c r="M50" s="158"/>
      <c r="N50" s="10">
        <f>Tabella3[[#This Row],[Lombardy data]]*NOT(ISBLANK(Tabella3[[#This Row],[Lombardy data]]))</f>
        <v>0</v>
      </c>
      <c r="O50" s="159">
        <f>Tabella8[[#This Row],[Lombardy fit]]</f>
        <v>5.289229195701816E-2</v>
      </c>
      <c r="P50" s="10">
        <f>Tabella3[[#This Row],[Lombardy cumul. Fit]]/Kl</f>
        <v>6.079573788163007E-7</v>
      </c>
      <c r="Q50" s="90">
        <f>IFERROR(Kl*_xlfn.LOGNORM.DIST((Tabella3[[#This Row],[Day]]-pl),mu_l,sigma_l,FALSE),0)</f>
        <v>6.654550358259502E-2</v>
      </c>
      <c r="R50" s="90">
        <f>Tabella3[[#This Row],[Lombardy fit]]/y_l_peak</f>
        <v>3.7853940268851547E-5</v>
      </c>
      <c r="S50" s="10">
        <f>Tabella3[[#This Row],[Lombardy fit]]*NOT(ISBLANK(Tabella3[[#This Row],[Lombardy data]]))</f>
        <v>0</v>
      </c>
      <c r="T50" s="90">
        <f>Tabella3[[#This Row],[Lombardy fit]]+CIl</f>
        <v>2570.4488684199914</v>
      </c>
      <c r="U50" s="90">
        <f>MAX(Tabella3[[#This Row],[Lombardy fit]]-CIl,0)</f>
        <v>0</v>
      </c>
      <c r="V50" s="155"/>
      <c r="W50" s="158"/>
      <c r="X50" s="10">
        <f>Tabella3[[#This Row],[rest of Italy data]]*NOT(ISBLANK(Tabella3[[#This Row],[rest of Italy data]]))</f>
        <v>0</v>
      </c>
      <c r="Y50" s="159">
        <f>Tabella8[[#This Row],[rest of Italy fit]]</f>
        <v>9.2374410644758984E-9</v>
      </c>
      <c r="Z50" s="90">
        <f>Tabella3[[#This Row],[rest of Italy cumul. Fit]]/Ka</f>
        <v>6.2415149593381372E-14</v>
      </c>
      <c r="AA50" s="90">
        <f>IFERROR(Ka*_xlfn.LOGNORM.DIST((Tabella3[[#This Row],[Day]]-pa),mu_a,sigma_a,FALSE),0)</f>
        <v>4.1023020044640386E-8</v>
      </c>
      <c r="AB50" s="90">
        <f>Tabella3[[#This Row],[rest of Italy fit]]/y_a_peak</f>
        <v>1.2140044353822251E-11</v>
      </c>
      <c r="AC50" s="10">
        <f>Tabella3[[#This Row],[rest of Italy fit]]*NOT(ISBLANK(Tabella3[[#This Row],[rest of Italy data]]))</f>
        <v>0</v>
      </c>
      <c r="AD50" s="90">
        <f>Tabella3[[#This Row],[rest of Italy fit]]+CIa</f>
        <v>5338.83943520104</v>
      </c>
      <c r="AE50" s="90">
        <f>MAX(Tabella3[[#This Row],[rest of Italy fit]]-CIa,0)</f>
        <v>0</v>
      </c>
      <c r="AG50" s="2" t="s">
        <v>2</v>
      </c>
      <c r="AH50" s="1">
        <f>COUNT(Tabella3[Spain daily cases])-COUNT(AH46:AH48)</f>
        <v>94</v>
      </c>
      <c r="AI50" s="6"/>
      <c r="AJ50" s="6"/>
    </row>
    <row r="51" spans="2:36" x14ac:dyDescent="0.3">
      <c r="B51" s="148">
        <v>43874</v>
      </c>
      <c r="C51" s="4">
        <v>44</v>
      </c>
      <c r="D51" s="10">
        <f>Tabella8[[#This Row],[Spain cum. Cases]]</f>
        <v>2</v>
      </c>
      <c r="E51" s="90">
        <f>(Tabella3[[#This Row],[Spain cumul. Cases]]-D50)</f>
        <v>0</v>
      </c>
      <c r="F51" s="10">
        <f>Tabella3[[#This Row],[Spain daily cases]]*NOT(ISBLANK(Tabella3[[#This Row],[Spain daily cases]]))</f>
        <v>0</v>
      </c>
      <c r="G51" s="90">
        <f>IFERROR(Kf*_xlfn.LOGNORM.DIST((Tabella3[[#This Row],[Day]]-pf),mu_f,sigma_f,FALSE),0)</f>
        <v>6.1460170659573527E-7</v>
      </c>
      <c r="H51" s="90">
        <f>Tabella3[[#This Row],[Spain daily cases fit]]/y_f_peak</f>
        <v>9.2079771932531005E-11</v>
      </c>
      <c r="I51" s="90">
        <f>Tabella3[[#This Row],[Spain daily cases fit]]*NOT(ISBLANK(Tabella3[[#This Row],[Spain daily cases]]))</f>
        <v>6.1460170659573527E-7</v>
      </c>
      <c r="J51" s="90">
        <f>Tabella3[[#This Row],[Spain daily cases fit]]+CIf</f>
        <v>2342.6884182956942</v>
      </c>
      <c r="K51" s="90">
        <f>MAX(Tabella3[[#This Row],[Spain daily cases fit]]-CIf,0)</f>
        <v>0</v>
      </c>
      <c r="L51" s="153"/>
      <c r="M51" s="158"/>
      <c r="N51" s="10">
        <f>Tabella3[[#This Row],[Lombardy data]]*NOT(ISBLANK(Tabella3[[#This Row],[Lombardy data]]))</f>
        <v>0</v>
      </c>
      <c r="O51" s="159">
        <f>Tabella8[[#This Row],[Lombardy fit]]</f>
        <v>0.17211805434560609</v>
      </c>
      <c r="P51" s="10">
        <f>Tabella3[[#This Row],[Lombardy cumul. Fit]]/Kl</f>
        <v>1.978368440754093E-6</v>
      </c>
      <c r="Q51" s="90">
        <f>IFERROR(Kl*_xlfn.LOGNORM.DIST((Tabella3[[#This Row],[Day]]-pl),mu_l,sigma_l,FALSE),0)</f>
        <v>0.19046709521624131</v>
      </c>
      <c r="R51" s="90">
        <f>Tabella3[[#This Row],[Lombardy fit]]/y_l_peak</f>
        <v>1.0834586346691974E-4</v>
      </c>
      <c r="S51" s="10">
        <f>Tabella3[[#This Row],[Lombardy fit]]*NOT(ISBLANK(Tabella3[[#This Row],[Lombardy data]]))</f>
        <v>0</v>
      </c>
      <c r="T51" s="90">
        <f>Tabella3[[#This Row],[Lombardy fit]]+CIl</f>
        <v>2570.5727900116249</v>
      </c>
      <c r="U51" s="90">
        <f>MAX(Tabella3[[#This Row],[Lombardy fit]]-CIl,0)</f>
        <v>0</v>
      </c>
      <c r="V51" s="155"/>
      <c r="W51" s="158"/>
      <c r="X51" s="10">
        <f>Tabella3[[#This Row],[rest of Italy data]]*NOT(ISBLANK(Tabella3[[#This Row],[rest of Italy data]]))</f>
        <v>0</v>
      </c>
      <c r="Y51" s="159">
        <f>Tabella8[[#This Row],[rest of Italy fit]]</f>
        <v>4.6753772985919447E-7</v>
      </c>
      <c r="Z51" s="90">
        <f>Tabella3[[#This Row],[rest of Italy cumul. Fit]]/Ka</f>
        <v>3.1590390830133224E-12</v>
      </c>
      <c r="AA51" s="90">
        <f>IFERROR(Ka*_xlfn.LOGNORM.DIST((Tabella3[[#This Row],[Day]]-pa),mu_a,sigma_a,FALSE),0)</f>
        <v>1.6231958919947614E-6</v>
      </c>
      <c r="AB51" s="90">
        <f>Tabella3[[#This Row],[rest of Italy fit]]/y_a_peak</f>
        <v>4.8035639751327864E-10</v>
      </c>
      <c r="AC51" s="10">
        <f>Tabella3[[#This Row],[rest of Italy fit]]*NOT(ISBLANK(Tabella3[[#This Row],[rest of Italy data]]))</f>
        <v>0</v>
      </c>
      <c r="AD51" s="90">
        <f>Tabella3[[#This Row],[rest of Italy fit]]+CIa</f>
        <v>5338.8394367832134</v>
      </c>
      <c r="AE51" s="90">
        <f>MAX(Tabella3[[#This Row],[rest of Italy fit]]-CIa,0)</f>
        <v>0</v>
      </c>
      <c r="AG51" s="2" t="s">
        <v>3</v>
      </c>
      <c r="AH51" s="6" cm="1">
        <f t="array" ref="AH51">SQRT(SUM((Tabella3[Colonna1]-Tabella3[Colonna22])^2)/dff)</f>
        <v>1179.8845424251015</v>
      </c>
    </row>
    <row r="52" spans="2:36" ht="16.2" x14ac:dyDescent="0.3">
      <c r="B52" s="148">
        <v>43875</v>
      </c>
      <c r="C52" s="4">
        <v>45</v>
      </c>
      <c r="D52" s="10">
        <f>Tabella8[[#This Row],[Spain cum. Cases]]</f>
        <v>2</v>
      </c>
      <c r="E52" s="90">
        <f>(Tabella3[[#This Row],[Spain cumul. Cases]]-D51)</f>
        <v>0</v>
      </c>
      <c r="F52" s="10">
        <f>Tabella3[[#This Row],[Spain daily cases]]*NOT(ISBLANK(Tabella3[[#This Row],[Spain daily cases]]))</f>
        <v>0</v>
      </c>
      <c r="G52" s="90">
        <f>IFERROR(Kf*_xlfn.LOGNORM.DIST((Tabella3[[#This Row],[Day]]-pf),mu_f,sigma_f,FALSE),0)</f>
        <v>6.9347676308816645E-6</v>
      </c>
      <c r="H52" s="90">
        <f>Tabella3[[#This Row],[Spain daily cases fit]]/y_f_peak</f>
        <v>1.0389685140863111E-9</v>
      </c>
      <c r="I52" s="90">
        <f>Tabella3[[#This Row],[Spain daily cases fit]]*NOT(ISBLANK(Tabella3[[#This Row],[Spain daily cases]]))</f>
        <v>6.9347676308816645E-6</v>
      </c>
      <c r="J52" s="90">
        <f>Tabella3[[#This Row],[Spain daily cases fit]]+CIf</f>
        <v>2342.6884246158602</v>
      </c>
      <c r="K52" s="90">
        <f>MAX(Tabella3[[#This Row],[Spain daily cases fit]]-CIf,0)</f>
        <v>0</v>
      </c>
      <c r="L52" s="153"/>
      <c r="M52" s="158"/>
      <c r="N52" s="10">
        <f>Tabella3[[#This Row],[Lombardy data]]*NOT(ISBLANK(Tabella3[[#This Row],[Lombardy data]]))</f>
        <v>0</v>
      </c>
      <c r="O52" s="159">
        <f>Tabella8[[#This Row],[Lombardy fit]]</f>
        <v>0.48787673256248693</v>
      </c>
      <c r="P52" s="10">
        <f>Tabella3[[#This Row],[Lombardy cumul. Fit]]/Kl</f>
        <v>5.6077785352009989E-6</v>
      </c>
      <c r="Q52" s="90">
        <f>IFERROR(Kl*_xlfn.LOGNORM.DIST((Tabella3[[#This Row],[Day]]-pl),mu_l,sigma_l,FALSE),0)</f>
        <v>0.47857256012040816</v>
      </c>
      <c r="R52" s="90">
        <f>Tabella3[[#This Row],[Lombardy fit]]/y_l_peak</f>
        <v>2.722326247426205E-4</v>
      </c>
      <c r="S52" s="10">
        <f>Tabella3[[#This Row],[Lombardy fit]]*NOT(ISBLANK(Tabella3[[#This Row],[Lombardy data]]))</f>
        <v>0</v>
      </c>
      <c r="T52" s="90">
        <f>Tabella3[[#This Row],[Lombardy fit]]+CIl</f>
        <v>2570.8608954765291</v>
      </c>
      <c r="U52" s="90">
        <f>MAX(Tabella3[[#This Row],[Lombardy fit]]-CIl,0)</f>
        <v>0</v>
      </c>
      <c r="V52" s="155"/>
      <c r="W52" s="158"/>
      <c r="X52" s="10">
        <f>Tabella3[[#This Row],[rest of Italy data]]*NOT(ISBLANK(Tabella3[[#This Row],[rest of Italy data]]))</f>
        <v>0</v>
      </c>
      <c r="Y52" s="159">
        <f>Tabella8[[#This Row],[rest of Italy fit]]</f>
        <v>1.0569392149442228E-5</v>
      </c>
      <c r="Z52" s="90">
        <f>Tabella3[[#This Row],[rest of Italy cumul. Fit]]/Ka</f>
        <v>7.1414820134062305E-11</v>
      </c>
      <c r="AA52" s="90">
        <f>IFERROR(Ka*_xlfn.LOGNORM.DIST((Tabella3[[#This Row],[Day]]-pa),mu_a,sigma_a,FALSE),0)</f>
        <v>2.9623586544402733E-5</v>
      </c>
      <c r="AB52" s="90">
        <f>Tabella3[[#This Row],[rest of Italy fit]]/y_a_peak</f>
        <v>8.7665816455491957E-9</v>
      </c>
      <c r="AC52" s="10">
        <f>Tabella3[[#This Row],[rest of Italy fit]]*NOT(ISBLANK(Tabella3[[#This Row],[rest of Italy data]]))</f>
        <v>0</v>
      </c>
      <c r="AD52" s="90">
        <f>Tabella3[[#This Row],[rest of Italy fit]]+CIa</f>
        <v>5338.8394647836039</v>
      </c>
      <c r="AE52" s="90">
        <f>MAX(Tabella3[[#This Row],[rest of Italy fit]]-CIa,0)</f>
        <v>0</v>
      </c>
      <c r="AG52" s="2" t="s">
        <v>4</v>
      </c>
      <c r="AH52" s="7" cm="1">
        <f t="array" ref="AH52">1-SUM((Tabella3[Colonna1]-Tabella3[Colonna22])^2)/SUM((Tabella3[Colonna1]-Mean_of_yf)^2)</f>
        <v>0.92809615191492389</v>
      </c>
    </row>
    <row r="53" spans="2:36" x14ac:dyDescent="0.3">
      <c r="B53" s="148">
        <v>43876</v>
      </c>
      <c r="C53" s="4">
        <v>46</v>
      </c>
      <c r="D53" s="10">
        <f>Tabella8[[#This Row],[Spain cum. Cases]]</f>
        <v>2</v>
      </c>
      <c r="E53" s="90">
        <f>(Tabella3[[#This Row],[Spain cumul. Cases]]-D52)</f>
        <v>0</v>
      </c>
      <c r="F53" s="10">
        <f>Tabella3[[#This Row],[Spain daily cases]]*NOT(ISBLANK(Tabella3[[#This Row],[Spain daily cases]]))</f>
        <v>0</v>
      </c>
      <c r="G53" s="90">
        <f>IFERROR(Kf*_xlfn.LOGNORM.DIST((Tabella3[[#This Row],[Day]]-pf),mu_f,sigma_f,FALSE),0)</f>
        <v>5.6028997754196503E-5</v>
      </c>
      <c r="H53" s="90">
        <f>Tabella3[[#This Row],[Spain daily cases fit]]/y_f_peak</f>
        <v>8.3942775938437411E-9</v>
      </c>
      <c r="I53" s="90">
        <f>Tabella3[[#This Row],[Spain daily cases fit]]*NOT(ISBLANK(Tabella3[[#This Row],[Spain daily cases]]))</f>
        <v>5.6028997754196503E-5</v>
      </c>
      <c r="J53" s="90">
        <f>Tabella3[[#This Row],[Spain daily cases fit]]+CIf</f>
        <v>2342.6884737100904</v>
      </c>
      <c r="K53" s="90">
        <f>MAX(Tabella3[[#This Row],[Spain daily cases fit]]-CIf,0)</f>
        <v>0</v>
      </c>
      <c r="L53" s="153"/>
      <c r="M53" s="158"/>
      <c r="N53" s="10">
        <f>Tabella3[[#This Row],[Lombardy data]]*NOT(ISBLANK(Tabella3[[#This Row],[Lombardy data]]))</f>
        <v>0</v>
      </c>
      <c r="O53" s="159">
        <f>Tabella8[[#This Row],[Lombardy fit]]</f>
        <v>1.232404561241581</v>
      </c>
      <c r="P53" s="10">
        <f>Tabella3[[#This Row],[Lombardy cumul. Fit]]/Kl</f>
        <v>1.4165569669443461E-5</v>
      </c>
      <c r="Q53" s="90">
        <f>IFERROR(Kl*_xlfn.LOGNORM.DIST((Tabella3[[#This Row],[Day]]-pl),mu_l,sigma_l,FALSE),0)</f>
        <v>1.0787875900445603</v>
      </c>
      <c r="R53" s="90">
        <f>Tabella3[[#This Row],[Lombardy fit]]/y_l_peak</f>
        <v>6.1366071030839481E-4</v>
      </c>
      <c r="S53" s="10">
        <f>Tabella3[[#This Row],[Lombardy fit]]*NOT(ISBLANK(Tabella3[[#This Row],[Lombardy data]]))</f>
        <v>0</v>
      </c>
      <c r="T53" s="90">
        <f>Tabella3[[#This Row],[Lombardy fit]]+CIl</f>
        <v>2571.4611105064532</v>
      </c>
      <c r="U53" s="90">
        <f>MAX(Tabella3[[#This Row],[Lombardy fit]]-CIl,0)</f>
        <v>0</v>
      </c>
      <c r="V53" s="155"/>
      <c r="W53" s="158"/>
      <c r="X53" s="10">
        <f>Tabella3[[#This Row],[rest of Italy data]]*NOT(ISBLANK(Tabella3[[#This Row],[rest of Italy data]]))</f>
        <v>0</v>
      </c>
      <c r="Y53" s="159">
        <f>Tabella8[[#This Row],[rest of Italy fit]]</f>
        <v>1.3509330492944511E-4</v>
      </c>
      <c r="Z53" s="90">
        <f>Tabella3[[#This Row],[rest of Italy cumul. Fit]]/Ka</f>
        <v>9.1279270713420225E-10</v>
      </c>
      <c r="AA53" s="90">
        <f>IFERROR(Ka*_xlfn.LOGNORM.DIST((Tabella3[[#This Row],[Day]]-pa),mu_a,sigma_a,FALSE),0)</f>
        <v>3.1307383839666164E-4</v>
      </c>
      <c r="AB53" s="90">
        <f>Tabella3[[#This Row],[rest of Italy fit]]/y_a_peak</f>
        <v>9.2648719670589272E-8</v>
      </c>
      <c r="AC53" s="10">
        <f>Tabella3[[#This Row],[rest of Italy fit]]*NOT(ISBLANK(Tabella3[[#This Row],[rest of Italy data]]))</f>
        <v>0</v>
      </c>
      <c r="AD53" s="90">
        <f>Tabella3[[#This Row],[rest of Italy fit]]+CIa</f>
        <v>5338.839748233856</v>
      </c>
      <c r="AE53" s="90">
        <f>MAX(Tabella3[[#This Row],[rest of Italy fit]]-CIa,0)</f>
        <v>0</v>
      </c>
      <c r="AG53" s="2" t="s">
        <v>5</v>
      </c>
      <c r="AH53" s="7">
        <f>TINV(0.05,dff)</f>
        <v>1.9855234418666059</v>
      </c>
    </row>
    <row r="54" spans="2:36" x14ac:dyDescent="0.3">
      <c r="B54" s="148">
        <v>43877</v>
      </c>
      <c r="C54" s="4">
        <v>47</v>
      </c>
      <c r="D54" s="10">
        <f>Tabella8[[#This Row],[Spain cum. Cases]]</f>
        <v>2</v>
      </c>
      <c r="E54" s="90">
        <f>(Tabella3[[#This Row],[Spain cumul. Cases]]-D53)</f>
        <v>0</v>
      </c>
      <c r="F54" s="10">
        <f>Tabella3[[#This Row],[Spain daily cases]]*NOT(ISBLANK(Tabella3[[#This Row],[Spain daily cases]]))</f>
        <v>0</v>
      </c>
      <c r="G54" s="90">
        <f>IFERROR(Kf*_xlfn.LOGNORM.DIST((Tabella3[[#This Row],[Day]]-pf),mu_f,sigma_f,FALSE),0)</f>
        <v>3.4564246692707845E-4</v>
      </c>
      <c r="H54" s="90">
        <f>Tabella3[[#This Row],[Spain daily cases fit]]/y_f_peak</f>
        <v>5.1784235519178788E-8</v>
      </c>
      <c r="I54" s="90">
        <f>Tabella3[[#This Row],[Spain daily cases fit]]*NOT(ISBLANK(Tabella3[[#This Row],[Spain daily cases]]))</f>
        <v>3.4564246692707845E-4</v>
      </c>
      <c r="J54" s="90">
        <f>Tabella3[[#This Row],[Spain daily cases fit]]+CIf</f>
        <v>2342.6887633235597</v>
      </c>
      <c r="K54" s="90">
        <f>MAX(Tabella3[[#This Row],[Spain daily cases fit]]-CIf,0)</f>
        <v>0</v>
      </c>
      <c r="L54" s="153"/>
      <c r="M54" s="158"/>
      <c r="N54" s="10">
        <f>Tabella3[[#This Row],[Lombardy data]]*NOT(ISBLANK(Tabella3[[#This Row],[Lombardy data]]))</f>
        <v>0</v>
      </c>
      <c r="O54" s="159">
        <f>Tabella8[[#This Row],[Lombardy fit]]</f>
        <v>2.8244131218996005</v>
      </c>
      <c r="P54" s="10">
        <f>Tabella3[[#This Row],[Lombardy cumul. Fit]]/Kl</f>
        <v>3.2464518642524143E-5</v>
      </c>
      <c r="Q54" s="90">
        <f>IFERROR(Kl*_xlfn.LOGNORM.DIST((Tabella3[[#This Row],[Day]]-pl),mu_l,sigma_l,FALSE),0)</f>
        <v>2.2190781575440344</v>
      </c>
      <c r="R54" s="90">
        <f>Tabella3[[#This Row],[Lombardy fit]]/y_l_peak</f>
        <v>1.2623069554703235E-3</v>
      </c>
      <c r="S54" s="10">
        <f>Tabella3[[#This Row],[Lombardy fit]]*NOT(ISBLANK(Tabella3[[#This Row],[Lombardy data]]))</f>
        <v>0</v>
      </c>
      <c r="T54" s="90">
        <f>Tabella3[[#This Row],[Lombardy fit]]+CIl</f>
        <v>2572.6014010739527</v>
      </c>
      <c r="U54" s="90">
        <f>MAX(Tabella3[[#This Row],[Lombardy fit]]-CIl,0)</f>
        <v>0</v>
      </c>
      <c r="V54" s="155"/>
      <c r="W54" s="158"/>
      <c r="X54" s="10">
        <f>Tabella3[[#This Row],[rest of Italy data]]*NOT(ISBLANK(Tabella3[[#This Row],[rest of Italy data]]))</f>
        <v>0</v>
      </c>
      <c r="Y54" s="159">
        <f>Tabella8[[#This Row],[rest of Italy fit]]</f>
        <v>1.1329276107491756E-3</v>
      </c>
      <c r="Z54" s="90">
        <f>Tabella3[[#This Row],[rest of Italy cumul. Fit]]/Ka</f>
        <v>7.6549171799662131E-9</v>
      </c>
      <c r="AA54" s="90">
        <f>IFERROR(Ka*_xlfn.LOGNORM.DIST((Tabella3[[#This Row],[Day]]-pa),mu_a,sigma_a,FALSE),0)</f>
        <v>2.2114619462692015E-3</v>
      </c>
      <c r="AB54" s="90">
        <f>Tabella3[[#This Row],[rest of Italy fit]]/y_a_peak</f>
        <v>6.5444343408368224E-7</v>
      </c>
      <c r="AC54" s="10">
        <f>Tabella3[[#This Row],[rest of Italy fit]]*NOT(ISBLANK(Tabella3[[#This Row],[rest of Italy data]]))</f>
        <v>0</v>
      </c>
      <c r="AD54" s="90">
        <f>Tabella3[[#This Row],[rest of Italy fit]]+CIa</f>
        <v>5338.8416466219633</v>
      </c>
      <c r="AE54" s="90">
        <f>MAX(Tabella3[[#This Row],[rest of Italy fit]]-CIa,0)</f>
        <v>0</v>
      </c>
      <c r="AG54" s="2" t="s">
        <v>6</v>
      </c>
      <c r="AH54" s="6">
        <f>Critical_tf*SE_of_yf</f>
        <v>2342.6884176810927</v>
      </c>
    </row>
    <row r="55" spans="2:36" x14ac:dyDescent="0.3">
      <c r="B55" s="148">
        <v>43878</v>
      </c>
      <c r="C55" s="4">
        <v>48</v>
      </c>
      <c r="D55" s="10">
        <f>Tabella8[[#This Row],[Spain cum. Cases]]</f>
        <v>2</v>
      </c>
      <c r="E55" s="90">
        <f>(Tabella3[[#This Row],[Spain cumul. Cases]]-D54)</f>
        <v>0</v>
      </c>
      <c r="F55" s="10">
        <f>Tabella3[[#This Row],[Spain daily cases]]*NOT(ISBLANK(Tabella3[[#This Row],[Spain daily cases]]))</f>
        <v>0</v>
      </c>
      <c r="G55" s="90">
        <f>IFERROR(Kf*_xlfn.LOGNORM.DIST((Tabella3[[#This Row],[Day]]-pf),mu_f,sigma_f,FALSE),0)</f>
        <v>1.7084807858180932E-3</v>
      </c>
      <c r="H55" s="90">
        <f>Tabella3[[#This Row],[Spain daily cases fit]]/y_f_peak</f>
        <v>2.5596499232098454E-7</v>
      </c>
      <c r="I55" s="90">
        <f>Tabella3[[#This Row],[Spain daily cases fit]]*NOT(ISBLANK(Tabella3[[#This Row],[Spain daily cases]]))</f>
        <v>1.7084807858180932E-3</v>
      </c>
      <c r="J55" s="90">
        <f>Tabella3[[#This Row],[Spain daily cases fit]]+CIf</f>
        <v>2342.6901261618787</v>
      </c>
      <c r="K55" s="90">
        <f>MAX(Tabella3[[#This Row],[Spain daily cases fit]]-CIf,0)</f>
        <v>0</v>
      </c>
      <c r="L55" s="153"/>
      <c r="M55" s="158"/>
      <c r="N55" s="10">
        <f>Tabella3[[#This Row],[Lombardy data]]*NOT(ISBLANK(Tabella3[[#This Row],[Lombardy data]]))</f>
        <v>0</v>
      </c>
      <c r="O55" s="159">
        <f>Tabella8[[#This Row],[Lombardy fit]]</f>
        <v>5.9570265831536959</v>
      </c>
      <c r="P55" s="10">
        <f>Tabella3[[#This Row],[Lombardy cumul. Fit]]/Kl</f>
        <v>6.8471569921306846E-5</v>
      </c>
      <c r="Q55" s="90">
        <f>IFERROR(Kl*_xlfn.LOGNORM.DIST((Tabella3[[#This Row],[Day]]-pl),mu_l,sigma_l,FALSE),0)</f>
        <v>4.2221927199926466</v>
      </c>
      <c r="R55" s="90">
        <f>Tabella3[[#This Row],[Lombardy fit]]/y_l_peak</f>
        <v>2.401764543382074E-3</v>
      </c>
      <c r="S55" s="10">
        <f>Tabella3[[#This Row],[Lombardy fit]]*NOT(ISBLANK(Tabella3[[#This Row],[Lombardy data]]))</f>
        <v>0</v>
      </c>
      <c r="T55" s="90">
        <f>Tabella3[[#This Row],[Lombardy fit]]+CIl</f>
        <v>2574.6045156364012</v>
      </c>
      <c r="U55" s="90">
        <f>MAX(Tabella3[[#This Row],[Lombardy fit]]-CIl,0)</f>
        <v>0</v>
      </c>
      <c r="V55" s="155"/>
      <c r="W55" s="158"/>
      <c r="X55" s="10">
        <f>Tabella3[[#This Row],[rest of Italy data]]*NOT(ISBLANK(Tabella3[[#This Row],[rest of Italy data]]))</f>
        <v>0</v>
      </c>
      <c r="Y55" s="159">
        <f>Tabella8[[#This Row],[rest of Italy fit]]</f>
        <v>6.8853047554286546E-3</v>
      </c>
      <c r="Z55" s="90">
        <f>Tabella3[[#This Row],[rest of Italy cumul. Fit]]/Ka</f>
        <v>4.6522334844307022E-8</v>
      </c>
      <c r="AA55" s="90">
        <f>IFERROR(Ka*_xlfn.LOGNORM.DIST((Tabella3[[#This Row],[Day]]-pa),mu_a,sigma_a,FALSE),0)</f>
        <v>1.1488593719390787E-2</v>
      </c>
      <c r="AB55" s="90">
        <f>Tabella3[[#This Row],[rest of Italy fit]]/y_a_peak</f>
        <v>3.3998481136853737E-6</v>
      </c>
      <c r="AC55" s="10">
        <f>Tabella3[[#This Row],[rest of Italy fit]]*NOT(ISBLANK(Tabella3[[#This Row],[rest of Italy data]]))</f>
        <v>0</v>
      </c>
      <c r="AD55" s="90">
        <f>Tabella3[[#This Row],[rest of Italy fit]]+CIa</f>
        <v>5338.8509237537364</v>
      </c>
      <c r="AE55" s="90">
        <f>MAX(Tabella3[[#This Row],[rest of Italy fit]]-CIa,0)</f>
        <v>0</v>
      </c>
      <c r="AG55" s="79" t="s">
        <v>62</v>
      </c>
      <c r="AH55" s="103">
        <f>Kf*_xlfn.LOGNORM.DIST(EXP(mu_f-sigma_f^2),mu_f,sigma_f,FALSE)</f>
        <v>6674.6658217840532</v>
      </c>
    </row>
    <row r="56" spans="2:36" x14ac:dyDescent="0.3">
      <c r="B56" s="148">
        <v>43879</v>
      </c>
      <c r="C56" s="4">
        <v>49</v>
      </c>
      <c r="D56" s="10">
        <f>Tabella8[[#This Row],[Spain cum. Cases]]</f>
        <v>2</v>
      </c>
      <c r="E56" s="90">
        <f>(Tabella3[[#This Row],[Spain cumul. Cases]]-D55)</f>
        <v>0</v>
      </c>
      <c r="F56" s="10">
        <f>Tabella3[[#This Row],[Spain daily cases]]*NOT(ISBLANK(Tabella3[[#This Row],[Spain daily cases]]))</f>
        <v>0</v>
      </c>
      <c r="G56" s="90">
        <f>IFERROR(Kf*_xlfn.LOGNORM.DIST((Tabella3[[#This Row],[Day]]-pf),mu_f,sigma_f,FALSE),0)</f>
        <v>7.0215187056150118E-3</v>
      </c>
      <c r="H56" s="90">
        <f>Tabella3[[#This Row],[Spain daily cases fit]]/y_f_peak</f>
        <v>1.0519655804638095E-6</v>
      </c>
      <c r="I56" s="90">
        <f>Tabella3[[#This Row],[Spain daily cases fit]]*NOT(ISBLANK(Tabella3[[#This Row],[Spain daily cases]]))</f>
        <v>7.0215187056150118E-3</v>
      </c>
      <c r="J56" s="90">
        <f>Tabella3[[#This Row],[Spain daily cases fit]]+CIf</f>
        <v>2342.6954391997983</v>
      </c>
      <c r="K56" s="90">
        <f>MAX(Tabella3[[#This Row],[Spain daily cases fit]]-CIf,0)</f>
        <v>0</v>
      </c>
      <c r="L56" s="153"/>
      <c r="M56" s="158"/>
      <c r="N56" s="10">
        <f>Tabella3[[#This Row],[Lombardy data]]*NOT(ISBLANK(Tabella3[[#This Row],[Lombardy data]]))</f>
        <v>0</v>
      </c>
      <c r="O56" s="159">
        <f>Tabella8[[#This Row],[Lombardy fit]]</f>
        <v>11.696728324452055</v>
      </c>
      <c r="P56" s="10">
        <f>Tabella3[[#This Row],[Lombardy cumul. Fit]]/Kl</f>
        <v>1.3444515315462133E-4</v>
      </c>
      <c r="Q56" s="90">
        <f>IFERROR(Kl*_xlfn.LOGNORM.DIST((Tabella3[[#This Row],[Day]]-pl),mu_l,sigma_l,FALSE),0)</f>
        <v>7.5124004947819838</v>
      </c>
      <c r="R56" s="90">
        <f>Tabella3[[#This Row],[Lombardy fit]]/y_l_peak</f>
        <v>4.2733760253569715E-3</v>
      </c>
      <c r="S56" s="10">
        <f>Tabella3[[#This Row],[Lombardy fit]]*NOT(ISBLANK(Tabella3[[#This Row],[Lombardy data]]))</f>
        <v>0</v>
      </c>
      <c r="T56" s="90">
        <f>Tabella3[[#This Row],[Lombardy fit]]+CIl</f>
        <v>2577.8947234111906</v>
      </c>
      <c r="U56" s="90">
        <f>MAX(Tabella3[[#This Row],[Lombardy fit]]-CIl,0)</f>
        <v>0</v>
      </c>
      <c r="V56" s="155"/>
      <c r="W56" s="158"/>
      <c r="X56" s="10">
        <f>Tabella3[[#This Row],[rest of Italy data]]*NOT(ISBLANK(Tabella3[[#This Row],[rest of Italy data]]))</f>
        <v>0</v>
      </c>
      <c r="Y56" s="159">
        <f>Tabella8[[#This Row],[rest of Italy fit]]</f>
        <v>3.250241220883384E-2</v>
      </c>
      <c r="Z56" s="90">
        <f>Tabella3[[#This Row],[rest of Italy cumul. Fit]]/Ka</f>
        <v>2.19610918868169E-7</v>
      </c>
      <c r="AA56" s="90">
        <f>IFERROR(Ka*_xlfn.LOGNORM.DIST((Tabella3[[#This Row],[Day]]-pa),mu_a,sigma_a,FALSE),0)</f>
        <v>4.6918253395776648E-2</v>
      </c>
      <c r="AB56" s="90">
        <f>Tabella3[[#This Row],[rest of Italy fit]]/y_a_peak</f>
        <v>1.3884635421984643E-5</v>
      </c>
      <c r="AC56" s="10">
        <f>Tabella3[[#This Row],[rest of Italy fit]]*NOT(ISBLANK(Tabella3[[#This Row],[rest of Italy data]]))</f>
        <v>0</v>
      </c>
      <c r="AD56" s="90">
        <f>Tabella3[[#This Row],[rest of Italy fit]]+CIa</f>
        <v>5338.8863534134134</v>
      </c>
      <c r="AE56" s="90">
        <f>MAX(Tabella3[[#This Row],[rest of Italy fit]]-CIa,0)</f>
        <v>0</v>
      </c>
      <c r="AG56" s="79" t="s">
        <v>43</v>
      </c>
      <c r="AH56" s="94">
        <f>_xlfn.XLOOKUP(ROUND(EXP(mu_f-sigma_f^2)+pf,0),Tabella3[Day],Tabella3[Date])</f>
        <v>43924</v>
      </c>
    </row>
    <row r="57" spans="2:36" x14ac:dyDescent="0.3">
      <c r="B57" s="148">
        <v>43880</v>
      </c>
      <c r="C57" s="4">
        <v>50</v>
      </c>
      <c r="D57" s="10">
        <f>Tabella8[[#This Row],[Spain cum. Cases]]</f>
        <v>2</v>
      </c>
      <c r="E57" s="90">
        <f>(Tabella3[[#This Row],[Spain cumul. Cases]]-D56)</f>
        <v>0</v>
      </c>
      <c r="F57" s="10">
        <f>Tabella3[[#This Row],[Spain daily cases]]*NOT(ISBLANK(Tabella3[[#This Row],[Spain daily cases]]))</f>
        <v>0</v>
      </c>
      <c r="G57" s="90">
        <f>IFERROR(Kf*_xlfn.LOGNORM.DIST((Tabella3[[#This Row],[Day]]-pf),mu_f,sigma_f,FALSE),0)</f>
        <v>2.4697925493090144E-2</v>
      </c>
      <c r="H57" s="90">
        <f>Tabella3[[#This Row],[Spain daily cases fit]]/y_f_peak</f>
        <v>3.7002489941119932E-6</v>
      </c>
      <c r="I57" s="90">
        <f>Tabella3[[#This Row],[Spain daily cases fit]]*NOT(ISBLANK(Tabella3[[#This Row],[Spain daily cases]]))</f>
        <v>2.4697925493090144E-2</v>
      </c>
      <c r="J57" s="90">
        <f>Tabella3[[#This Row],[Spain daily cases fit]]+CIf</f>
        <v>2342.7131156065857</v>
      </c>
      <c r="K57" s="90">
        <f>MAX(Tabella3[[#This Row],[Spain daily cases fit]]-CIf,0)</f>
        <v>0</v>
      </c>
      <c r="L57" s="153"/>
      <c r="M57" s="158"/>
      <c r="N57" s="10">
        <f>Tabella3[[#This Row],[Lombardy data]]*NOT(ISBLANK(Tabella3[[#This Row],[Lombardy data]]))</f>
        <v>0</v>
      </c>
      <c r="O57" s="159">
        <f>Tabella8[[#This Row],[Lombardy fit]]</f>
        <v>21.583926129223123</v>
      </c>
      <c r="P57" s="10">
        <f>Tabella3[[#This Row],[Lombardy cumul. Fit]]/Kl</f>
        <v>2.4809110493359912E-4</v>
      </c>
      <c r="Q57" s="90">
        <f>IFERROR(Kl*_xlfn.LOGNORM.DIST((Tabella3[[#This Row],[Day]]-pl),mu_l,sigma_l,FALSE),0)</f>
        <v>12.611697574226687</v>
      </c>
      <c r="R57" s="90">
        <f>Tabella3[[#This Row],[Lombardy fit]]/y_l_peak</f>
        <v>7.1740751960957675E-3</v>
      </c>
      <c r="S57" s="10">
        <f>Tabella3[[#This Row],[Lombardy fit]]*NOT(ISBLANK(Tabella3[[#This Row],[Lombardy data]]))</f>
        <v>0</v>
      </c>
      <c r="T57" s="90">
        <f>Tabella3[[#This Row],[Lombardy fit]]+CIl</f>
        <v>2582.9940204906352</v>
      </c>
      <c r="U57" s="90">
        <f>MAX(Tabella3[[#This Row],[Lombardy fit]]-CIl,0)</f>
        <v>0</v>
      </c>
      <c r="V57" s="155"/>
      <c r="W57" s="158"/>
      <c r="X57" s="10">
        <f>Tabella3[[#This Row],[rest of Italy data]]*NOT(ISBLANK(Tabella3[[#This Row],[rest of Italy data]]))</f>
        <v>0</v>
      </c>
      <c r="Y57" s="159">
        <f>Tabella8[[#This Row],[rest of Italy fit]]</f>
        <v>0.12529684172525352</v>
      </c>
      <c r="Z57" s="90">
        <f>Tabella3[[#This Row],[rest of Italy cumul. Fit]]/Ka</f>
        <v>8.4660038048141327E-7</v>
      </c>
      <c r="AA57" s="90">
        <f>IFERROR(Ka*_xlfn.LOGNORM.DIST((Tabella3[[#This Row],[Day]]-pa),mu_a,sigma_a,FALSE),0)</f>
        <v>0.15804390046841324</v>
      </c>
      <c r="AB57" s="90">
        <f>Tabella3[[#This Row],[rest of Italy fit]]/y_a_peak</f>
        <v>4.6770324550697645E-5</v>
      </c>
      <c r="AC57" s="10">
        <f>Tabella3[[#This Row],[rest of Italy fit]]*NOT(ISBLANK(Tabella3[[#This Row],[rest of Italy data]]))</f>
        <v>0</v>
      </c>
      <c r="AD57" s="90">
        <f>Tabella3[[#This Row],[rest of Italy fit]]+CIa</f>
        <v>5338.9974790604856</v>
      </c>
      <c r="AE57" s="90">
        <f>MAX(Tabella3[[#This Row],[rest of Italy fit]]-CIa,0)</f>
        <v>0</v>
      </c>
      <c r="AG57" s="78" t="s">
        <v>74</v>
      </c>
      <c r="AH57" s="151">
        <f>pt</f>
        <v>34.333377297288806</v>
      </c>
    </row>
    <row r="58" spans="2:36" x14ac:dyDescent="0.3">
      <c r="B58" s="148">
        <v>43881</v>
      </c>
      <c r="C58" s="4">
        <v>51</v>
      </c>
      <c r="D58" s="10">
        <f>Tabella8[[#This Row],[Spain cum. Cases]]</f>
        <v>2</v>
      </c>
      <c r="E58" s="90">
        <f>(Tabella3[[#This Row],[Spain cumul. Cases]]-D57)</f>
        <v>0</v>
      </c>
      <c r="F58" s="10">
        <f>Tabella3[[#This Row],[Spain daily cases]]*NOT(ISBLANK(Tabella3[[#This Row],[Spain daily cases]]))</f>
        <v>0</v>
      </c>
      <c r="G58" s="90">
        <f>IFERROR(Kf*_xlfn.LOGNORM.DIST((Tabella3[[#This Row],[Day]]-pf),mu_f,sigma_f,FALSE),0)</f>
        <v>7.6084153698577198E-2</v>
      </c>
      <c r="H58" s="90">
        <f>Tabella3[[#This Row],[Spain daily cases fit]]/y_f_peak</f>
        <v>1.1398945764484862E-5</v>
      </c>
      <c r="I58" s="90">
        <f>Tabella3[[#This Row],[Spain daily cases fit]]*NOT(ISBLANK(Tabella3[[#This Row],[Spain daily cases]]))</f>
        <v>7.6084153698577198E-2</v>
      </c>
      <c r="J58" s="90">
        <f>Tabella3[[#This Row],[Spain daily cases fit]]+CIf</f>
        <v>2342.7645018347912</v>
      </c>
      <c r="K58" s="90">
        <f>MAX(Tabella3[[#This Row],[Spain daily cases fit]]-CIf,0)</f>
        <v>0</v>
      </c>
      <c r="L58" s="153"/>
      <c r="M58" s="158"/>
      <c r="N58" s="10">
        <f>Tabella3[[#This Row],[Lombardy data]]*NOT(ISBLANK(Tabella3[[#This Row],[Lombardy data]]))</f>
        <v>0</v>
      </c>
      <c r="O58" s="159">
        <f>Tabella8[[#This Row],[Lombardy fit]]</f>
        <v>37.724019062370473</v>
      </c>
      <c r="P58" s="10">
        <f>Tabella3[[#This Row],[Lombardy cumul. Fit]]/Kl</f>
        <v>4.3360941451000542E-4</v>
      </c>
      <c r="Q58" s="90">
        <f>IFERROR(Kl*_xlfn.LOGNORM.DIST((Tabella3[[#This Row],[Day]]-pl),mu_l,sigma_l,FALSE),0)</f>
        <v>20.124607729459562</v>
      </c>
      <c r="R58" s="90">
        <f>Tabella3[[#This Row],[Lombardy fit]]/y_l_peak</f>
        <v>1.1447741138204837E-2</v>
      </c>
      <c r="S58" s="10">
        <f>Tabella3[[#This Row],[Lombardy fit]]*NOT(ISBLANK(Tabella3[[#This Row],[Lombardy data]]))</f>
        <v>0</v>
      </c>
      <c r="T58" s="90">
        <f>Tabella3[[#This Row],[Lombardy fit]]+CIl</f>
        <v>2590.5069306458681</v>
      </c>
      <c r="U58" s="90">
        <f>MAX(Tabella3[[#This Row],[Lombardy fit]]-CIl,0)</f>
        <v>0</v>
      </c>
      <c r="V58" s="155"/>
      <c r="W58" s="158"/>
      <c r="X58" s="10">
        <f>Tabella3[[#This Row],[rest of Italy data]]*NOT(ISBLANK(Tabella3[[#This Row],[rest of Italy data]]))</f>
        <v>0</v>
      </c>
      <c r="Y58" s="159">
        <f>Tabella8[[#This Row],[rest of Italy fit]]</f>
        <v>0.40942503163152882</v>
      </c>
      <c r="Z58" s="90">
        <f>Tabella3[[#This Row],[rest of Italy cumul. Fit]]/Ka</f>
        <v>2.7663856709008015E-6</v>
      </c>
      <c r="AA58" s="90">
        <f>IFERROR(Ka*_xlfn.LOGNORM.DIST((Tabella3[[#This Row],[Day]]-pa),mu_a,sigma_a,FALSE),0)</f>
        <v>0.45506194217060519</v>
      </c>
      <c r="AB58" s="90">
        <f>Tabella3[[#This Row],[rest of Italy fit]]/y_a_peak</f>
        <v>1.3466761237168861E-4</v>
      </c>
      <c r="AC58" s="10">
        <f>Tabella3[[#This Row],[rest of Italy fit]]*NOT(ISBLANK(Tabella3[[#This Row],[rest of Italy data]]))</f>
        <v>0</v>
      </c>
      <c r="AD58" s="90">
        <f>Tabella3[[#This Row],[rest of Italy fit]]+CIa</f>
        <v>5339.294497102188</v>
      </c>
      <c r="AE58" s="90">
        <f>MAX(Tabella3[[#This Row],[rest of Italy fit]]-CIa,0)</f>
        <v>0</v>
      </c>
    </row>
    <row r="59" spans="2:36" x14ac:dyDescent="0.3">
      <c r="B59" s="148">
        <v>43882</v>
      </c>
      <c r="C59" s="4">
        <v>52</v>
      </c>
      <c r="D59" s="10">
        <f>Tabella8[[#This Row],[Spain cum. Cases]]</f>
        <v>2</v>
      </c>
      <c r="E59" s="90">
        <f>(Tabella3[[#This Row],[Spain cumul. Cases]]-D58)</f>
        <v>0</v>
      </c>
      <c r="F59" s="10">
        <f>Tabella3[[#This Row],[Spain daily cases]]*NOT(ISBLANK(Tabella3[[#This Row],[Spain daily cases]]))</f>
        <v>0</v>
      </c>
      <c r="G59" s="90">
        <f>IFERROR(Kf*_xlfn.LOGNORM.DIST((Tabella3[[#This Row],[Day]]-pf),mu_f,sigma_f,FALSE),0)</f>
        <v>0.20911970476723316</v>
      </c>
      <c r="H59" s="90">
        <f>Tabella3[[#This Row],[Spain daily cases fit]]/y_f_peak</f>
        <v>3.1330363249757144E-5</v>
      </c>
      <c r="I59" s="90">
        <f>Tabella3[[#This Row],[Spain daily cases fit]]*NOT(ISBLANK(Tabella3[[#This Row],[Spain daily cases]]))</f>
        <v>0.20911970476723316</v>
      </c>
      <c r="J59" s="90">
        <f>Tabella3[[#This Row],[Spain daily cases fit]]+CIf</f>
        <v>2342.8975373858598</v>
      </c>
      <c r="K59" s="90">
        <f>MAX(Tabella3[[#This Row],[Spain daily cases fit]]-CIf,0)</f>
        <v>0</v>
      </c>
      <c r="L59" s="153"/>
      <c r="M59" s="158"/>
      <c r="N59" s="10">
        <f>Tabella3[[#This Row],[Lombardy data]]*NOT(ISBLANK(Tabella3[[#This Row],[Lombardy data]]))</f>
        <v>0</v>
      </c>
      <c r="O59" s="159">
        <f>Tabella8[[#This Row],[Lombardy fit]]</f>
        <v>62.857858736043291</v>
      </c>
      <c r="P59" s="10">
        <f>Tabella3[[#This Row],[Lombardy cumul. Fit]]/Kl</f>
        <v>7.2250412340279645E-4</v>
      </c>
      <c r="Q59" s="90">
        <f>IFERROR(Kl*_xlfn.LOGNORM.DIST((Tabella3[[#This Row],[Day]]-pl),mu_l,sigma_l,FALSE),0)</f>
        <v>30.712451565484525</v>
      </c>
      <c r="R59" s="90">
        <f>Tabella3[[#This Row],[Lombardy fit]]/y_l_peak</f>
        <v>1.7470561412565856E-2</v>
      </c>
      <c r="S59" s="10">
        <f>Tabella3[[#This Row],[Lombardy fit]]*NOT(ISBLANK(Tabella3[[#This Row],[Lombardy data]]))</f>
        <v>0</v>
      </c>
      <c r="T59" s="90">
        <f>Tabella3[[#This Row],[Lombardy fit]]+CIl</f>
        <v>2601.0947744818932</v>
      </c>
      <c r="U59" s="90">
        <f>MAX(Tabella3[[#This Row],[Lombardy fit]]-CIl,0)</f>
        <v>0</v>
      </c>
      <c r="V59" s="155"/>
      <c r="W59" s="158"/>
      <c r="X59" s="10">
        <f>Tabella3[[#This Row],[rest of Italy data]]*NOT(ISBLANK(Tabella3[[#This Row],[rest of Italy data]]))</f>
        <v>0</v>
      </c>
      <c r="Y59" s="159">
        <f>Tabella8[[#This Row],[rest of Italy fit]]</f>
        <v>1.166635984039708</v>
      </c>
      <c r="Z59" s="90">
        <f>Tabella3[[#This Row],[rest of Italy cumul. Fit]]/Ka</f>
        <v>7.8826764854701008E-6</v>
      </c>
      <c r="AA59" s="90">
        <f>IFERROR(Ka*_xlfn.LOGNORM.DIST((Tabella3[[#This Row],[Day]]-pa),mu_a,sigma_a,FALSE),0)</f>
        <v>1.1508049613296201</v>
      </c>
      <c r="AB59" s="90">
        <f>Tabella3[[#This Row],[rest of Italy fit]]/y_a_peak</f>
        <v>3.4056057447592918E-4</v>
      </c>
      <c r="AC59" s="10">
        <f>Tabella3[[#This Row],[rest of Italy fit]]*NOT(ISBLANK(Tabella3[[#This Row],[rest of Italy data]]))</f>
        <v>0</v>
      </c>
      <c r="AD59" s="90">
        <f>Tabella3[[#This Row],[rest of Italy fit]]+CIa</f>
        <v>5339.9902401213467</v>
      </c>
      <c r="AE59" s="90">
        <f>MAX(Tabella3[[#This Row],[rest of Italy fit]]-CIa,0)</f>
        <v>0</v>
      </c>
      <c r="AG59" s="70"/>
      <c r="AH59" s="72"/>
      <c r="AI59" s="71"/>
      <c r="AJ59" s="71"/>
    </row>
    <row r="60" spans="2:36" x14ac:dyDescent="0.3">
      <c r="B60" s="148">
        <v>43883</v>
      </c>
      <c r="C60" s="4">
        <v>53</v>
      </c>
      <c r="D60" s="10">
        <f>Tabella8[[#This Row],[Spain cum. Cases]]</f>
        <v>2</v>
      </c>
      <c r="E60" s="90">
        <f>(Tabella3[[#This Row],[Spain cumul. Cases]]-D59)</f>
        <v>0</v>
      </c>
      <c r="F60" s="10">
        <f>Tabella3[[#This Row],[Spain daily cases]]*NOT(ISBLANK(Tabella3[[#This Row],[Spain daily cases]]))</f>
        <v>0</v>
      </c>
      <c r="G60" s="90">
        <f>IFERROR(Kf*_xlfn.LOGNORM.DIST((Tabella3[[#This Row],[Day]]-pf),mu_f,sigma_f,FALSE),0)</f>
        <v>0.52065268396359088</v>
      </c>
      <c r="H60" s="90">
        <f>Tabella3[[#This Row],[Spain daily cases fit]]/y_f_peak</f>
        <v>7.8004307311437359E-5</v>
      </c>
      <c r="I60" s="90">
        <f>Tabella3[[#This Row],[Spain daily cases fit]]*NOT(ISBLANK(Tabella3[[#This Row],[Spain daily cases]]))</f>
        <v>0.52065268396359088</v>
      </c>
      <c r="J60" s="90">
        <f>Tabella3[[#This Row],[Spain daily cases fit]]+CIf</f>
        <v>2343.2090703650565</v>
      </c>
      <c r="K60" s="90">
        <f>MAX(Tabella3[[#This Row],[Spain daily cases fit]]-CIf,0)</f>
        <v>0</v>
      </c>
      <c r="L60" s="153"/>
      <c r="M60" s="158"/>
      <c r="N60" s="10">
        <f>Tabella3[[#This Row],[Lombardy data]]*NOT(ISBLANK(Tabella3[[#This Row],[Lombardy data]]))</f>
        <v>0</v>
      </c>
      <c r="O60" s="159">
        <f>Tabella8[[#This Row],[Lombardy fit]]</f>
        <v>100.40214228955595</v>
      </c>
      <c r="P60" s="10">
        <f>Tabella3[[#This Row],[Lombardy cumul. Fit]]/Kl</f>
        <v>1.1540476125236317E-3</v>
      </c>
      <c r="Q60" s="90">
        <f>IFERROR(Kl*_xlfn.LOGNORM.DIST((Tabella3[[#This Row],[Day]]-pl),mu_l,sigma_l,FALSE),0)</f>
        <v>45.059429969357659</v>
      </c>
      <c r="R60" s="90">
        <f>Tabella3[[#This Row],[Lombardy fit]]/y_l_peak</f>
        <v>2.5631738867097312E-2</v>
      </c>
      <c r="S60" s="10">
        <f>Tabella3[[#This Row],[Lombardy fit]]*NOT(ISBLANK(Tabella3[[#This Row],[Lombardy data]]))</f>
        <v>0</v>
      </c>
      <c r="T60" s="90">
        <f>Tabella3[[#This Row],[Lombardy fit]]+CIl</f>
        <v>2615.4417528857662</v>
      </c>
      <c r="U60" s="90">
        <f>MAX(Tabella3[[#This Row],[Lombardy fit]]-CIl,0)</f>
        <v>0</v>
      </c>
      <c r="V60" s="155"/>
      <c r="W60" s="158"/>
      <c r="X60" s="10">
        <f>Tabella3[[#This Row],[rest of Italy data]]*NOT(ISBLANK(Tabella3[[#This Row],[rest of Italy data]]))</f>
        <v>0</v>
      </c>
      <c r="Y60" s="159">
        <f>Tabella8[[#This Row],[rest of Italy fit]]</f>
        <v>2.9634107340692979</v>
      </c>
      <c r="Z60" s="90">
        <f>Tabella3[[#This Row],[rest of Italy cumul. Fit]]/Ka</f>
        <v>2.0023047831381367E-5</v>
      </c>
      <c r="AA60" s="90">
        <f>IFERROR(Ka*_xlfn.LOGNORM.DIST((Tabella3[[#This Row],[Day]]-pa),mu_a,sigma_a,FALSE),0)</f>
        <v>2.6104279071784542</v>
      </c>
      <c r="AB60" s="90">
        <f>Tabella3[[#This Row],[rest of Italy fit]]/y_a_peak</f>
        <v>7.7251042319938083E-4</v>
      </c>
      <c r="AC60" s="10">
        <f>Tabella3[[#This Row],[rest of Italy fit]]*NOT(ISBLANK(Tabella3[[#This Row],[rest of Italy data]]))</f>
        <v>0</v>
      </c>
      <c r="AD60" s="90">
        <f>Tabella3[[#This Row],[rest of Italy fit]]+CIa</f>
        <v>5341.449863067196</v>
      </c>
      <c r="AE60" s="90">
        <f>MAX(Tabella3[[#This Row],[rest of Italy fit]]-CIa,0)</f>
        <v>0</v>
      </c>
      <c r="AG60" s="70"/>
      <c r="AH60" s="70"/>
    </row>
    <row r="61" spans="2:36" x14ac:dyDescent="0.3">
      <c r="B61" s="148">
        <v>43884</v>
      </c>
      <c r="C61" s="4">
        <v>54</v>
      </c>
      <c r="D61" s="10">
        <f>Tabella8[[#This Row],[Spain cum. Cases]]</f>
        <v>2</v>
      </c>
      <c r="E61" s="90">
        <f>(Tabella3[[#This Row],[Spain cumul. Cases]]-D60)</f>
        <v>0</v>
      </c>
      <c r="F61" s="10">
        <f>Tabella3[[#This Row],[Spain daily cases]]*NOT(ISBLANK(Tabella3[[#This Row],[Spain daily cases]]))</f>
        <v>0</v>
      </c>
      <c r="G61" s="90">
        <f>IFERROR(Kf*_xlfn.LOGNORM.DIST((Tabella3[[#This Row],[Day]]-pf),mu_f,sigma_f,FALSE),0)</f>
        <v>1.1890292674842853</v>
      </c>
      <c r="H61" s="90">
        <f>Tabella3[[#This Row],[Spain daily cases fit]]/y_f_peak</f>
        <v>1.7814064392612138E-4</v>
      </c>
      <c r="I61" s="90">
        <f>Tabella3[[#This Row],[Spain daily cases fit]]*NOT(ISBLANK(Tabella3[[#This Row],[Spain daily cases]]))</f>
        <v>1.1890292674842853</v>
      </c>
      <c r="J61" s="90">
        <f>Tabella3[[#This Row],[Spain daily cases fit]]+CIf</f>
        <v>2343.877446948577</v>
      </c>
      <c r="K61" s="90">
        <f>MAX(Tabella3[[#This Row],[Spain daily cases fit]]-CIf,0)</f>
        <v>0</v>
      </c>
      <c r="L61" s="153"/>
      <c r="M61" s="158"/>
      <c r="N61" s="10">
        <f>Tabella3[[#This Row],[Lombardy data]]*NOT(ISBLANK(Tabella3[[#This Row],[Lombardy data]]))</f>
        <v>0</v>
      </c>
      <c r="O61" s="159">
        <f>Tabella8[[#This Row],[Lombardy fit]]</f>
        <v>154.45315185535208</v>
      </c>
      <c r="P61" s="10">
        <f>Tabella3[[#This Row],[Lombardy cumul. Fit]]/Kl</f>
        <v>1.7753235845442768E-3</v>
      </c>
      <c r="Q61" s="90">
        <f>IFERROR(Kl*_xlfn.LOGNORM.DIST((Tabella3[[#This Row],[Day]]-pl),mu_l,sigma_l,FALSE),0)</f>
        <v>63.833835847445826</v>
      </c>
      <c r="R61" s="90">
        <f>Tabella3[[#This Row],[Lombardy fit]]/y_l_peak</f>
        <v>3.6311427207125213E-2</v>
      </c>
      <c r="S61" s="10">
        <f>Tabella3[[#This Row],[Lombardy fit]]*NOT(ISBLANK(Tabella3[[#This Row],[Lombardy data]]))</f>
        <v>0</v>
      </c>
      <c r="T61" s="90">
        <f>Tabella3[[#This Row],[Lombardy fit]]+CIl</f>
        <v>2634.2161587638543</v>
      </c>
      <c r="U61" s="90">
        <f>MAX(Tabella3[[#This Row],[Lombardy fit]]-CIl,0)</f>
        <v>0</v>
      </c>
      <c r="V61" s="155"/>
      <c r="W61" s="158"/>
      <c r="X61" s="10">
        <f>Tabella3[[#This Row],[rest of Italy data]]*NOT(ISBLANK(Tabella3[[#This Row],[rest of Italy data]]))</f>
        <v>0</v>
      </c>
      <c r="Y61" s="159">
        <f>Tabella8[[#This Row],[rest of Italy fit]]</f>
        <v>6.8282200200796863</v>
      </c>
      <c r="Z61" s="90">
        <f>Tabella3[[#This Row],[rest of Italy cumul. Fit]]/Ka</f>
        <v>4.6136627128129388E-5</v>
      </c>
      <c r="AA61" s="90">
        <f>IFERROR(Ka*_xlfn.LOGNORM.DIST((Tabella3[[#This Row],[Day]]-pa),mu_a,sigma_a,FALSE),0)</f>
        <v>5.4002727358958271</v>
      </c>
      <c r="AB61" s="90">
        <f>Tabella3[[#This Row],[rest of Italy fit]]/y_a_peak</f>
        <v>1.5981161422336009E-3</v>
      </c>
      <c r="AC61" s="10">
        <f>Tabella3[[#This Row],[rest of Italy fit]]*NOT(ISBLANK(Tabella3[[#This Row],[rest of Italy data]]))</f>
        <v>0</v>
      </c>
      <c r="AD61" s="90">
        <f>Tabella3[[#This Row],[rest of Italy fit]]+CIa</f>
        <v>5344.2397078959129</v>
      </c>
      <c r="AE61" s="90">
        <f>MAX(Tabella3[[#This Row],[rest of Italy fit]]-CIa,0)</f>
        <v>0</v>
      </c>
      <c r="AG61" s="70"/>
      <c r="AH61" s="70"/>
    </row>
    <row r="62" spans="2:36" x14ac:dyDescent="0.3">
      <c r="B62" s="15">
        <v>43885</v>
      </c>
      <c r="C62" s="4">
        <v>55</v>
      </c>
      <c r="D62" s="10">
        <f>Tabella8[[#This Row],[Spain cum. Cases]]</f>
        <v>2</v>
      </c>
      <c r="E62" s="90">
        <f>(Tabella3[[#This Row],[Spain cumul. Cases]]-D61)</f>
        <v>0</v>
      </c>
      <c r="F62" s="90">
        <f>Tabella3[[#This Row],[Spain daily cases]]*NOT(ISBLANK(Tabella3[[#This Row],[Spain daily cases]]))</f>
        <v>0</v>
      </c>
      <c r="G62" s="90">
        <f>IFERROR(Kf*_xlfn.LOGNORM.DIST((Tabella3[[#This Row],[Day]]-pf),mu_f,sigma_f,FALSE),0)</f>
        <v>2.5168940446355834</v>
      </c>
      <c r="H62" s="90">
        <f>Tabella3[[#This Row],[Spain daily cases fit]]/y_f_peak</f>
        <v>3.7708165649600261E-4</v>
      </c>
      <c r="I62" s="90">
        <f>Tabella3[[#This Row],[Spain daily cases fit]]*NOT(ISBLANK(Tabella3[[#This Row],[Spain daily cases]]))</f>
        <v>2.5168940446355834</v>
      </c>
      <c r="J62" s="90">
        <f>Tabella3[[#This Row],[Spain daily cases fit]]+CIf</f>
        <v>2345.2053117257283</v>
      </c>
      <c r="K62" s="90">
        <f>MAX(Tabella3[[#This Row],[Spain daily cases fit]]-CIf,0)</f>
        <v>0</v>
      </c>
      <c r="L62" s="4">
        <f>Tabella8[[#This Row],[Lombardy]]</f>
        <v>0</v>
      </c>
      <c r="M62" s="158"/>
      <c r="N62" s="90">
        <f>Tabella3[[#This Row],[Lombardy data]]*NOT(ISBLANK(Tabella3[[#This Row],[Lombardy data]]))</f>
        <v>0</v>
      </c>
      <c r="O62" s="95">
        <f>Tabella8[[#This Row],[Lombardy fit]]</f>
        <v>229.75081032074394</v>
      </c>
      <c r="P62" s="90">
        <f>Tabella3[[#This Row],[Lombardy cumul. Fit]]/Kl</f>
        <v>2.640813911732689E-3</v>
      </c>
      <c r="Q62" s="90">
        <f>IFERROR(Kl*_xlfn.LOGNORM.DIST((Tabella3[[#This Row],[Day]]-pl),mu_l,sigma_l,FALSE),0)</f>
        <v>87.648093905472948</v>
      </c>
      <c r="R62" s="90">
        <f>Tabella3[[#This Row],[Lombardy fit]]/y_l_peak</f>
        <v>4.9857999906161077E-2</v>
      </c>
      <c r="S62" s="90">
        <f>Tabella3[[#This Row],[Lombardy fit]]*NOT(ISBLANK(Tabella3[[#This Row],[Lombardy data]]))</f>
        <v>0</v>
      </c>
      <c r="T62" s="90">
        <f>Tabella3[[#This Row],[Lombardy fit]]+CIl</f>
        <v>2658.0304168218818</v>
      </c>
      <c r="U62" s="90">
        <f>MAX(Tabella3[[#This Row],[Lombardy fit]]-CIl,0)</f>
        <v>0</v>
      </c>
      <c r="V62" s="10">
        <f>Tabella8[[#This Row],[rest of Italy ]]</f>
        <v>2</v>
      </c>
      <c r="W62" s="158"/>
      <c r="X62" s="90">
        <f>Tabella3[[#This Row],[rest of Italy data]]*NOT(ISBLANK(Tabella3[[#This Row],[rest of Italy data]]))</f>
        <v>0</v>
      </c>
      <c r="Y62" s="95">
        <f>Tabella8[[#This Row],[rest of Italy fit]]</f>
        <v>14.472768060535266</v>
      </c>
      <c r="Z62" s="90">
        <f>Tabella3[[#This Row],[rest of Italy cumul. Fit]]/Ka</f>
        <v>9.7788984765757959E-5</v>
      </c>
      <c r="AA62" s="90">
        <f>IFERROR(Ka*_xlfn.LOGNORM.DIST((Tabella3[[#This Row],[Day]]-pa),mu_a,sigma_a,FALSE),0)</f>
        <v>10.325132476591177</v>
      </c>
      <c r="AB62" s="90">
        <f>Tabella3[[#This Row],[rest of Italy fit]]/y_a_peak</f>
        <v>3.0555421343554639E-3</v>
      </c>
      <c r="AC62" s="90">
        <f>Tabella3[[#This Row],[rest of Italy fit]]*NOT(ISBLANK(Tabella3[[#This Row],[rest of Italy data]]))</f>
        <v>0</v>
      </c>
      <c r="AD62" s="90">
        <f>Tabella3[[#This Row],[rest of Italy fit]]+CIa</f>
        <v>5349.1645676366088</v>
      </c>
      <c r="AE62" s="90">
        <f>MAX(Tabella3[[#This Row],[rest of Italy fit]]-CIa,0)</f>
        <v>0</v>
      </c>
      <c r="AG62"/>
      <c r="AH62"/>
    </row>
    <row r="63" spans="2:36" x14ac:dyDescent="0.3">
      <c r="B63" s="9">
        <v>43886</v>
      </c>
      <c r="C63" s="4">
        <v>56</v>
      </c>
      <c r="D63" s="10">
        <f>Tabella8[[#This Row],[Spain cum. Cases]]</f>
        <v>6</v>
      </c>
      <c r="E63" s="90">
        <f>(Tabella3[[#This Row],[Spain cumul. Cases]]-D62)</f>
        <v>4</v>
      </c>
      <c r="F63" s="90">
        <f>Tabella3[[#This Row],[Spain daily cases]]*NOT(ISBLANK(Tabella3[[#This Row],[Spain daily cases]]))</f>
        <v>4</v>
      </c>
      <c r="G63" s="90">
        <f>IFERROR(Kf*_xlfn.LOGNORM.DIST((Tabella3[[#This Row],[Day]]-pf),mu_f,sigma_f,FALSE),0)</f>
        <v>4.9817649672577309</v>
      </c>
      <c r="H63" s="90">
        <f>Tabella3[[#This Row],[Spain daily cases fit]]/y_f_peak</f>
        <v>7.4636919664184309E-4</v>
      </c>
      <c r="I63" s="90">
        <f>Tabella3[[#This Row],[Spain daily cases fit]]*NOT(ISBLANK(Tabella3[[#This Row],[Spain daily cases]]))</f>
        <v>4.9817649672577309</v>
      </c>
      <c r="J63" s="90">
        <f>Tabella3[[#This Row],[Spain daily cases fit]]+CIf</f>
        <v>2347.6701826483504</v>
      </c>
      <c r="K63" s="90">
        <f>MAX(Tabella3[[#This Row],[Spain daily cases fit]]-CIf,0)</f>
        <v>0</v>
      </c>
      <c r="L63" s="4">
        <f>Tabella8[[#This Row],[Lombardy]]</f>
        <v>0</v>
      </c>
      <c r="M63" s="90">
        <f>(Tabella3[[#This Row],[Lombardy cumul. Data]]-L62)</f>
        <v>0</v>
      </c>
      <c r="N63" s="90">
        <f>Tabella3[[#This Row],[Lombardy data]]*NOT(ISBLANK(Tabella3[[#This Row],[Lombardy data]]))</f>
        <v>0</v>
      </c>
      <c r="O63" s="95">
        <f>Tabella8[[#This Row],[Lombardy fit]]</f>
        <v>331.60368823539022</v>
      </c>
      <c r="P63" s="90">
        <f>Tabella3[[#This Row],[Lombardy cumul. Fit]]/Kl</f>
        <v>3.8115366463837958E-3</v>
      </c>
      <c r="Q63" s="90">
        <f>IFERROR(Kl*_xlfn.LOGNORM.DIST((Tabella3[[#This Row],[Day]]-pl),mu_l,sigma_l,FALSE),0)</f>
        <v>117.02117832508443</v>
      </c>
      <c r="R63" s="90">
        <f>Tabella3[[#This Row],[Lombardy fit]]/y_l_peak</f>
        <v>6.65666717663395E-2</v>
      </c>
      <c r="S63" s="90">
        <f>Tabella3[[#This Row],[Lombardy fit]]*NOT(ISBLANK(Tabella3[[#This Row],[Lombardy data]]))</f>
        <v>117.02117832508443</v>
      </c>
      <c r="T63" s="90">
        <f>Tabella3[[#This Row],[Lombardy fit]]+CIl</f>
        <v>2687.4035012414929</v>
      </c>
      <c r="U63" s="90">
        <f>MAX(Tabella3[[#This Row],[Lombardy fit]]-CIl,0)</f>
        <v>0</v>
      </c>
      <c r="V63" s="10">
        <f>Tabella8[[#This Row],[rest of Italy ]]</f>
        <v>6</v>
      </c>
      <c r="W63" s="10">
        <f>(Tabella3[[#This Row],[rest of Italy cum. Data]]-V62)</f>
        <v>4</v>
      </c>
      <c r="X63" s="90">
        <f>Tabella3[[#This Row],[rest of Italy data]]*NOT(ISBLANK(Tabella3[[#This Row],[rest of Italy data]]))</f>
        <v>4</v>
      </c>
      <c r="Y63" s="95">
        <f>Tabella8[[#This Row],[rest of Italy fit]]</f>
        <v>28.540319273609629</v>
      </c>
      <c r="Z63" s="90">
        <f>Tabella3[[#This Row],[rest of Italy cumul. Fit]]/Ka</f>
        <v>1.9284001754075368E-4</v>
      </c>
      <c r="AA63" s="90">
        <f>IFERROR(Ka*_xlfn.LOGNORM.DIST((Tabella3[[#This Row],[Day]]-pa),mu_a,sigma_a,FALSE),0)</f>
        <v>18.443627571700961</v>
      </c>
      <c r="AB63" s="90">
        <f>Tabella3[[#This Row],[rest of Italy fit]]/y_a_peak</f>
        <v>5.4580685800845073E-3</v>
      </c>
      <c r="AC63" s="90">
        <f>Tabella3[[#This Row],[rest of Italy fit]]*NOT(ISBLANK(Tabella3[[#This Row],[rest of Italy data]]))</f>
        <v>18.443627571700961</v>
      </c>
      <c r="AD63" s="90">
        <f>Tabella3[[#This Row],[rest of Italy fit]]+CIa</f>
        <v>5357.283062731718</v>
      </c>
      <c r="AE63" s="90">
        <f>MAX(Tabella3[[#This Row],[rest of Italy fit]]-CIa,0)</f>
        <v>0</v>
      </c>
      <c r="AG63"/>
      <c r="AH63"/>
    </row>
    <row r="64" spans="2:36" x14ac:dyDescent="0.3">
      <c r="B64" s="9">
        <v>43887</v>
      </c>
      <c r="C64" s="4">
        <v>57</v>
      </c>
      <c r="D64" s="10">
        <f>Tabella8[[#This Row],[Spain cum. Cases]]</f>
        <v>13</v>
      </c>
      <c r="E64" s="90">
        <f>(Tabella3[[#This Row],[Spain cumul. Cases]]-D63)</f>
        <v>7</v>
      </c>
      <c r="F64" s="90">
        <f>Tabella3[[#This Row],[Spain daily cases]]*NOT(ISBLANK(Tabella3[[#This Row],[Spain daily cases]]))</f>
        <v>7</v>
      </c>
      <c r="G64" s="90">
        <f>IFERROR(Kf*_xlfn.LOGNORM.DIST((Tabella3[[#This Row],[Day]]-pf),mu_f,sigma_f,FALSE),0)</f>
        <v>9.2893743357339726</v>
      </c>
      <c r="H64" s="90">
        <f>Tabella3[[#This Row],[Spain daily cases fit]]/y_f_peak</f>
        <v>1.3917362432462636E-3</v>
      </c>
      <c r="I64" s="90">
        <f>Tabella3[[#This Row],[Spain daily cases fit]]*NOT(ISBLANK(Tabella3[[#This Row],[Spain daily cases]]))</f>
        <v>9.2893743357339726</v>
      </c>
      <c r="J64" s="90">
        <f>Tabella3[[#This Row],[Spain daily cases fit]]+CIf</f>
        <v>2351.9777920168267</v>
      </c>
      <c r="K64" s="90">
        <f>MAX(Tabella3[[#This Row],[Spain daily cases fit]]-CIf,0)</f>
        <v>0</v>
      </c>
      <c r="L64" s="4">
        <f>Tabella8[[#This Row],[Lombardy]]</f>
        <v>0</v>
      </c>
      <c r="M64" s="90">
        <f>(Tabella3[[#This Row],[Lombardy cumul. Data]]-L63)</f>
        <v>0</v>
      </c>
      <c r="N64" s="90">
        <f>Tabella3[[#This Row],[Lombardy data]]*NOT(ISBLANK(Tabella3[[#This Row],[Lombardy data]]))</f>
        <v>0</v>
      </c>
      <c r="O64" s="95">
        <f>Tabella8[[#This Row],[Lombardy fit]]</f>
        <v>465.77889435556489</v>
      </c>
      <c r="P64" s="90">
        <f>Tabella3[[#This Row],[Lombardy cumul. Fit]]/Kl</f>
        <v>5.3537803948915507E-3</v>
      </c>
      <c r="Q64" s="90">
        <f>IFERROR(Kl*_xlfn.LOGNORM.DIST((Tabella3[[#This Row],[Day]]-pl),mu_l,sigma_l,FALSE),0)</f>
        <v>152.34639825617381</v>
      </c>
      <c r="R64" s="90">
        <f>Tabella3[[#This Row],[Lombardy fit]]/y_l_peak</f>
        <v>8.6661173922984766E-2</v>
      </c>
      <c r="S64" s="90">
        <f>Tabella3[[#This Row],[Lombardy fit]]*NOT(ISBLANK(Tabella3[[#This Row],[Lombardy data]]))</f>
        <v>152.34639825617381</v>
      </c>
      <c r="T64" s="90">
        <f>Tabella3[[#This Row],[Lombardy fit]]+CIl</f>
        <v>2722.7287211725825</v>
      </c>
      <c r="U64" s="90">
        <f>MAX(Tabella3[[#This Row],[Lombardy fit]]-CIl,0)</f>
        <v>0</v>
      </c>
      <c r="V64" s="10">
        <f>Tabella8[[#This Row],[rest of Italy ]]</f>
        <v>13</v>
      </c>
      <c r="W64" s="10">
        <f>(Tabella3[[#This Row],[rest of Italy cum. Data]]-V63)</f>
        <v>7</v>
      </c>
      <c r="X64" s="90">
        <f>Tabella3[[#This Row],[rest of Italy data]]*NOT(ISBLANK(Tabella3[[#This Row],[rest of Italy data]]))</f>
        <v>7</v>
      </c>
      <c r="Y64" s="95">
        <f>Tabella8[[#This Row],[rest of Italy fit]]</f>
        <v>52.855278634221321</v>
      </c>
      <c r="Z64" s="90">
        <f>Tabella3[[#This Row],[rest of Italy cumul. Fit]]/Ka</f>
        <v>3.5713030261611206E-4</v>
      </c>
      <c r="AA64" s="90">
        <f>IFERROR(Ka*_xlfn.LOGNORM.DIST((Tabella3[[#This Row],[Day]]-pa),mu_a,sigma_a,FALSE),0)</f>
        <v>31.054503010317745</v>
      </c>
      <c r="AB64" s="90">
        <f>Tabella3[[#This Row],[rest of Italy fit]]/y_a_peak</f>
        <v>9.1900363142673851E-3</v>
      </c>
      <c r="AC64" s="90">
        <f>Tabella3[[#This Row],[rest of Italy fit]]*NOT(ISBLANK(Tabella3[[#This Row],[rest of Italy data]]))</f>
        <v>31.054503010317745</v>
      </c>
      <c r="AD64" s="90">
        <f>Tabella3[[#This Row],[rest of Italy fit]]+CIa</f>
        <v>5369.8939381703349</v>
      </c>
      <c r="AE64" s="90">
        <f>MAX(Tabella3[[#This Row],[rest of Italy fit]]-CIa,0)</f>
        <v>0</v>
      </c>
      <c r="AG64"/>
      <c r="AH64"/>
    </row>
    <row r="65" spans="2:34" x14ac:dyDescent="0.3">
      <c r="B65" s="9">
        <v>43888</v>
      </c>
      <c r="C65" s="4">
        <v>58</v>
      </c>
      <c r="D65" s="10">
        <f>Tabella8[[#This Row],[Spain cum. Cases]]</f>
        <v>15</v>
      </c>
      <c r="E65" s="90">
        <f>(Tabella3[[#This Row],[Spain cumul. Cases]]-D64)</f>
        <v>2</v>
      </c>
      <c r="F65" s="90">
        <f>Tabella3[[#This Row],[Spain daily cases]]*NOT(ISBLANK(Tabella3[[#This Row],[Spain daily cases]]))</f>
        <v>2</v>
      </c>
      <c r="G65" s="90">
        <f>IFERROR(Kf*_xlfn.LOGNORM.DIST((Tabella3[[#This Row],[Day]]-pf),mu_f,sigma_f,FALSE),0)</f>
        <v>16.422625492289285</v>
      </c>
      <c r="H65" s="90">
        <f>Tabella3[[#This Row],[Spain daily cases fit]]/y_f_peak</f>
        <v>2.4604416057341619E-3</v>
      </c>
      <c r="I65" s="90">
        <f>Tabella3[[#This Row],[Spain daily cases fit]]*NOT(ISBLANK(Tabella3[[#This Row],[Spain daily cases]]))</f>
        <v>16.422625492289285</v>
      </c>
      <c r="J65" s="90">
        <f>Tabella3[[#This Row],[Spain daily cases fit]]+CIf</f>
        <v>2359.1110431733819</v>
      </c>
      <c r="K65" s="90">
        <f>MAX(Tabella3[[#This Row],[Spain daily cases fit]]-CIf,0)</f>
        <v>0</v>
      </c>
      <c r="L65" s="4">
        <f>Tabella8[[#This Row],[Lombardy]]</f>
        <v>0</v>
      </c>
      <c r="M65" s="90">
        <f>(Tabella3[[#This Row],[Lombardy cumul. Data]]-L64)</f>
        <v>0</v>
      </c>
      <c r="N65" s="90">
        <f>Tabella3[[#This Row],[Lombardy data]]*NOT(ISBLANK(Tabella3[[#This Row],[Lombardy data]]))</f>
        <v>0</v>
      </c>
      <c r="O65" s="95">
        <f>Tabella8[[#This Row],[Lombardy fit]]</f>
        <v>638.36338064302606</v>
      </c>
      <c r="P65" s="90">
        <f>Tabella3[[#This Row],[Lombardy cumul. Fit]]/Kl</f>
        <v>7.337510122333633E-3</v>
      </c>
      <c r="Q65" s="90">
        <f>IFERROR(Kl*_xlfn.LOGNORM.DIST((Tabella3[[#This Row],[Day]]-pl),mu_l,sigma_l,FALSE),0)</f>
        <v>193.86672930973202</v>
      </c>
      <c r="R65" s="90">
        <f>Tabella3[[#This Row],[Lombardy fit]]/y_l_peak</f>
        <v>0.11027972133834184</v>
      </c>
      <c r="S65" s="90">
        <f>Tabella3[[#This Row],[Lombardy fit]]*NOT(ISBLANK(Tabella3[[#This Row],[Lombardy data]]))</f>
        <v>193.86672930973202</v>
      </c>
      <c r="T65" s="90">
        <f>Tabella3[[#This Row],[Lombardy fit]]+CIl</f>
        <v>2764.2490522261405</v>
      </c>
      <c r="U65" s="90">
        <f>MAX(Tabella3[[#This Row],[Lombardy fit]]-CIl,0)</f>
        <v>0</v>
      </c>
      <c r="V65" s="10">
        <f>Tabella8[[#This Row],[rest of Italy ]]</f>
        <v>15</v>
      </c>
      <c r="W65" s="10">
        <f>(Tabella3[[#This Row],[rest of Italy cum. Data]]-V64)</f>
        <v>2</v>
      </c>
      <c r="X65" s="90">
        <f>Tabella3[[#This Row],[rest of Italy data]]*NOT(ISBLANK(Tabella3[[#This Row],[rest of Italy data]]))</f>
        <v>2</v>
      </c>
      <c r="Y65" s="95">
        <f>Tabella8[[#This Row],[rest of Italy fit]]</f>
        <v>92.643298386472409</v>
      </c>
      <c r="Z65" s="90">
        <f>Tabella3[[#This Row],[rest of Italy cumul. Fit]]/Ka</f>
        <v>6.2596830521094242E-4</v>
      </c>
      <c r="AA65" s="90">
        <f>IFERROR(Ka*_xlfn.LOGNORM.DIST((Tabella3[[#This Row],[Day]]-pa),mu_a,sigma_a,FALSE),0)</f>
        <v>49.651415984551527</v>
      </c>
      <c r="AB65" s="90">
        <f>Tabella3[[#This Row],[rest of Italy fit]]/y_a_peak</f>
        <v>1.4693467024773227E-2</v>
      </c>
      <c r="AC65" s="90">
        <f>Tabella3[[#This Row],[rest of Italy fit]]*NOT(ISBLANK(Tabella3[[#This Row],[rest of Italy data]]))</f>
        <v>49.651415984551527</v>
      </c>
      <c r="AD65" s="90">
        <f>Tabella3[[#This Row],[rest of Italy fit]]+CIa</f>
        <v>5388.4908511445692</v>
      </c>
      <c r="AE65" s="90">
        <f>MAX(Tabella3[[#This Row],[rest of Italy fit]]-CIa,0)</f>
        <v>0</v>
      </c>
      <c r="AG65"/>
      <c r="AH65"/>
    </row>
    <row r="66" spans="2:34" x14ac:dyDescent="0.3">
      <c r="B66" s="9">
        <v>43889</v>
      </c>
      <c r="C66" s="4">
        <v>59</v>
      </c>
      <c r="D66" s="10">
        <f>Tabella8[[#This Row],[Spain cum. Cases]]</f>
        <v>32</v>
      </c>
      <c r="E66" s="90">
        <f>(Tabella3[[#This Row],[Spain cumul. Cases]]-D65)</f>
        <v>17</v>
      </c>
      <c r="F66" s="90">
        <f>Tabella3[[#This Row],[Spain daily cases]]*NOT(ISBLANK(Tabella3[[#This Row],[Spain daily cases]]))</f>
        <v>17</v>
      </c>
      <c r="G66" s="90">
        <f>IFERROR(Kf*_xlfn.LOGNORM.DIST((Tabella3[[#This Row],[Day]]-pf),mu_f,sigma_f,FALSE),0)</f>
        <v>27.677878686693333</v>
      </c>
      <c r="H66" s="90">
        <f>Tabella3[[#This Row],[Spain daily cases fit]]/y_f_peak</f>
        <v>4.146706280988819E-3</v>
      </c>
      <c r="I66" s="90">
        <f>Tabella3[[#This Row],[Spain daily cases fit]]*NOT(ISBLANK(Tabella3[[#This Row],[Spain daily cases]]))</f>
        <v>27.677878686693333</v>
      </c>
      <c r="J66" s="90">
        <f>Tabella3[[#This Row],[Spain daily cases fit]]+CIf</f>
        <v>2370.3662963677862</v>
      </c>
      <c r="K66" s="90">
        <f>MAX(Tabella3[[#This Row],[Spain daily cases fit]]-CIf,0)</f>
        <v>0</v>
      </c>
      <c r="L66" s="4">
        <f>Tabella8[[#This Row],[Lombardy]]</f>
        <v>0</v>
      </c>
      <c r="M66" s="90">
        <f>(Tabella3[[#This Row],[Lombardy cumul. Data]]-L65)</f>
        <v>0</v>
      </c>
      <c r="N66" s="90">
        <f>Tabella3[[#This Row],[Lombardy data]]*NOT(ISBLANK(Tabella3[[#This Row],[Lombardy data]]))</f>
        <v>0</v>
      </c>
      <c r="O66" s="95">
        <f>Tabella8[[#This Row],[Lombardy fit]]</f>
        <v>855.6049183896896</v>
      </c>
      <c r="P66" s="90">
        <f>Tabella3[[#This Row],[Lombardy cumul. Fit]]/Kl</f>
        <v>9.8345392918355121E-3</v>
      </c>
      <c r="Q66" s="90">
        <f>IFERROR(Kl*_xlfn.LOGNORM.DIST((Tabella3[[#This Row],[Day]]-pl),mu_l,sigma_l,FALSE),0)</f>
        <v>241.65895998029089</v>
      </c>
      <c r="R66" s="90">
        <f>Tabella3[[#This Row],[Lombardy fit]]/y_l_peak</f>
        <v>0.13746599460582204</v>
      </c>
      <c r="S66" s="90">
        <f>Tabella3[[#This Row],[Lombardy fit]]*NOT(ISBLANK(Tabella3[[#This Row],[Lombardy data]]))</f>
        <v>241.65895998029089</v>
      </c>
      <c r="T66" s="90">
        <f>Tabella3[[#This Row],[Lombardy fit]]+CIl</f>
        <v>2812.0412828966996</v>
      </c>
      <c r="U66" s="90">
        <f>MAX(Tabella3[[#This Row],[Lombardy fit]]-CIl,0)</f>
        <v>0</v>
      </c>
      <c r="V66" s="10">
        <f>Tabella8[[#This Row],[rest of Italy ]]</f>
        <v>32</v>
      </c>
      <c r="W66" s="10">
        <f>(Tabella3[[#This Row],[rest of Italy cum. Data]]-V65)</f>
        <v>17</v>
      </c>
      <c r="X66" s="90">
        <f>Tabella3[[#This Row],[rest of Italy data]]*NOT(ISBLANK(Tabella3[[#This Row],[rest of Italy data]]))</f>
        <v>17</v>
      </c>
      <c r="Y66" s="95">
        <f>Tabella8[[#This Row],[rest of Italy fit]]</f>
        <v>154.69135092058042</v>
      </c>
      <c r="Z66" s="90">
        <f>Tabella3[[#This Row],[rest of Italy cumul. Fit]]/Ka</f>
        <v>1.0452119522191591E-3</v>
      </c>
      <c r="AA66" s="90">
        <f>IFERROR(Ka*_xlfn.LOGNORM.DIST((Tabella3[[#This Row],[Day]]-pa),mu_a,sigma_a,FALSE),0)</f>
        <v>75.848938488127814</v>
      </c>
      <c r="AB66" s="90">
        <f>Tabella3[[#This Row],[rest of Italy fit]]/y_a_peak</f>
        <v>2.2446165017451222E-2</v>
      </c>
      <c r="AC66" s="90">
        <f>Tabella3[[#This Row],[rest of Italy fit]]*NOT(ISBLANK(Tabella3[[#This Row],[rest of Italy data]]))</f>
        <v>75.848938488127814</v>
      </c>
      <c r="AD66" s="90">
        <f>Tabella3[[#This Row],[rest of Italy fit]]+CIa</f>
        <v>5414.688373648145</v>
      </c>
      <c r="AE66" s="90">
        <f>MAX(Tabella3[[#This Row],[rest of Italy fit]]-CIa,0)</f>
        <v>0</v>
      </c>
      <c r="AG66"/>
      <c r="AH66"/>
    </row>
    <row r="67" spans="2:34" x14ac:dyDescent="0.3">
      <c r="B67" s="9">
        <v>43890</v>
      </c>
      <c r="C67" s="4">
        <v>60</v>
      </c>
      <c r="D67" s="10">
        <f>Tabella8[[#This Row],[Spain cum. Cases]]</f>
        <v>45</v>
      </c>
      <c r="E67" s="90">
        <f>(Tabella3[[#This Row],[Spain cumul. Cases]]-D66)</f>
        <v>13</v>
      </c>
      <c r="F67" s="90">
        <f>Tabella3[[#This Row],[Spain daily cases]]*NOT(ISBLANK(Tabella3[[#This Row],[Spain daily cases]]))</f>
        <v>13</v>
      </c>
      <c r="G67" s="90">
        <f>IFERROR(Kf*_xlfn.LOGNORM.DIST((Tabella3[[#This Row],[Day]]-pf),mu_f,sigma_f,FALSE),0)</f>
        <v>44.680503675591723</v>
      </c>
      <c r="H67" s="90">
        <f>Tabella3[[#This Row],[Spain daily cases fit]]/y_f_peak</f>
        <v>6.694043547433989E-3</v>
      </c>
      <c r="I67" s="90">
        <f>Tabella3[[#This Row],[Spain daily cases fit]]*NOT(ISBLANK(Tabella3[[#This Row],[Spain daily cases]]))</f>
        <v>44.680503675591723</v>
      </c>
      <c r="J67" s="90">
        <f>Tabella3[[#This Row],[Spain daily cases fit]]+CIf</f>
        <v>2387.3689213566845</v>
      </c>
      <c r="K67" s="90">
        <f>MAX(Tabella3[[#This Row],[Spain daily cases fit]]-CIf,0)</f>
        <v>0</v>
      </c>
      <c r="L67" s="4">
        <f>Tabella8[[#This Row],[Lombardy]]</f>
        <v>0</v>
      </c>
      <c r="M67" s="90">
        <f>(Tabella3[[#This Row],[Lombardy cumul. Data]]-L66)</f>
        <v>0</v>
      </c>
      <c r="N67" s="90">
        <f>Tabella3[[#This Row],[Lombardy data]]*NOT(ISBLANK(Tabella3[[#This Row],[Lombardy data]]))</f>
        <v>0</v>
      </c>
      <c r="O67" s="95">
        <f>Tabella8[[#This Row],[Lombardy fit]]</f>
        <v>1123.7418244760652</v>
      </c>
      <c r="P67" s="90">
        <f>Tabella3[[#This Row],[Lombardy cumul. Fit]]/Kl</f>
        <v>1.2916572695127186E-2</v>
      </c>
      <c r="Q67" s="90">
        <f>IFERROR(Kl*_xlfn.LOGNORM.DIST((Tabella3[[#This Row],[Day]]-pl),mu_l,sigma_l,FALSE),0)</f>
        <v>295.62704237893797</v>
      </c>
      <c r="R67" s="90">
        <f>Tabella3[[#This Row],[Lombardy fit]]/y_l_peak</f>
        <v>0.16816535756138568</v>
      </c>
      <c r="S67" s="90">
        <f>Tabella3[[#This Row],[Lombardy fit]]*NOT(ISBLANK(Tabella3[[#This Row],[Lombardy data]]))</f>
        <v>295.62704237893797</v>
      </c>
      <c r="T67" s="90">
        <f>Tabella3[[#This Row],[Lombardy fit]]+CIl</f>
        <v>2866.0093652953465</v>
      </c>
      <c r="U67" s="90">
        <f>MAX(Tabella3[[#This Row],[Lombardy fit]]-CIl,0)</f>
        <v>0</v>
      </c>
      <c r="V67" s="10">
        <f>Tabella8[[#This Row],[rest of Italy ]]</f>
        <v>45</v>
      </c>
      <c r="W67" s="10">
        <f>(Tabella3[[#This Row],[rest of Italy cum. Data]]-V66)</f>
        <v>13</v>
      </c>
      <c r="X67" s="90">
        <f>Tabella3[[#This Row],[rest of Italy data]]*NOT(ISBLANK(Tabella3[[#This Row],[rest of Italy data]]))</f>
        <v>13</v>
      </c>
      <c r="Y67" s="95">
        <f>Tabella8[[#This Row],[rest of Italy fit]]</f>
        <v>247.42222963734693</v>
      </c>
      <c r="Z67" s="90">
        <f>Tabella3[[#This Row],[rest of Italy cumul. Fit]]/Ka</f>
        <v>1.6717720164874626E-3</v>
      </c>
      <c r="AA67" s="90">
        <f>IFERROR(Ka*_xlfn.LOGNORM.DIST((Tabella3[[#This Row],[Day]]-pa),mu_a,sigma_a,FALSE),0)</f>
        <v>111.28688876154665</v>
      </c>
      <c r="AB67" s="90">
        <f>Tabella3[[#This Row],[rest of Italy fit]]/y_a_peak</f>
        <v>3.2933405782750738E-2</v>
      </c>
      <c r="AC67" s="90">
        <f>Tabella3[[#This Row],[rest of Italy fit]]*NOT(ISBLANK(Tabella3[[#This Row],[rest of Italy data]]))</f>
        <v>111.28688876154665</v>
      </c>
      <c r="AD67" s="90">
        <f>Tabella3[[#This Row],[rest of Italy fit]]+CIa</f>
        <v>5450.1263239215641</v>
      </c>
      <c r="AE67" s="90">
        <f>MAX(Tabella3[[#This Row],[rest of Italy fit]]-CIa,0)</f>
        <v>0</v>
      </c>
      <c r="AG67"/>
      <c r="AH67"/>
    </row>
    <row r="68" spans="2:34" x14ac:dyDescent="0.3">
      <c r="B68" s="15">
        <v>43891</v>
      </c>
      <c r="C68" s="4">
        <v>61</v>
      </c>
      <c r="D68" s="10">
        <f>Tabella8[[#This Row],[Spain cum. Cases]]</f>
        <v>84</v>
      </c>
      <c r="E68" s="90">
        <f>(Tabella3[[#This Row],[Spain cumul. Cases]]-D67)</f>
        <v>39</v>
      </c>
      <c r="F68" s="90">
        <f>Tabella3[[#This Row],[Spain daily cases]]*NOT(ISBLANK(Tabella3[[#This Row],[Spain daily cases]]))</f>
        <v>39</v>
      </c>
      <c r="G68" s="90">
        <f>IFERROR(Kf*_xlfn.LOGNORM.DIST((Tabella3[[#This Row],[Day]]-pf),mu_f,sigma_f,FALSE),0)</f>
        <v>69.373268163815382</v>
      </c>
      <c r="H68" s="90">
        <f>Tabella3[[#This Row],[Spain daily cases fit]]/y_f_peak</f>
        <v>1.039351931858557E-2</v>
      </c>
      <c r="I68" s="90">
        <f>Tabella3[[#This Row],[Spain daily cases fit]]*NOT(ISBLANK(Tabella3[[#This Row],[Spain daily cases]]))</f>
        <v>69.373268163815382</v>
      </c>
      <c r="J68" s="90">
        <f>Tabella3[[#This Row],[Spain daily cases fit]]+CIf</f>
        <v>2412.061685844908</v>
      </c>
      <c r="K68" s="90">
        <f>MAX(Tabella3[[#This Row],[Spain daily cases fit]]-CIf,0)</f>
        <v>0</v>
      </c>
      <c r="L68" s="4">
        <f>Tabella8[[#This Row],[Lombardy]]</f>
        <v>0</v>
      </c>
      <c r="M68" s="90">
        <f>(Tabella3[[#This Row],[Lombardy cumul. Data]]-L67)</f>
        <v>0</v>
      </c>
      <c r="N68" s="90">
        <f>Tabella3[[#This Row],[Lombardy data]]*NOT(ISBLANK(Tabella3[[#This Row],[Lombardy data]]))</f>
        <v>0</v>
      </c>
      <c r="O68" s="95">
        <f>Tabella8[[#This Row],[Lombardy fit]]</f>
        <v>1448.8305134421209</v>
      </c>
      <c r="P68" s="90">
        <f>Tabella3[[#This Row],[Lombardy cumul. Fit]]/Kl</f>
        <v>1.6653224292438172E-2</v>
      </c>
      <c r="Q68" s="90">
        <f>IFERROR(Kl*_xlfn.LOGNORM.DIST((Tabella3[[#This Row],[Day]]-pl),mu_l,sigma_l,FALSE),0)</f>
        <v>355.50427654437118</v>
      </c>
      <c r="R68" s="90">
        <f>Tabella3[[#This Row],[Lombardy fit]]/y_l_peak</f>
        <v>0.20222609981347636</v>
      </c>
      <c r="S68" s="90">
        <f>Tabella3[[#This Row],[Lombardy fit]]*NOT(ISBLANK(Tabella3[[#This Row],[Lombardy data]]))</f>
        <v>355.50427654437118</v>
      </c>
      <c r="T68" s="90">
        <f>Tabella3[[#This Row],[Lombardy fit]]+CIl</f>
        <v>2925.88659946078</v>
      </c>
      <c r="U68" s="90">
        <f>MAX(Tabella3[[#This Row],[Lombardy fit]]-CIl,0)</f>
        <v>0</v>
      </c>
      <c r="V68" s="10">
        <f>Tabella8[[#This Row],[rest of Italy ]]</f>
        <v>84</v>
      </c>
      <c r="W68" s="10">
        <f>(Tabella3[[#This Row],[rest of Italy cum. Data]]-V67)</f>
        <v>39</v>
      </c>
      <c r="X68" s="90">
        <f>Tabella3[[#This Row],[rest of Italy data]]*NOT(ISBLANK(Tabella3[[#This Row],[rest of Italy data]]))</f>
        <v>39</v>
      </c>
      <c r="Y68" s="95">
        <f>Tabella8[[#This Row],[rest of Italy fit]]</f>
        <v>380.86663026803939</v>
      </c>
      <c r="Z68" s="90">
        <f>Tabella3[[#This Row],[rest of Italy cumul. Fit]]/Ka</f>
        <v>2.5734234770628532E-3</v>
      </c>
      <c r="AA68" s="90">
        <f>IFERROR(Ka*_xlfn.LOGNORM.DIST((Tabella3[[#This Row],[Day]]-pa),mu_a,sigma_a,FALSE),0)</f>
        <v>157.52296613712468</v>
      </c>
      <c r="AB68" s="90">
        <f>Tabella3[[#This Row],[rest of Italy fit]]/y_a_peak</f>
        <v>4.6616163158377188E-2</v>
      </c>
      <c r="AC68" s="90">
        <f>Tabella3[[#This Row],[rest of Italy fit]]*NOT(ISBLANK(Tabella3[[#This Row],[rest of Italy data]]))</f>
        <v>157.52296613712468</v>
      </c>
      <c r="AD68" s="90">
        <f>Tabella3[[#This Row],[rest of Italy fit]]+CIa</f>
        <v>5496.3624012971422</v>
      </c>
      <c r="AE68" s="90">
        <f>MAX(Tabella3[[#This Row],[rest of Italy fit]]-CIa,0)</f>
        <v>0</v>
      </c>
      <c r="AG68"/>
      <c r="AH68"/>
    </row>
    <row r="69" spans="2:34" x14ac:dyDescent="0.3">
      <c r="B69" s="9">
        <v>43892</v>
      </c>
      <c r="C69" s="4">
        <v>62</v>
      </c>
      <c r="D69" s="10">
        <f>Tabella8[[#This Row],[Spain cum. Cases]]</f>
        <v>120</v>
      </c>
      <c r="E69" s="90">
        <f>(Tabella3[[#This Row],[Spain cumul. Cases]]-D68)</f>
        <v>36</v>
      </c>
      <c r="F69" s="90">
        <f>Tabella3[[#This Row],[Spain daily cases]]*NOT(ISBLANK(Tabella3[[#This Row],[Spain daily cases]]))</f>
        <v>36</v>
      </c>
      <c r="G69" s="90">
        <f>IFERROR(Kf*_xlfn.LOGNORM.DIST((Tabella3[[#This Row],[Day]]-pf),mu_f,sigma_f,FALSE),0)</f>
        <v>103.97391632122363</v>
      </c>
      <c r="H69" s="90">
        <f>Tabella3[[#This Row],[Spain daily cases fit]]/y_f_peak</f>
        <v>1.5577396546488483E-2</v>
      </c>
      <c r="I69" s="90">
        <f>Tabella3[[#This Row],[Spain daily cases fit]]*NOT(ISBLANK(Tabella3[[#This Row],[Spain daily cases]]))</f>
        <v>103.97391632122363</v>
      </c>
      <c r="J69" s="90">
        <f>Tabella3[[#This Row],[Spain daily cases fit]]+CIf</f>
        <v>2446.6623340023161</v>
      </c>
      <c r="K69" s="90">
        <f>MAX(Tabella3[[#This Row],[Spain daily cases fit]]-CIf,0)</f>
        <v>0</v>
      </c>
      <c r="L69" s="4">
        <f>Tabella8[[#This Row],[Lombardy]]</f>
        <v>0</v>
      </c>
      <c r="M69" s="90">
        <f>(Tabella3[[#This Row],[Lombardy cumul. Data]]-L68)</f>
        <v>0</v>
      </c>
      <c r="N69" s="90">
        <f>Tabella3[[#This Row],[Lombardy data]]*NOT(ISBLANK(Tabella3[[#This Row],[Lombardy data]]))</f>
        <v>0</v>
      </c>
      <c r="O69" s="95">
        <f>Tabella8[[#This Row],[Lombardy fit]]</f>
        <v>1836.5792702222441</v>
      </c>
      <c r="P69" s="90">
        <f>Tabella3[[#This Row],[Lombardy cumul. Fit]]/Kl</f>
        <v>2.1110106554278668E-2</v>
      </c>
      <c r="Q69" s="90">
        <f>IFERROR(Kl*_xlfn.LOGNORM.DIST((Tabella3[[#This Row],[Day]]-pl),mu_l,sigma_l,FALSE),0)</f>
        <v>420.86336829536248</v>
      </c>
      <c r="R69" s="90">
        <f>Tabella3[[#This Row],[Lombardy fit]]/y_l_peak</f>
        <v>0.23940515808144194</v>
      </c>
      <c r="S69" s="90">
        <f>Tabella3[[#This Row],[Lombardy fit]]*NOT(ISBLANK(Tabella3[[#This Row],[Lombardy data]]))</f>
        <v>420.86336829536248</v>
      </c>
      <c r="T69" s="90">
        <f>Tabella3[[#This Row],[Lombardy fit]]+CIl</f>
        <v>2991.2456912117709</v>
      </c>
      <c r="U69" s="90">
        <f>MAX(Tabella3[[#This Row],[Lombardy fit]]-CIl,0)</f>
        <v>0</v>
      </c>
      <c r="V69" s="10">
        <f>Tabella8[[#This Row],[rest of Italy ]]</f>
        <v>120</v>
      </c>
      <c r="W69" s="10">
        <f>(Tabella3[[#This Row],[rest of Italy cum. Data]]-V68)</f>
        <v>36</v>
      </c>
      <c r="X69" s="90">
        <f>Tabella3[[#This Row],[rest of Italy data]]*NOT(ISBLANK(Tabella3[[#This Row],[rest of Italy data]]))</f>
        <v>36</v>
      </c>
      <c r="Y69" s="95">
        <f>Tabella8[[#This Row],[rest of Italy fit]]</f>
        <v>566.52661474504566</v>
      </c>
      <c r="Z69" s="90">
        <f>Tabella3[[#This Row],[rest of Italy cumul. Fit]]/Ka</f>
        <v>3.827882977670739E-3</v>
      </c>
      <c r="AA69" s="90">
        <f>IFERROR(Ka*_xlfn.LOGNORM.DIST((Tabella3[[#This Row],[Day]]-pa),mu_a,sigma_a,FALSE),0)</f>
        <v>215.92471211240581</v>
      </c>
      <c r="AB69" s="90">
        <f>Tabella3[[#This Row],[rest of Italy fit]]/y_a_peak</f>
        <v>6.3899137101033149E-2</v>
      </c>
      <c r="AC69" s="90">
        <f>Tabella3[[#This Row],[rest of Italy fit]]*NOT(ISBLANK(Tabella3[[#This Row],[rest of Italy data]]))</f>
        <v>215.92471211240581</v>
      </c>
      <c r="AD69" s="90">
        <f>Tabella3[[#This Row],[rest of Italy fit]]+CIa</f>
        <v>5554.7641472724226</v>
      </c>
      <c r="AE69" s="90">
        <f>MAX(Tabella3[[#This Row],[rest of Italy fit]]-CIa,0)</f>
        <v>0</v>
      </c>
      <c r="AG69"/>
      <c r="AH69"/>
    </row>
    <row r="70" spans="2:34" x14ac:dyDescent="0.3">
      <c r="B70" s="9">
        <v>43893</v>
      </c>
      <c r="C70" s="4">
        <v>63</v>
      </c>
      <c r="D70" s="10">
        <f>Tabella8[[#This Row],[Spain cum. Cases]]</f>
        <v>165</v>
      </c>
      <c r="E70" s="90">
        <f>(Tabella3[[#This Row],[Spain cumul. Cases]]-D69)</f>
        <v>45</v>
      </c>
      <c r="F70" s="90">
        <f>Tabella3[[#This Row],[Spain daily cases]]*NOT(ISBLANK(Tabella3[[#This Row],[Spain daily cases]]))</f>
        <v>45</v>
      </c>
      <c r="G70" s="90">
        <f>IFERROR(Kf*_xlfn.LOGNORM.DIST((Tabella3[[#This Row],[Day]]-pf),mu_f,sigma_f,FALSE),0)</f>
        <v>150.90175809924156</v>
      </c>
      <c r="H70" s="90">
        <f>Tabella3[[#This Row],[Spain daily cases fit]]/y_f_peak</f>
        <v>2.2608136815890422E-2</v>
      </c>
      <c r="I70" s="90">
        <f>Tabella3[[#This Row],[Spain daily cases fit]]*NOT(ISBLANK(Tabella3[[#This Row],[Spain daily cases]]))</f>
        <v>150.90175809924156</v>
      </c>
      <c r="J70" s="90">
        <f>Tabella3[[#This Row],[Spain daily cases fit]]+CIf</f>
        <v>2493.5901757803344</v>
      </c>
      <c r="K70" s="90">
        <f>MAX(Tabella3[[#This Row],[Spain daily cases fit]]-CIf,0)</f>
        <v>0</v>
      </c>
      <c r="L70" s="4">
        <f>Tabella8[[#This Row],[Lombardy]]</f>
        <v>0</v>
      </c>
      <c r="M70" s="90">
        <f>(Tabella3[[#This Row],[Lombardy cumul. Data]]-L69)</f>
        <v>0</v>
      </c>
      <c r="N70" s="90">
        <f>Tabella3[[#This Row],[Lombardy data]]*NOT(ISBLANK(Tabella3[[#This Row],[Lombardy data]]))</f>
        <v>0</v>
      </c>
      <c r="O70" s="95">
        <f>Tabella8[[#This Row],[Lombardy fit]]</f>
        <v>2292.1954624306022</v>
      </c>
      <c r="P70" s="90">
        <f>Tabella3[[#This Row],[Lombardy cumul. Fit]]/Kl</f>
        <v>2.6347074280811521E-2</v>
      </c>
      <c r="Q70" s="90">
        <f>IFERROR(Kl*_xlfn.LOGNORM.DIST((Tabella3[[#This Row],[Day]]-pl),mu_l,sigma_l,FALSE),0)</f>
        <v>491.13300028691896</v>
      </c>
      <c r="R70" s="90">
        <f>Tabella3[[#This Row],[Lombardy fit]]/y_l_peak</f>
        <v>0.27937754252393154</v>
      </c>
      <c r="S70" s="90">
        <f>Tabella3[[#This Row],[Lombardy fit]]*NOT(ISBLANK(Tabella3[[#This Row],[Lombardy data]]))</f>
        <v>491.13300028691896</v>
      </c>
      <c r="T70" s="90">
        <f>Tabella3[[#This Row],[Lombardy fit]]+CIl</f>
        <v>3061.5153232033276</v>
      </c>
      <c r="U70" s="90">
        <f>MAX(Tabella3[[#This Row],[Lombardy fit]]-CIl,0)</f>
        <v>0</v>
      </c>
      <c r="V70" s="10">
        <f>Tabella8[[#This Row],[rest of Italy ]]</f>
        <v>165</v>
      </c>
      <c r="W70" s="10">
        <f>(Tabella3[[#This Row],[rest of Italy cum. Data]]-V69)</f>
        <v>45</v>
      </c>
      <c r="X70" s="90">
        <f>Tabella3[[#This Row],[rest of Italy data]]*NOT(ISBLANK(Tabella3[[#This Row],[rest of Italy data]]))</f>
        <v>45</v>
      </c>
      <c r="Y70" s="95">
        <f>Tabella8[[#This Row],[rest of Italy fit]]</f>
        <v>817.13509237138612</v>
      </c>
      <c r="Z70" s="90">
        <f>Tabella3[[#This Row],[rest of Italy cumul. Fit]]/Ka</f>
        <v>5.5211836992927251E-3</v>
      </c>
      <c r="AA70" s="90">
        <f>IFERROR(Ka*_xlfn.LOGNORM.DIST((Tabella3[[#This Row],[Day]]-pa),mu_a,sigma_a,FALSE),0)</f>
        <v>287.57118773992391</v>
      </c>
      <c r="AB70" s="90">
        <f>Tabella3[[#This Row],[rest of Italy fit]]/y_a_peak</f>
        <v>8.5101656831823955E-2</v>
      </c>
      <c r="AC70" s="90">
        <f>Tabella3[[#This Row],[rest of Italy fit]]*NOT(ISBLANK(Tabella3[[#This Row],[rest of Italy data]]))</f>
        <v>287.57118773992391</v>
      </c>
      <c r="AD70" s="90">
        <f>Tabella3[[#This Row],[rest of Italy fit]]+CIa</f>
        <v>5626.4106228999408</v>
      </c>
      <c r="AE70" s="90">
        <f>MAX(Tabella3[[#This Row],[rest of Italy fit]]-CIa,0)</f>
        <v>0</v>
      </c>
      <c r="AG70"/>
      <c r="AH70"/>
    </row>
    <row r="71" spans="2:34" x14ac:dyDescent="0.3">
      <c r="B71" s="9">
        <v>43894</v>
      </c>
      <c r="C71" s="4">
        <v>64</v>
      </c>
      <c r="D71" s="10">
        <f>Tabella8[[#This Row],[Spain cum. Cases]]</f>
        <v>222</v>
      </c>
      <c r="E71" s="90">
        <f>(Tabella3[[#This Row],[Spain cumul. Cases]]-D70)</f>
        <v>57</v>
      </c>
      <c r="F71" s="90">
        <f>Tabella3[[#This Row],[Spain daily cases]]*NOT(ISBLANK(Tabella3[[#This Row],[Spain daily cases]]))</f>
        <v>57</v>
      </c>
      <c r="G71" s="90">
        <f>IFERROR(Kf*_xlfn.LOGNORM.DIST((Tabella3[[#This Row],[Day]]-pf),mu_f,sigma_f,FALSE),0)</f>
        <v>212.67666974944026</v>
      </c>
      <c r="H71" s="90">
        <f>Tabella3[[#This Row],[Spain daily cases fit]]/y_f_peak</f>
        <v>3.1863268578230408E-2</v>
      </c>
      <c r="I71" s="90">
        <f>Tabella3[[#This Row],[Spain daily cases fit]]*NOT(ISBLANK(Tabella3[[#This Row],[Spain daily cases]]))</f>
        <v>212.67666974944026</v>
      </c>
      <c r="J71" s="90">
        <f>Tabella3[[#This Row],[Spain daily cases fit]]+CIf</f>
        <v>2555.3650874305331</v>
      </c>
      <c r="K71" s="90">
        <f>MAX(Tabella3[[#This Row],[Spain daily cases fit]]-CIf,0)</f>
        <v>0</v>
      </c>
      <c r="L71" s="4">
        <f>Tabella8[[#This Row],[Lombardy]]</f>
        <v>0</v>
      </c>
      <c r="M71" s="90">
        <f>(Tabella3[[#This Row],[Lombardy cumul. Data]]-L70)</f>
        <v>0</v>
      </c>
      <c r="N71" s="90">
        <f>Tabella3[[#This Row],[Lombardy data]]*NOT(ISBLANK(Tabella3[[#This Row],[Lombardy data]]))</f>
        <v>0</v>
      </c>
      <c r="O71" s="95">
        <f>Tabella8[[#This Row],[Lombardy fit]]</f>
        <v>2820.2519272416362</v>
      </c>
      <c r="P71" s="90">
        <f>Tabella3[[#This Row],[Lombardy cumul. Fit]]/Kl</f>
        <v>3.2416688818869381E-2</v>
      </c>
      <c r="Q71" s="90">
        <f>IFERROR(Kl*_xlfn.LOGNORM.DIST((Tabella3[[#This Row],[Day]]-pl),mu_l,sigma_l,FALSE),0)</f>
        <v>565.61933768960068</v>
      </c>
      <c r="R71" s="90">
        <f>Tabella3[[#This Row],[Lombardy fit]]/y_l_peak</f>
        <v>0.32174857009286417</v>
      </c>
      <c r="S71" s="90">
        <f>Tabella3[[#This Row],[Lombardy fit]]*NOT(ISBLANK(Tabella3[[#This Row],[Lombardy data]]))</f>
        <v>565.61933768960068</v>
      </c>
      <c r="T71" s="90">
        <f>Tabella3[[#This Row],[Lombardy fit]]+CIl</f>
        <v>3136.0016606060094</v>
      </c>
      <c r="U71" s="90">
        <f>MAX(Tabella3[[#This Row],[Lombardy fit]]-CIl,0)</f>
        <v>0</v>
      </c>
      <c r="V71" s="10">
        <f>Tabella8[[#This Row],[rest of Italy ]]</f>
        <v>222</v>
      </c>
      <c r="W71" s="10">
        <f>(Tabella3[[#This Row],[rest of Italy cum. Data]]-V70)</f>
        <v>57</v>
      </c>
      <c r="X71" s="90">
        <f>Tabella3[[#This Row],[rest of Italy data]]*NOT(ISBLANK(Tabella3[[#This Row],[rest of Italy data]]))</f>
        <v>57</v>
      </c>
      <c r="Y71" s="95">
        <f>Tabella8[[#This Row],[rest of Italy fit]]</f>
        <v>1146.3254735417293</v>
      </c>
      <c r="Z71" s="90">
        <f>Tabella3[[#This Row],[rest of Italy cumul. Fit]]/Ka</f>
        <v>7.7454432904541801E-3</v>
      </c>
      <c r="AA71" s="90">
        <f>IFERROR(Ka*_xlfn.LOGNORM.DIST((Tabella3[[#This Row],[Day]]-pa),mu_a,sigma_a,FALSE),0)</f>
        <v>373.17284739564866</v>
      </c>
      <c r="AB71" s="90">
        <f>Tabella3[[#This Row],[rest of Italy fit]]/y_a_peak</f>
        <v>0.11043396888126476</v>
      </c>
      <c r="AC71" s="90">
        <f>Tabella3[[#This Row],[rest of Italy fit]]*NOT(ISBLANK(Tabella3[[#This Row],[rest of Italy data]]))</f>
        <v>373.17284739564866</v>
      </c>
      <c r="AD71" s="90">
        <f>Tabella3[[#This Row],[rest of Italy fit]]+CIa</f>
        <v>5712.0122825556664</v>
      </c>
      <c r="AE71" s="90">
        <f>MAX(Tabella3[[#This Row],[rest of Italy fit]]-CIa,0)</f>
        <v>0</v>
      </c>
      <c r="AG71"/>
      <c r="AH71"/>
    </row>
    <row r="72" spans="2:34" x14ac:dyDescent="0.3">
      <c r="B72" s="15">
        <v>43895</v>
      </c>
      <c r="C72" s="4">
        <v>65</v>
      </c>
      <c r="D72" s="10">
        <f>Tabella8[[#This Row],[Spain cum. Cases]]</f>
        <v>259</v>
      </c>
      <c r="E72" s="90">
        <f>(Tabella3[[#This Row],[Spain cumul. Cases]]-D71)</f>
        <v>37</v>
      </c>
      <c r="F72" s="90">
        <f>Tabella3[[#This Row],[Spain daily cases]]*NOT(ISBLANK(Tabella3[[#This Row],[Spain daily cases]]))</f>
        <v>37</v>
      </c>
      <c r="G72" s="90">
        <f>IFERROR(Kf*_xlfn.LOGNORM.DIST((Tabella3[[#This Row],[Day]]-pf),mu_f,sigma_f,FALSE),0)</f>
        <v>291.79705816051205</v>
      </c>
      <c r="H72" s="90">
        <f>Tabella3[[#This Row],[Spain daily cases fit]]/y_f_peak</f>
        <v>4.3717103739961981E-2</v>
      </c>
      <c r="I72" s="90">
        <f>Tabella3[[#This Row],[Spain daily cases fit]]*NOT(ISBLANK(Tabella3[[#This Row],[Spain daily cases]]))</f>
        <v>291.79705816051205</v>
      </c>
      <c r="J72" s="90">
        <f>Tabella3[[#This Row],[Spain daily cases fit]]+CIf</f>
        <v>2634.485475841605</v>
      </c>
      <c r="K72" s="90">
        <f>MAX(Tabella3[[#This Row],[Spain daily cases fit]]-CIf,0)</f>
        <v>0</v>
      </c>
      <c r="L72" s="4">
        <f>Tabella8[[#This Row],[Lombardy]]</f>
        <v>0</v>
      </c>
      <c r="M72" s="90">
        <f>(Tabella3[[#This Row],[Lombardy cumul. Data]]-L71)</f>
        <v>0</v>
      </c>
      <c r="N72" s="90">
        <f>Tabella3[[#This Row],[Lombardy data]]*NOT(ISBLANK(Tabella3[[#This Row],[Lombardy data]]))</f>
        <v>0</v>
      </c>
      <c r="O72" s="95">
        <f>Tabella8[[#This Row],[Lombardy fit]]</f>
        <v>3424.5766475447799</v>
      </c>
      <c r="P72" s="90">
        <f>Tabella3[[#This Row],[Lombardy cumul. Fit]]/Kl</f>
        <v>3.9362949971779082E-2</v>
      </c>
      <c r="Q72" s="90">
        <f>IFERROR(Kl*_xlfn.LOGNORM.DIST((Tabella3[[#This Row],[Day]]-pl),mu_l,sigma_l,FALSE),0)</f>
        <v>643.53083024248861</v>
      </c>
      <c r="R72" s="90">
        <f>Tabella3[[#This Row],[Lombardy fit]]/y_l_peak</f>
        <v>0.36606797300629362</v>
      </c>
      <c r="S72" s="90">
        <f>Tabella3[[#This Row],[Lombardy fit]]*NOT(ISBLANK(Tabella3[[#This Row],[Lombardy data]]))</f>
        <v>643.53083024248861</v>
      </c>
      <c r="T72" s="90">
        <f>Tabella3[[#This Row],[Lombardy fit]]+CIl</f>
        <v>3213.9131531588973</v>
      </c>
      <c r="U72" s="90">
        <f>MAX(Tabella3[[#This Row],[Lombardy fit]]-CIl,0)</f>
        <v>0</v>
      </c>
      <c r="V72" s="10">
        <f>Tabella8[[#This Row],[rest of Italy ]]</f>
        <v>259</v>
      </c>
      <c r="W72" s="10">
        <f>(Tabella3[[#This Row],[rest of Italy cum. Data]]-V71)</f>
        <v>37</v>
      </c>
      <c r="X72" s="90">
        <f>Tabella3[[#This Row],[rest of Italy data]]*NOT(ISBLANK(Tabella3[[#This Row],[rest of Italy data]]))</f>
        <v>37</v>
      </c>
      <c r="Y72" s="95">
        <f>Tabella8[[#This Row],[rest of Italy fit]]</f>
        <v>1568.2328388552471</v>
      </c>
      <c r="Z72" s="90">
        <f>Tabella3[[#This Row],[rest of Italy cumul. Fit]]/Ka</f>
        <v>1.0596169063619012E-2</v>
      </c>
      <c r="AA72" s="90">
        <f>IFERROR(Ka*_xlfn.LOGNORM.DIST((Tabella3[[#This Row],[Day]]-pa),mu_a,sigma_a,FALSE),0)</f>
        <v>473.01542232477493</v>
      </c>
      <c r="AB72" s="90">
        <f>Tabella3[[#This Row],[rest of Italy fit]]/y_a_peak</f>
        <v>0.13998063040741374</v>
      </c>
      <c r="AC72" s="90">
        <f>Tabella3[[#This Row],[rest of Italy fit]]*NOT(ISBLANK(Tabella3[[#This Row],[rest of Italy data]]))</f>
        <v>473.01542232477493</v>
      </c>
      <c r="AD72" s="90">
        <f>Tabella3[[#This Row],[rest of Italy fit]]+CIa</f>
        <v>5811.8548574847919</v>
      </c>
      <c r="AE72" s="90">
        <f>MAX(Tabella3[[#This Row],[rest of Italy fit]]-CIa,0)</f>
        <v>0</v>
      </c>
      <c r="AG72"/>
      <c r="AH72"/>
    </row>
    <row r="73" spans="2:34" x14ac:dyDescent="0.3">
      <c r="B73" s="9">
        <v>43896</v>
      </c>
      <c r="C73" s="4">
        <v>66</v>
      </c>
      <c r="D73" s="10">
        <f>Tabella8[[#This Row],[Spain cum. Cases]]</f>
        <v>400</v>
      </c>
      <c r="E73" s="90">
        <f>(Tabella3[[#This Row],[Spain cumul. Cases]]-D72)</f>
        <v>141</v>
      </c>
      <c r="F73" s="90">
        <f>Tabella3[[#This Row],[Spain daily cases]]*NOT(ISBLANK(Tabella3[[#This Row],[Spain daily cases]]))</f>
        <v>141</v>
      </c>
      <c r="G73" s="90">
        <f>IFERROR(Kf*_xlfn.LOGNORM.DIST((Tabella3[[#This Row],[Day]]-pf),mu_f,sigma_f,FALSE),0)</f>
        <v>390.60564885777359</v>
      </c>
      <c r="H73" s="90">
        <f>Tabella3[[#This Row],[Spain daily cases fit]]/y_f_peak</f>
        <v>5.8520629989138491E-2</v>
      </c>
      <c r="I73" s="90">
        <f>Tabella3[[#This Row],[Spain daily cases fit]]*NOT(ISBLANK(Tabella3[[#This Row],[Spain daily cases]]))</f>
        <v>390.60564885777359</v>
      </c>
      <c r="J73" s="90">
        <f>Tabella3[[#This Row],[Spain daily cases fit]]+CIf</f>
        <v>2733.2940665388664</v>
      </c>
      <c r="K73" s="90">
        <f>MAX(Tabella3[[#This Row],[Spain daily cases fit]]-CIf,0)</f>
        <v>0</v>
      </c>
      <c r="L73" s="4">
        <f>Tabella8[[#This Row],[Lombardy]]</f>
        <v>0</v>
      </c>
      <c r="M73" s="90">
        <f>(Tabella3[[#This Row],[Lombardy cumul. Data]]-L72)</f>
        <v>0</v>
      </c>
      <c r="N73" s="90">
        <f>Tabella3[[#This Row],[Lombardy data]]*NOT(ISBLANK(Tabella3[[#This Row],[Lombardy data]]))</f>
        <v>0</v>
      </c>
      <c r="O73" s="95">
        <f>Tabella8[[#This Row],[Lombardy fit]]</f>
        <v>4108.168218034295</v>
      </c>
      <c r="P73" s="90">
        <f>Tabella3[[#This Row],[Lombardy cumul. Fit]]/Kl</f>
        <v>4.7220324345221783E-2</v>
      </c>
      <c r="Q73" s="90">
        <f>IFERROR(Kl*_xlfn.LOGNORM.DIST((Tabella3[[#This Row],[Day]]-pl),mu_l,sigma_l,FALSE),0)</f>
        <v>724.00473902404099</v>
      </c>
      <c r="R73" s="90">
        <f>Tabella3[[#This Row],[Lombardy fit]]/y_l_peak</f>
        <v>0.41184498831487776</v>
      </c>
      <c r="S73" s="90">
        <f>Tabella3[[#This Row],[Lombardy fit]]*NOT(ISBLANK(Tabella3[[#This Row],[Lombardy data]]))</f>
        <v>724.00473902404099</v>
      </c>
      <c r="T73" s="90">
        <f>Tabella3[[#This Row],[Lombardy fit]]+CIl</f>
        <v>3294.3870619404497</v>
      </c>
      <c r="U73" s="90">
        <f>MAX(Tabella3[[#This Row],[Lombardy fit]]-CIl,0)</f>
        <v>0</v>
      </c>
      <c r="V73" s="10">
        <f>Tabella8[[#This Row],[rest of Italy ]]</f>
        <v>400</v>
      </c>
      <c r="W73" s="10">
        <f>(Tabella3[[#This Row],[rest of Italy cum. Data]]-V72)</f>
        <v>141</v>
      </c>
      <c r="X73" s="90">
        <f>Tabella3[[#This Row],[rest of Italy data]]*NOT(ISBLANK(Tabella3[[#This Row],[rest of Italy data]]))</f>
        <v>141</v>
      </c>
      <c r="Y73" s="95">
        <f>Tabella8[[#This Row],[rest of Italy fit]]</f>
        <v>2097.0523245860077</v>
      </c>
      <c r="Z73" s="90">
        <f>Tabella3[[#This Row],[rest of Italy cumul. Fit]]/Ka</f>
        <v>1.4169274112885499E-2</v>
      </c>
      <c r="AA73" s="90">
        <f>IFERROR(Ka*_xlfn.LOGNORM.DIST((Tabella3[[#This Row],[Day]]-pa),mu_a,sigma_a,FALSE),0)</f>
        <v>586.9307141643676</v>
      </c>
      <c r="AB73" s="90">
        <f>Tabella3[[#This Row],[rest of Italy fit]]/y_a_peak</f>
        <v>0.17369186605038633</v>
      </c>
      <c r="AC73" s="90">
        <f>Tabella3[[#This Row],[rest of Italy fit]]*NOT(ISBLANK(Tabella3[[#This Row],[rest of Italy data]]))</f>
        <v>586.9307141643676</v>
      </c>
      <c r="AD73" s="90">
        <f>Tabella3[[#This Row],[rest of Italy fit]]+CIa</f>
        <v>5925.7701493243849</v>
      </c>
      <c r="AE73" s="90">
        <f>MAX(Tabella3[[#This Row],[rest of Italy fit]]-CIa,0)</f>
        <v>0</v>
      </c>
      <c r="AG73"/>
      <c r="AH73"/>
    </row>
    <row r="74" spans="2:34" x14ac:dyDescent="0.3">
      <c r="B74" s="9">
        <v>43897</v>
      </c>
      <c r="C74" s="4">
        <v>67</v>
      </c>
      <c r="D74" s="10">
        <f>Tabella8[[#This Row],[Spain cum. Cases]]</f>
        <v>500</v>
      </c>
      <c r="E74" s="90">
        <f>(Tabella3[[#This Row],[Spain cumul. Cases]]-D73)</f>
        <v>100</v>
      </c>
      <c r="F74" s="90">
        <f>Tabella3[[#This Row],[Spain daily cases]]*NOT(ISBLANK(Tabella3[[#This Row],[Spain daily cases]]))</f>
        <v>100</v>
      </c>
      <c r="G74" s="90">
        <f>IFERROR(Kf*_xlfn.LOGNORM.DIST((Tabella3[[#This Row],[Day]]-pf),mu_f,sigma_f,FALSE),0)</f>
        <v>511.15317857873885</v>
      </c>
      <c r="H74" s="90">
        <f>Tabella3[[#This Row],[Spain daily cases fit]]/y_f_peak</f>
        <v>7.6581089185093335E-2</v>
      </c>
      <c r="I74" s="90">
        <f>Tabella3[[#This Row],[Spain daily cases fit]]*NOT(ISBLANK(Tabella3[[#This Row],[Spain daily cases]]))</f>
        <v>511.15317857873885</v>
      </c>
      <c r="J74" s="90">
        <f>Tabella3[[#This Row],[Spain daily cases fit]]+CIf</f>
        <v>2853.8415962598315</v>
      </c>
      <c r="K74" s="90">
        <f>MAX(Tabella3[[#This Row],[Spain daily cases fit]]-CIf,0)</f>
        <v>0</v>
      </c>
      <c r="L74" s="4">
        <f>Tabella8[[#This Row],[Lombardy]]</f>
        <v>0</v>
      </c>
      <c r="M74" s="90">
        <f>(Tabella3[[#This Row],[Lombardy cumul. Data]]-L73)</f>
        <v>0</v>
      </c>
      <c r="N74" s="90">
        <f>Tabella3[[#This Row],[Lombardy data]]*NOT(ISBLANK(Tabella3[[#This Row],[Lombardy data]]))</f>
        <v>0</v>
      </c>
      <c r="O74" s="95">
        <f>Tabella8[[#This Row],[Lombardy fit]]</f>
        <v>4873.1381029957529</v>
      </c>
      <c r="P74" s="90">
        <f>Tabella3[[#This Row],[Lombardy cumul. Fit]]/Kl</f>
        <v>5.6013081643629344E-2</v>
      </c>
      <c r="Q74" s="90">
        <f>IFERROR(Kl*_xlfn.LOGNORM.DIST((Tabella3[[#This Row],[Day]]-pl),mu_l,sigma_l,FALSE),0)</f>
        <v>806.13397412127313</v>
      </c>
      <c r="R74" s="90">
        <f>Tabella3[[#This Row],[Lombardy fit]]/y_l_peak</f>
        <v>0.45856362432066533</v>
      </c>
      <c r="S74" s="90">
        <f>Tabella3[[#This Row],[Lombardy fit]]*NOT(ISBLANK(Tabella3[[#This Row],[Lombardy data]]))</f>
        <v>806.13397412127313</v>
      </c>
      <c r="T74" s="90">
        <f>Tabella3[[#This Row],[Lombardy fit]]+CIl</f>
        <v>3376.5162970376819</v>
      </c>
      <c r="U74" s="90">
        <f>MAX(Tabella3[[#This Row],[Lombardy fit]]-CIl,0)</f>
        <v>0</v>
      </c>
      <c r="V74" s="10">
        <f>Tabella8[[#This Row],[rest of Italy ]]</f>
        <v>500</v>
      </c>
      <c r="W74" s="10">
        <f>(Tabella3[[#This Row],[rest of Italy cum. Data]]-V73)</f>
        <v>100</v>
      </c>
      <c r="X74" s="90">
        <f>Tabella3[[#This Row],[rest of Italy data]]*NOT(ISBLANK(Tabella3[[#This Row],[rest of Italy data]]))</f>
        <v>100</v>
      </c>
      <c r="Y74" s="95">
        <f>Tabella8[[#This Row],[rest of Italy fit]]</f>
        <v>2746.5819261065622</v>
      </c>
      <c r="Z74" s="90">
        <f>Tabella3[[#This Row],[rest of Italy cumul. Fit]]/Ka</f>
        <v>1.8557988147569836E-2</v>
      </c>
      <c r="AA74" s="90">
        <f>IFERROR(Ka*_xlfn.LOGNORM.DIST((Tabella3[[#This Row],[Day]]-pa),mu_a,sigma_a,FALSE),0)</f>
        <v>714.29445601251996</v>
      </c>
      <c r="AB74" s="90">
        <f>Tabella3[[#This Row],[rest of Italy fit]]/y_a_peak</f>
        <v>0.21138293495323146</v>
      </c>
      <c r="AC74" s="90">
        <f>Tabella3[[#This Row],[rest of Italy fit]]*NOT(ISBLANK(Tabella3[[#This Row],[rest of Italy data]]))</f>
        <v>714.29445601251996</v>
      </c>
      <c r="AD74" s="90">
        <f>Tabella3[[#This Row],[rest of Italy fit]]+CIa</f>
        <v>6053.133891172537</v>
      </c>
      <c r="AE74" s="90">
        <f>MAX(Tabella3[[#This Row],[rest of Italy fit]]-CIa,0)</f>
        <v>0</v>
      </c>
      <c r="AG74"/>
      <c r="AH74"/>
    </row>
    <row r="75" spans="2:34" x14ac:dyDescent="0.3">
      <c r="B75" s="15">
        <v>43898</v>
      </c>
      <c r="C75" s="4">
        <v>68</v>
      </c>
      <c r="D75" s="10">
        <f>Tabella8[[#This Row],[Spain cum. Cases]]</f>
        <v>673</v>
      </c>
      <c r="E75" s="90">
        <f>(Tabella3[[#This Row],[Spain cumul. Cases]]-D74)</f>
        <v>173</v>
      </c>
      <c r="F75" s="90">
        <f>Tabella3[[#This Row],[Spain daily cases]]*NOT(ISBLANK(Tabella3[[#This Row],[Spain daily cases]]))</f>
        <v>173</v>
      </c>
      <c r="G75" s="90">
        <f>IFERROR(Kf*_xlfn.LOGNORM.DIST((Tabella3[[#This Row],[Day]]-pf),mu_f,sigma_f,FALSE),0)</f>
        <v>655.07015345726802</v>
      </c>
      <c r="H75" s="90">
        <f>Tabella3[[#This Row],[Spain daily cases fit]]/y_f_peak</f>
        <v>9.814276413949008E-2</v>
      </c>
      <c r="I75" s="90">
        <f>Tabella3[[#This Row],[Spain daily cases fit]]*NOT(ISBLANK(Tabella3[[#This Row],[Spain daily cases]]))</f>
        <v>655.07015345726802</v>
      </c>
      <c r="J75" s="90">
        <f>Tabella3[[#This Row],[Spain daily cases fit]]+CIf</f>
        <v>2997.7585711383608</v>
      </c>
      <c r="K75" s="90">
        <f>MAX(Tabella3[[#This Row],[Spain daily cases fit]]-CIf,0)</f>
        <v>0</v>
      </c>
      <c r="L75" s="4">
        <f>Tabella8[[#This Row],[Lombardy]]</f>
        <v>0</v>
      </c>
      <c r="M75" s="90">
        <f>(Tabella3[[#This Row],[Lombardy cumul. Data]]-L74)</f>
        <v>0</v>
      </c>
      <c r="N75" s="90">
        <f>Tabella3[[#This Row],[Lombardy data]]*NOT(ISBLANK(Tabella3[[#This Row],[Lombardy data]]))</f>
        <v>0</v>
      </c>
      <c r="O75" s="95">
        <f>Tabella8[[#This Row],[Lombardy fit]]</f>
        <v>5720.6793780428634</v>
      </c>
      <c r="P75" s="90">
        <f>Tabella3[[#This Row],[Lombardy cumul. Fit]]/Kl</f>
        <v>6.5754935379803023E-2</v>
      </c>
      <c r="Q75" s="90">
        <f>IFERROR(Kl*_xlfn.LOGNORM.DIST((Tabella3[[#This Row],[Day]]-pl),mu_l,sigma_l,FALSE),0)</f>
        <v>888.99304505859823</v>
      </c>
      <c r="R75" s="90">
        <f>Tabella3[[#This Row],[Lombardy fit]]/y_l_peak</f>
        <v>0.50569742229547543</v>
      </c>
      <c r="S75" s="90">
        <f>Tabella3[[#This Row],[Lombardy fit]]*NOT(ISBLANK(Tabella3[[#This Row],[Lombardy data]]))</f>
        <v>888.99304505859823</v>
      </c>
      <c r="T75" s="90">
        <f>Tabella3[[#This Row],[Lombardy fit]]+CIl</f>
        <v>3459.3753679750071</v>
      </c>
      <c r="U75" s="90">
        <f>MAX(Tabella3[[#This Row],[Lombardy fit]]-CIl,0)</f>
        <v>0</v>
      </c>
      <c r="V75" s="10">
        <f>Tabella8[[#This Row],[rest of Italy ]]</f>
        <v>673</v>
      </c>
      <c r="W75" s="10">
        <f>(Tabella3[[#This Row],[rest of Italy cum. Data]]-V74)</f>
        <v>173</v>
      </c>
      <c r="X75" s="90">
        <f>Tabella3[[#This Row],[rest of Italy data]]*NOT(ISBLANK(Tabella3[[#This Row],[rest of Italy data]]))</f>
        <v>173</v>
      </c>
      <c r="Y75" s="95">
        <f>Tabella8[[#This Row],[rest of Italy fit]]</f>
        <v>3529.7758891787362</v>
      </c>
      <c r="Z75" s="90">
        <f>Tabella3[[#This Row],[rest of Italy cumul. Fit]]/Ka</f>
        <v>2.3849839865441275E-2</v>
      </c>
      <c r="AA75" s="90">
        <f>IFERROR(Ka*_xlfn.LOGNORM.DIST((Tabella3[[#This Row],[Day]]-pa),mu_a,sigma_a,FALSE),0)</f>
        <v>854.04911286766855</v>
      </c>
      <c r="AB75" s="90">
        <f>Tabella3[[#This Row],[rest of Italy fit]]/y_a_peak</f>
        <v>0.25274087815264679</v>
      </c>
      <c r="AC75" s="90">
        <f>Tabella3[[#This Row],[rest of Italy fit]]*NOT(ISBLANK(Tabella3[[#This Row],[rest of Italy data]]))</f>
        <v>854.04911286766855</v>
      </c>
      <c r="AD75" s="90">
        <f>Tabella3[[#This Row],[rest of Italy fit]]+CIa</f>
        <v>6192.8885480276858</v>
      </c>
      <c r="AE75" s="90">
        <f>MAX(Tabella3[[#This Row],[rest of Italy fit]]-CIa,0)</f>
        <v>0</v>
      </c>
      <c r="AG75"/>
      <c r="AH75"/>
    </row>
    <row r="76" spans="2:34" x14ac:dyDescent="0.3">
      <c r="B76" s="9">
        <v>43899</v>
      </c>
      <c r="C76" s="4">
        <v>69</v>
      </c>
      <c r="D76" s="10">
        <f>Tabella8[[#This Row],[Spain cum. Cases]]</f>
        <v>1073</v>
      </c>
      <c r="E76" s="90">
        <f>(Tabella3[[#This Row],[Spain cumul. Cases]]-D75)</f>
        <v>400</v>
      </c>
      <c r="F76" s="90">
        <f>Tabella3[[#This Row],[Spain daily cases]]*NOT(ISBLANK(Tabella3[[#This Row],[Spain daily cases]]))</f>
        <v>400</v>
      </c>
      <c r="G76" s="90">
        <f>IFERROR(Kf*_xlfn.LOGNORM.DIST((Tabella3[[#This Row],[Day]]-pf),mu_f,sigma_f,FALSE),0)</f>
        <v>823.45588019314073</v>
      </c>
      <c r="H76" s="90">
        <f>Tabella3[[#This Row],[Spain daily cases fit]]/y_f_peak</f>
        <v>0.12337035324010295</v>
      </c>
      <c r="I76" s="90">
        <f>Tabella3[[#This Row],[Spain daily cases fit]]*NOT(ISBLANK(Tabella3[[#This Row],[Spain daily cases]]))</f>
        <v>823.45588019314073</v>
      </c>
      <c r="J76" s="90">
        <f>Tabella3[[#This Row],[Spain daily cases fit]]+CIf</f>
        <v>3166.1442978742334</v>
      </c>
      <c r="K76" s="90">
        <f>MAX(Tabella3[[#This Row],[Spain daily cases fit]]-CIf,0)</f>
        <v>0</v>
      </c>
      <c r="L76" s="4">
        <f>Tabella8[[#This Row],[Lombardy]]</f>
        <v>0</v>
      </c>
      <c r="M76" s="90">
        <f>(Tabella3[[#This Row],[Lombardy cumul. Data]]-L75)</f>
        <v>0</v>
      </c>
      <c r="N76" s="90">
        <f>Tabella3[[#This Row],[Lombardy data]]*NOT(ISBLANK(Tabella3[[#This Row],[Lombardy data]]))</f>
        <v>0</v>
      </c>
      <c r="O76" s="95">
        <f>Tabella8[[#This Row],[Lombardy fit]]</f>
        <v>6651.0605708092144</v>
      </c>
      <c r="P76" s="90">
        <f>Tabella3[[#This Row],[Lombardy cumul. Fit]]/Kl</f>
        <v>7.6448972078266828E-2</v>
      </c>
      <c r="Q76" s="90">
        <f>IFERROR(Kl*_xlfn.LOGNORM.DIST((Tabella3[[#This Row],[Day]]-pl),mu_l,sigma_l,FALSE),0)</f>
        <v>971.66217028128381</v>
      </c>
      <c r="R76" s="90">
        <f>Tabella3[[#This Row],[Lombardy fit]]/y_l_peak</f>
        <v>0.55272317099048163</v>
      </c>
      <c r="S76" s="90">
        <f>Tabella3[[#This Row],[Lombardy fit]]*NOT(ISBLANK(Tabella3[[#This Row],[Lombardy data]]))</f>
        <v>971.66217028128381</v>
      </c>
      <c r="T76" s="90">
        <f>Tabella3[[#This Row],[Lombardy fit]]+CIl</f>
        <v>3542.0444931976926</v>
      </c>
      <c r="U76" s="90">
        <f>MAX(Tabella3[[#This Row],[Lombardy fit]]-CIl,0)</f>
        <v>0</v>
      </c>
      <c r="V76" s="10">
        <f>Tabella8[[#This Row],[rest of Italy ]]</f>
        <v>1073</v>
      </c>
      <c r="W76" s="10">
        <f>(Tabella3[[#This Row],[rest of Italy cum. Data]]-V75)</f>
        <v>400</v>
      </c>
      <c r="X76" s="90">
        <f>Tabella3[[#This Row],[rest of Italy data]]*NOT(ISBLANK(Tabella3[[#This Row],[rest of Italy data]]))</f>
        <v>400</v>
      </c>
      <c r="Y76" s="95">
        <f>Tabella8[[#This Row],[rest of Italy fit]]</f>
        <v>4458.3318388133321</v>
      </c>
      <c r="Z76" s="90">
        <f>Tabella3[[#This Row],[rest of Italy cumul. Fit]]/Ka</f>
        <v>3.0123867282530494E-2</v>
      </c>
      <c r="AA76" s="90">
        <f>IFERROR(Ka*_xlfn.LOGNORM.DIST((Tabella3[[#This Row],[Day]]-pa),mu_a,sigma_a,FALSE),0)</f>
        <v>1004.7478170397067</v>
      </c>
      <c r="AB76" s="90">
        <f>Tabella3[[#This Row],[rest of Italy fit]]/y_a_peak</f>
        <v>0.29733752049446532</v>
      </c>
      <c r="AC76" s="90">
        <f>Tabella3[[#This Row],[rest of Italy fit]]*NOT(ISBLANK(Tabella3[[#This Row],[rest of Italy data]]))</f>
        <v>1004.7478170397067</v>
      </c>
      <c r="AD76" s="90">
        <f>Tabella3[[#This Row],[rest of Italy fit]]+CIa</f>
        <v>6343.5872521997244</v>
      </c>
      <c r="AE76" s="90">
        <f>MAX(Tabella3[[#This Row],[rest of Italy fit]]-CIa,0)</f>
        <v>0</v>
      </c>
      <c r="AG76"/>
      <c r="AH76"/>
    </row>
    <row r="77" spans="2:34" x14ac:dyDescent="0.3">
      <c r="B77" s="15">
        <v>43900</v>
      </c>
      <c r="C77" s="4">
        <v>70</v>
      </c>
      <c r="D77" s="10">
        <f>Tabella8[[#This Row],[Spain cum. Cases]]</f>
        <v>1695</v>
      </c>
      <c r="E77" s="90">
        <f>(Tabella3[[#This Row],[Spain cumul. Cases]]-D76)</f>
        <v>622</v>
      </c>
      <c r="F77" s="90">
        <f>Tabella3[[#This Row],[Spain daily cases]]*NOT(ISBLANK(Tabella3[[#This Row],[Spain daily cases]]))</f>
        <v>622</v>
      </c>
      <c r="G77" s="90">
        <f>IFERROR(Kf*_xlfn.LOGNORM.DIST((Tabella3[[#This Row],[Day]]-pf),mu_f,sigma_f,FALSE),0)</f>
        <v>1016.7922136968056</v>
      </c>
      <c r="H77" s="90">
        <f>Tabella3[[#This Row],[Spain daily cases fit]]/y_f_peak</f>
        <v>0.15233604810270934</v>
      </c>
      <c r="I77" s="90">
        <f>Tabella3[[#This Row],[Spain daily cases fit]]*NOT(ISBLANK(Tabella3[[#This Row],[Spain daily cases]]))</f>
        <v>1016.7922136968056</v>
      </c>
      <c r="J77" s="90">
        <f>Tabella3[[#This Row],[Spain daily cases fit]]+CIf</f>
        <v>3359.4806313778981</v>
      </c>
      <c r="K77" s="90">
        <f>MAX(Tabella3[[#This Row],[Spain daily cases fit]]-CIf,0)</f>
        <v>0</v>
      </c>
      <c r="L77" s="4">
        <f>Tabella8[[#This Row],[Lombardy]]</f>
        <v>0</v>
      </c>
      <c r="M77" s="90">
        <f>(Tabella3[[#This Row],[Lombardy cumul. Data]]-L76)</f>
        <v>0</v>
      </c>
      <c r="N77" s="90">
        <f>Tabella3[[#This Row],[Lombardy data]]*NOT(ISBLANK(Tabella3[[#This Row],[Lombardy data]]))</f>
        <v>0</v>
      </c>
      <c r="O77" s="95">
        <f>Tabella8[[#This Row],[Lombardy fit]]</f>
        <v>7663.6423871361549</v>
      </c>
      <c r="P77" s="90">
        <f>Tabella3[[#This Row],[Lombardy cumul. Fit]]/Kl</f>
        <v>8.8087843530300636E-2</v>
      </c>
      <c r="Q77" s="90">
        <f>IFERROR(Kl*_xlfn.LOGNORM.DIST((Tabella3[[#This Row],[Day]]-pl),mu_l,sigma_l,FALSE),0)</f>
        <v>1053.2488417170159</v>
      </c>
      <c r="R77" s="90">
        <f>Tabella3[[#This Row],[Lombardy fit]]/y_l_peak</f>
        <v>0.599133173484931</v>
      </c>
      <c r="S77" s="90">
        <f>Tabella3[[#This Row],[Lombardy fit]]*NOT(ISBLANK(Tabella3[[#This Row],[Lombardy data]]))</f>
        <v>1053.2488417170159</v>
      </c>
      <c r="T77" s="90">
        <f>Tabella3[[#This Row],[Lombardy fit]]+CIl</f>
        <v>3623.6311646334243</v>
      </c>
      <c r="U77" s="90">
        <f>MAX(Tabella3[[#This Row],[Lombardy fit]]-CIl,0)</f>
        <v>0</v>
      </c>
      <c r="V77" s="10">
        <f>Tabella8[[#This Row],[rest of Italy ]]</f>
        <v>1695</v>
      </c>
      <c r="W77" s="10">
        <f>(Tabella3[[#This Row],[rest of Italy cum. Data]]-V76)</f>
        <v>622</v>
      </c>
      <c r="X77" s="90">
        <f>Tabella3[[#This Row],[rest of Italy data]]*NOT(ISBLANK(Tabella3[[#This Row],[rest of Italy data]]))</f>
        <v>622</v>
      </c>
      <c r="Y77" s="95">
        <f>Tabella8[[#This Row],[rest of Italy fit]]</f>
        <v>5542.3304236886052</v>
      </c>
      <c r="Z77" s="90">
        <f>Tabella3[[#This Row],[rest of Italy cumul. Fit]]/Ka</f>
        <v>3.7448182897835865E-2</v>
      </c>
      <c r="AA77" s="90">
        <f>IFERROR(Ka*_xlfn.LOGNORM.DIST((Tabella3[[#This Row],[Day]]-pa),mu_a,sigma_a,FALSE),0)</f>
        <v>1164.6146057079882</v>
      </c>
      <c r="AB77" s="90">
        <f>Tabella3[[#This Row],[rest of Italy fit]]/y_a_peak</f>
        <v>0.3446472968840178</v>
      </c>
      <c r="AC77" s="90">
        <f>Tabella3[[#This Row],[rest of Italy fit]]*NOT(ISBLANK(Tabella3[[#This Row],[rest of Italy data]]))</f>
        <v>1164.6146057079882</v>
      </c>
      <c r="AD77" s="90">
        <f>Tabella3[[#This Row],[rest of Italy fit]]+CIa</f>
        <v>6503.4540408680059</v>
      </c>
      <c r="AE77" s="90">
        <f>MAX(Tabella3[[#This Row],[rest of Italy fit]]-CIa,0)</f>
        <v>0</v>
      </c>
      <c r="AG77"/>
      <c r="AH77"/>
    </row>
    <row r="78" spans="2:34" x14ac:dyDescent="0.3">
      <c r="B78" s="9">
        <v>43901</v>
      </c>
      <c r="C78" s="4">
        <v>71</v>
      </c>
      <c r="D78" s="10">
        <f>Tabella8[[#This Row],[Spain cum. Cases]]</f>
        <v>2277</v>
      </c>
      <c r="E78" s="90">
        <f>(Tabella3[[#This Row],[Spain cumul. Cases]]-D77)</f>
        <v>582</v>
      </c>
      <c r="F78" s="90">
        <f>Tabella3[[#This Row],[Spain daily cases]]*NOT(ISBLANK(Tabella3[[#This Row],[Spain daily cases]]))</f>
        <v>582</v>
      </c>
      <c r="G78" s="90">
        <f>IFERROR(Kf*_xlfn.LOGNORM.DIST((Tabella3[[#This Row],[Day]]-pf),mu_f,sigma_f,FALSE),0)</f>
        <v>1234.8871771580743</v>
      </c>
      <c r="H78" s="90">
        <f>Tabella3[[#This Row],[Spain daily cases fit]]/y_f_peak</f>
        <v>0.18501108671654887</v>
      </c>
      <c r="I78" s="90">
        <f>Tabella3[[#This Row],[Spain daily cases fit]]*NOT(ISBLANK(Tabella3[[#This Row],[Spain daily cases]]))</f>
        <v>1234.8871771580743</v>
      </c>
      <c r="J78" s="90">
        <f>Tabella3[[#This Row],[Spain daily cases fit]]+CIf</f>
        <v>3577.575594839167</v>
      </c>
      <c r="K78" s="90">
        <f>MAX(Tabella3[[#This Row],[Spain daily cases fit]]-CIf,0)</f>
        <v>0</v>
      </c>
      <c r="L78" s="4">
        <f>Tabella8[[#This Row],[Lombardy]]</f>
        <v>0</v>
      </c>
      <c r="M78" s="90">
        <f>(Tabella3[[#This Row],[Lombardy cumul. Data]]-L77)</f>
        <v>0</v>
      </c>
      <c r="N78" s="90">
        <f>Tabella3[[#This Row],[Lombardy data]]*NOT(ISBLANK(Tabella3[[#This Row],[Lombardy data]]))</f>
        <v>0</v>
      </c>
      <c r="O78" s="95">
        <f>Tabella8[[#This Row],[Lombardy fit]]</f>
        <v>8756.9145256784268</v>
      </c>
      <c r="P78" s="90">
        <f>Tabella3[[#This Row],[Lombardy cumul. Fit]]/Kl</f>
        <v>0.10065418995032674</v>
      </c>
      <c r="Q78" s="90">
        <f>IFERROR(Kl*_xlfn.LOGNORM.DIST((Tabella3[[#This Row],[Day]]-pl),mu_l,sigma_l,FALSE),0)</f>
        <v>1132.9063779653745</v>
      </c>
      <c r="R78" s="90">
        <f>Tabella3[[#This Row],[Lombardy fit]]/y_l_peak</f>
        <v>0.64444580103709381</v>
      </c>
      <c r="S78" s="90">
        <f>Tabella3[[#This Row],[Lombardy fit]]*NOT(ISBLANK(Tabella3[[#This Row],[Lombardy data]]))</f>
        <v>1132.9063779653745</v>
      </c>
      <c r="T78" s="90">
        <f>Tabella3[[#This Row],[Lombardy fit]]+CIl</f>
        <v>3703.2887008817834</v>
      </c>
      <c r="U78" s="90">
        <f>MAX(Tabella3[[#This Row],[Lombardy fit]]-CIl,0)</f>
        <v>0</v>
      </c>
      <c r="V78" s="10">
        <f>Tabella8[[#This Row],[rest of Italy ]]</f>
        <v>2277</v>
      </c>
      <c r="W78" s="10">
        <f>(Tabella3[[#This Row],[rest of Italy cum. Data]]-V77)</f>
        <v>582</v>
      </c>
      <c r="X78" s="90">
        <f>Tabella3[[#This Row],[rest of Italy data]]*NOT(ISBLANK(Tabella3[[#This Row],[rest of Italy data]]))</f>
        <v>582</v>
      </c>
      <c r="Y78" s="95">
        <f>Tabella8[[#This Row],[rest of Italy fit]]</f>
        <v>6789.9411612720642</v>
      </c>
      <c r="Z78" s="90">
        <f>Tabella3[[#This Row],[rest of Italy cumul. Fit]]/Ka</f>
        <v>4.5877986160131265E-2</v>
      </c>
      <c r="AA78" s="90">
        <f>IFERROR(Ka*_xlfn.LOGNORM.DIST((Tabella3[[#This Row],[Day]]-pa),mu_a,sigma_a,FALSE),0)</f>
        <v>1331.6157009039941</v>
      </c>
      <c r="AB78" s="90">
        <f>Tabella3[[#This Row],[rest of Italy fit]]/y_a_peak</f>
        <v>0.39406834634868981</v>
      </c>
      <c r="AC78" s="90">
        <f>Tabella3[[#This Row],[rest of Italy fit]]*NOT(ISBLANK(Tabella3[[#This Row],[rest of Italy data]]))</f>
        <v>1331.6157009039941</v>
      </c>
      <c r="AD78" s="90">
        <f>Tabella3[[#This Row],[rest of Italy fit]]+CIa</f>
        <v>6670.4551360640116</v>
      </c>
      <c r="AE78" s="90">
        <f>MAX(Tabella3[[#This Row],[rest of Italy fit]]-CIa,0)</f>
        <v>0</v>
      </c>
      <c r="AG78"/>
      <c r="AH78"/>
    </row>
    <row r="79" spans="2:34" x14ac:dyDescent="0.3">
      <c r="B79" s="15">
        <v>43902</v>
      </c>
      <c r="C79" s="4">
        <v>72</v>
      </c>
      <c r="D79" s="323">
        <f>Tabella8[[#This Row],[Spain cum. Cases]]</f>
        <v>2277</v>
      </c>
      <c r="E79" s="311">
        <f>(Tabella3[[#This Row],[Spain cumul. Cases]]-D78)</f>
        <v>0</v>
      </c>
      <c r="F79" s="90">
        <f>Tabella3[[#This Row],[Spain daily cases]]*NOT(ISBLANK(Tabella3[[#This Row],[Spain daily cases]]))</f>
        <v>0</v>
      </c>
      <c r="G79" s="90">
        <f>IFERROR(Kf*_xlfn.LOGNORM.DIST((Tabella3[[#This Row],[Day]]-pf),mu_f,sigma_f,FALSE),0)</f>
        <v>1476.851098703266</v>
      </c>
      <c r="H79" s="90">
        <f>Tabella3[[#This Row],[Spain daily cases fit]]/y_f_peak</f>
        <v>0.22126217823269578</v>
      </c>
      <c r="I79" s="90">
        <f>Tabella3[[#This Row],[Spain daily cases fit]]*NOT(ISBLANK(Tabella3[[#This Row],[Spain daily cases]]))</f>
        <v>1476.851098703266</v>
      </c>
      <c r="J79" s="90">
        <f>Tabella3[[#This Row],[Spain daily cases fit]]+CIf</f>
        <v>3819.5395163843586</v>
      </c>
      <c r="K79" s="90">
        <f>MAX(Tabella3[[#This Row],[Spain daily cases fit]]-CIf,0)</f>
        <v>0</v>
      </c>
      <c r="L79" s="4">
        <f>Tabella8[[#This Row],[Lombardy]]</f>
        <v>0</v>
      </c>
      <c r="M79" s="90">
        <f>(Tabella3[[#This Row],[Lombardy cumul. Data]]-L78)</f>
        <v>0</v>
      </c>
      <c r="N79" s="90">
        <f>Tabella3[[#This Row],[Lombardy data]]*NOT(ISBLANK(Tabella3[[#This Row],[Lombardy data]]))</f>
        <v>0</v>
      </c>
      <c r="O79" s="95">
        <f>Tabella8[[#This Row],[Lombardy fit]]</f>
        <v>9928.5494264847639</v>
      </c>
      <c r="P79" s="90">
        <f>Tabella3[[#This Row],[Lombardy cumul. Fit]]/Kl</f>
        <v>0.11412125777568694</v>
      </c>
      <c r="Q79" s="90">
        <f>IFERROR(Kl*_xlfn.LOGNORM.DIST((Tabella3[[#This Row],[Day]]-pl),mu_l,sigma_l,FALSE),0)</f>
        <v>1209.8492131042087</v>
      </c>
      <c r="R79" s="90">
        <f>Tabella3[[#This Row],[Lombardy fit]]/y_l_peak</f>
        <v>0.68821419001391582</v>
      </c>
      <c r="S79" s="90">
        <f>Tabella3[[#This Row],[Lombardy fit]]*NOT(ISBLANK(Tabella3[[#This Row],[Lombardy data]]))</f>
        <v>1209.8492131042087</v>
      </c>
      <c r="T79" s="90">
        <f>Tabella3[[#This Row],[Lombardy fit]]+CIl</f>
        <v>3780.2315360206176</v>
      </c>
      <c r="U79" s="90">
        <f>MAX(Tabella3[[#This Row],[Lombardy fit]]-CIl,0)</f>
        <v>0</v>
      </c>
      <c r="V79" s="10">
        <f>Tabella8[[#This Row],[rest of Italy ]]</f>
        <v>2277</v>
      </c>
      <c r="W79" s="10">
        <f>(Tabella3[[#This Row],[rest of Italy cum. Data]]-V78)</f>
        <v>0</v>
      </c>
      <c r="X79" s="90">
        <f>Tabella3[[#This Row],[rest of Italy data]]*NOT(ISBLANK(Tabella3[[#This Row],[rest of Italy data]]))</f>
        <v>0</v>
      </c>
      <c r="Y79" s="95">
        <f>Tabella8[[#This Row],[rest of Italy fit]]</f>
        <v>8207.2029099055053</v>
      </c>
      <c r="Z79" s="90">
        <f>Tabella3[[#This Row],[rest of Italy cumul. Fit]]/Ka</f>
        <v>5.5454080171070688E-2</v>
      </c>
      <c r="AA79" s="90">
        <f>IFERROR(Ka*_xlfn.LOGNORM.DIST((Tabella3[[#This Row],[Day]]-pa),mu_a,sigma_a,FALSE),0)</f>
        <v>1503.53664763659</v>
      </c>
      <c r="AB79" s="90">
        <f>Tabella3[[#This Row],[rest of Italy fit]]/y_a_peak</f>
        <v>0.44494533971518646</v>
      </c>
      <c r="AC79" s="90">
        <f>Tabella3[[#This Row],[rest of Italy fit]]*NOT(ISBLANK(Tabella3[[#This Row],[rest of Italy data]]))</f>
        <v>1503.53664763659</v>
      </c>
      <c r="AD79" s="90">
        <f>Tabella3[[#This Row],[rest of Italy fit]]+CIa</f>
        <v>6842.3760827966071</v>
      </c>
      <c r="AE79" s="90">
        <f>MAX(Tabella3[[#This Row],[rest of Italy fit]]-CIa,0)</f>
        <v>0</v>
      </c>
      <c r="AG79"/>
      <c r="AH79"/>
    </row>
    <row r="80" spans="2:34" x14ac:dyDescent="0.3">
      <c r="B80" s="9">
        <v>43903</v>
      </c>
      <c r="C80" s="4">
        <v>73</v>
      </c>
      <c r="D80" s="10">
        <f>Tabella8[[#This Row],[Spain cum. Cases]]</f>
        <v>5232</v>
      </c>
      <c r="E80" s="90">
        <f>(Tabella3[[#This Row],[Spain cumul. Cases]]-D79)</f>
        <v>2955</v>
      </c>
      <c r="F80" s="90">
        <f>Tabella3[[#This Row],[Spain daily cases]]*NOT(ISBLANK(Tabella3[[#This Row],[Spain daily cases]]))</f>
        <v>2955</v>
      </c>
      <c r="G80" s="90">
        <f>IFERROR(Kf*_xlfn.LOGNORM.DIST((Tabella3[[#This Row],[Day]]-pf),mu_f,sigma_f,FALSE),0)</f>
        <v>1741.1054449915209</v>
      </c>
      <c r="H80" s="90">
        <f>Tabella3[[#This Row],[Spain daily cases fit]]/y_f_peak</f>
        <v>0.26085282641553215</v>
      </c>
      <c r="I80" s="90">
        <f>Tabella3[[#This Row],[Spain daily cases fit]]*NOT(ISBLANK(Tabella3[[#This Row],[Spain daily cases]]))</f>
        <v>1741.1054449915209</v>
      </c>
      <c r="J80" s="90">
        <f>Tabella3[[#This Row],[Spain daily cases fit]]+CIf</f>
        <v>4083.7938626726136</v>
      </c>
      <c r="K80" s="90">
        <f>MAX(Tabella3[[#This Row],[Spain daily cases fit]]-CIf,0)</f>
        <v>0</v>
      </c>
      <c r="L80" s="4">
        <f>Tabella8[[#This Row],[Lombardy]]</f>
        <v>0</v>
      </c>
      <c r="M80" s="90">
        <f>(Tabella3[[#This Row],[Lombardy cumul. Data]]-L79)</f>
        <v>0</v>
      </c>
      <c r="N80" s="90">
        <f>Tabella3[[#This Row],[Lombardy data]]*NOT(ISBLANK(Tabella3[[#This Row],[Lombardy data]]))</f>
        <v>0</v>
      </c>
      <c r="O80" s="95">
        <f>Tabella8[[#This Row],[Lombardy fit]]</f>
        <v>11175.46964004266</v>
      </c>
      <c r="P80" s="90">
        <f>Tabella3[[#This Row],[Lombardy cumul. Fit]]/Kl</f>
        <v>0.12845367402347885</v>
      </c>
      <c r="Q80" s="90">
        <f>IFERROR(Kl*_xlfn.LOGNORM.DIST((Tabella3[[#This Row],[Day]]-pl),mu_l,sigma_l,FALSE),0)</f>
        <v>1283.3648504414211</v>
      </c>
      <c r="R80" s="90">
        <f>Tabella3[[#This Row],[Lombardy fit]]/y_l_peak</f>
        <v>0.73003304169839311</v>
      </c>
      <c r="S80" s="90">
        <f>Tabella3[[#This Row],[Lombardy fit]]*NOT(ISBLANK(Tabella3[[#This Row],[Lombardy data]]))</f>
        <v>1283.3648504414211</v>
      </c>
      <c r="T80" s="90">
        <f>Tabella3[[#This Row],[Lombardy fit]]+CIl</f>
        <v>3853.7471733578295</v>
      </c>
      <c r="U80" s="90">
        <f>MAX(Tabella3[[#This Row],[Lombardy fit]]-CIl,0)</f>
        <v>0</v>
      </c>
      <c r="V80" s="10">
        <f>Tabella8[[#This Row],[rest of Italy ]]</f>
        <v>5232</v>
      </c>
      <c r="W80" s="10">
        <f>(Tabella3[[#This Row],[rest of Italy cum. Data]]-V79)</f>
        <v>2955</v>
      </c>
      <c r="X80" s="90">
        <f>Tabella3[[#This Row],[rest of Italy data]]*NOT(ISBLANK(Tabella3[[#This Row],[rest of Italy data]]))</f>
        <v>2955</v>
      </c>
      <c r="Y80" s="95">
        <f>Tabella8[[#This Row],[rest of Italy fit]]</f>
        <v>9797.8824105135063</v>
      </c>
      <c r="Z80" s="90">
        <f>Tabella3[[#This Row],[rest of Italy cumul. Fit]]/Ka</f>
        <v>6.6201915885809995E-2</v>
      </c>
      <c r="AA80" s="90">
        <f>IFERROR(Ka*_xlfn.LOGNORM.DIST((Tabella3[[#This Row],[Day]]-pa),mu_a,sigma_a,FALSE),0)</f>
        <v>1678.0605794728556</v>
      </c>
      <c r="AB80" s="90">
        <f>Tabella3[[#This Row],[rest of Italy fit]]/y_a_peak</f>
        <v>0.49659264093752842</v>
      </c>
      <c r="AC80" s="90">
        <f>Tabella3[[#This Row],[rest of Italy fit]]*NOT(ISBLANK(Tabella3[[#This Row],[rest of Italy data]]))</f>
        <v>1678.0605794728556</v>
      </c>
      <c r="AD80" s="90">
        <f>Tabella3[[#This Row],[rest of Italy fit]]+CIa</f>
        <v>7016.9000146328726</v>
      </c>
      <c r="AE80" s="90">
        <f>MAX(Tabella3[[#This Row],[rest of Italy fit]]-CIa,0)</f>
        <v>0</v>
      </c>
      <c r="AG80"/>
      <c r="AH80"/>
    </row>
    <row r="81" spans="2:34" x14ac:dyDescent="0.3">
      <c r="B81" s="9">
        <v>43904</v>
      </c>
      <c r="C81" s="4">
        <v>74</v>
      </c>
      <c r="D81" s="10">
        <f>Tabella8[[#This Row],[Spain cum. Cases]]</f>
        <v>6391</v>
      </c>
      <c r="E81" s="90">
        <f>(Tabella3[[#This Row],[Spain cumul. Cases]]-D80)</f>
        <v>1159</v>
      </c>
      <c r="F81" s="90">
        <f>Tabella3[[#This Row],[Spain daily cases]]*NOT(ISBLANK(Tabella3[[#This Row],[Spain daily cases]]))</f>
        <v>1159</v>
      </c>
      <c r="G81" s="90">
        <f>IFERROR(Kf*_xlfn.LOGNORM.DIST((Tabella3[[#This Row],[Day]]-pf),mu_f,sigma_f,FALSE),0)</f>
        <v>2025.422334616442</v>
      </c>
      <c r="H81" s="90">
        <f>Tabella3[[#This Row],[Spain daily cases fit]]/y_f_peak</f>
        <v>0.30344924954985575</v>
      </c>
      <c r="I81" s="90">
        <f>Tabella3[[#This Row],[Spain daily cases fit]]*NOT(ISBLANK(Tabella3[[#This Row],[Spain daily cases]]))</f>
        <v>2025.422334616442</v>
      </c>
      <c r="J81" s="90">
        <f>Tabella3[[#This Row],[Spain daily cases fit]]+CIf</f>
        <v>4368.1107522975344</v>
      </c>
      <c r="K81" s="90">
        <f>MAX(Tabella3[[#This Row],[Spain daily cases fit]]-CIf,0)</f>
        <v>0</v>
      </c>
      <c r="L81" s="4">
        <f>Tabella8[[#This Row],[Lombardy]]</f>
        <v>0</v>
      </c>
      <c r="M81" s="90">
        <f>(Tabella3[[#This Row],[Lombardy cumul. Data]]-L80)</f>
        <v>0</v>
      </c>
      <c r="N81" s="90">
        <f>Tabella3[[#This Row],[Lombardy data]]*NOT(ISBLANK(Tabella3[[#This Row],[Lombardy data]]))</f>
        <v>0</v>
      </c>
      <c r="O81" s="95">
        <f>Tabella8[[#This Row],[Lombardy fit]]</f>
        <v>12493.925509581044</v>
      </c>
      <c r="P81" s="90">
        <f>Tabella3[[#This Row],[Lombardy cumul. Fit]]/Kl</f>
        <v>0.14360833919058671</v>
      </c>
      <c r="Q81" s="90">
        <f>IFERROR(Kl*_xlfn.LOGNORM.DIST((Tabella3[[#This Row],[Day]]-pl),mu_l,sigma_l,FALSE),0)</f>
        <v>1352.822558718497</v>
      </c>
      <c r="R81" s="90">
        <f>Tabella3[[#This Row],[Lombardy fit]]/y_l_peak</f>
        <v>0.76954356906360222</v>
      </c>
      <c r="S81" s="90">
        <f>Tabella3[[#This Row],[Lombardy fit]]*NOT(ISBLANK(Tabella3[[#This Row],[Lombardy data]]))</f>
        <v>1352.822558718497</v>
      </c>
      <c r="T81" s="90">
        <f>Tabella3[[#This Row],[Lombardy fit]]+CIl</f>
        <v>3923.2048816349056</v>
      </c>
      <c r="U81" s="90">
        <f>MAX(Tabella3[[#This Row],[Lombardy fit]]-CIl,0)</f>
        <v>0</v>
      </c>
      <c r="V81" s="10">
        <f>Tabella8[[#This Row],[rest of Italy ]]</f>
        <v>6391</v>
      </c>
      <c r="W81" s="10">
        <f>(Tabella3[[#This Row],[rest of Italy cum. Data]]-V80)</f>
        <v>1159</v>
      </c>
      <c r="X81" s="90">
        <f>Tabella3[[#This Row],[rest of Italy data]]*NOT(ISBLANK(Tabella3[[#This Row],[rest of Italy data]]))</f>
        <v>1159</v>
      </c>
      <c r="Y81" s="95">
        <f>Tabella8[[#This Row],[rest of Italy fit]]</f>
        <v>11563.409946216672</v>
      </c>
      <c r="Z81" s="90">
        <f>Tabella3[[#This Row],[rest of Italy cumul. Fit]]/Ka</f>
        <v>7.8131157380613422E-2</v>
      </c>
      <c r="AA81" s="90">
        <f>IFERROR(Ka*_xlfn.LOGNORM.DIST((Tabella3[[#This Row],[Day]]-pa),mu_a,sigma_a,FALSE),0)</f>
        <v>1852.8435850697485</v>
      </c>
      <c r="AB81" s="90">
        <f>Tabella3[[#This Row],[rest of Italy fit]]/y_a_peak</f>
        <v>0.54831661050221836</v>
      </c>
      <c r="AC81" s="90">
        <f>Tabella3[[#This Row],[rest of Italy fit]]*NOT(ISBLANK(Tabella3[[#This Row],[rest of Italy data]]))</f>
        <v>1852.8435850697485</v>
      </c>
      <c r="AD81" s="90">
        <f>Tabella3[[#This Row],[rest of Italy fit]]+CIa</f>
        <v>7191.683020229766</v>
      </c>
      <c r="AE81" s="90">
        <f>MAX(Tabella3[[#This Row],[rest of Italy fit]]-CIa,0)</f>
        <v>0</v>
      </c>
      <c r="AG81"/>
      <c r="AH81"/>
    </row>
    <row r="82" spans="2:34" x14ac:dyDescent="0.3">
      <c r="B82" s="9">
        <v>43905</v>
      </c>
      <c r="C82" s="4">
        <v>75</v>
      </c>
      <c r="D82" s="10">
        <f>Tabella8[[#This Row],[Spain cum. Cases]]</f>
        <v>7798</v>
      </c>
      <c r="E82" s="90">
        <f>(Tabella3[[#This Row],[Spain cumul. Cases]]-D81)</f>
        <v>1407</v>
      </c>
      <c r="F82" s="90">
        <f>Tabella3[[#This Row],[Spain daily cases]]*NOT(ISBLANK(Tabella3[[#This Row],[Spain daily cases]]))</f>
        <v>1407</v>
      </c>
      <c r="G82" s="90">
        <f>IFERROR(Kf*_xlfn.LOGNORM.DIST((Tabella3[[#This Row],[Day]]-pf),mu_f,sigma_f,FALSE),0)</f>
        <v>2326.9909343419145</v>
      </c>
      <c r="H82" s="90">
        <f>Tabella3[[#This Row],[Spain daily cases fit]]/y_f_peak</f>
        <v>0.34863032794051396</v>
      </c>
      <c r="I82" s="90">
        <f>Tabella3[[#This Row],[Spain daily cases fit]]*NOT(ISBLANK(Tabella3[[#This Row],[Spain daily cases]]))</f>
        <v>2326.9909343419145</v>
      </c>
      <c r="J82" s="90">
        <f>Tabella3[[#This Row],[Spain daily cases fit]]+CIf</f>
        <v>4669.6793520230076</v>
      </c>
      <c r="K82" s="90">
        <f>MAX(Tabella3[[#This Row],[Spain daily cases fit]]-CIf,0)</f>
        <v>0</v>
      </c>
      <c r="L82" s="4">
        <f>Tabella8[[#This Row],[Lombardy]]</f>
        <v>0</v>
      </c>
      <c r="M82" s="90">
        <f>(Tabella3[[#This Row],[Lombardy cumul. Data]]-L81)</f>
        <v>0</v>
      </c>
      <c r="N82" s="90">
        <f>Tabella3[[#This Row],[Lombardy data]]*NOT(ISBLANK(Tabella3[[#This Row],[Lombardy data]]))</f>
        <v>0</v>
      </c>
      <c r="O82" s="95">
        <f>Tabella8[[#This Row],[Lombardy fit]]</f>
        <v>13879.579996701837</v>
      </c>
      <c r="P82" s="90">
        <f>Tabella3[[#This Row],[Lombardy cumul. Fit]]/Kl</f>
        <v>0.15953540226094065</v>
      </c>
      <c r="Q82" s="90">
        <f>IFERROR(Kl*_xlfn.LOGNORM.DIST((Tabella3[[#This Row],[Day]]-pl),mu_l,sigma_l,FALSE),0)</f>
        <v>1417.679002228017</v>
      </c>
      <c r="R82" s="90">
        <f>Tabella3[[#This Row],[Lombardy fit]]/y_l_peak</f>
        <v>0.80643669942533025</v>
      </c>
      <c r="S82" s="90">
        <f>Tabella3[[#This Row],[Lombardy fit]]*NOT(ISBLANK(Tabella3[[#This Row],[Lombardy data]]))</f>
        <v>1417.679002228017</v>
      </c>
      <c r="T82" s="90">
        <f>Tabella3[[#This Row],[Lombardy fit]]+CIl</f>
        <v>3988.0613251444256</v>
      </c>
      <c r="U82" s="90">
        <f>MAX(Tabella3[[#This Row],[Lombardy fit]]-CIl,0)</f>
        <v>0</v>
      </c>
      <c r="V82" s="10">
        <f>Tabella8[[#This Row],[rest of Italy ]]</f>
        <v>7798</v>
      </c>
      <c r="W82" s="10">
        <f>(Tabella3[[#This Row],[rest of Italy cum. Data]]-V81)</f>
        <v>1407</v>
      </c>
      <c r="X82" s="90">
        <f>Tabella3[[#This Row],[rest of Italy data]]*NOT(ISBLANK(Tabella3[[#This Row],[rest of Italy data]]))</f>
        <v>1407</v>
      </c>
      <c r="Y82" s="95">
        <f>Tabella8[[#This Row],[rest of Italy fit]]</f>
        <v>13502.887554047407</v>
      </c>
      <c r="Z82" s="90">
        <f>Tabella3[[#This Row],[rest of Italy cumul. Fit]]/Ka</f>
        <v>9.1235737337426057E-2</v>
      </c>
      <c r="AA82" s="90">
        <f>IFERROR(Ka*_xlfn.LOGNORM.DIST((Tabella3[[#This Row],[Day]]-pa),mu_a,sigma_a,FALSE),0)</f>
        <v>2025.5839876535661</v>
      </c>
      <c r="AB82" s="90">
        <f>Tabella3[[#This Row],[rest of Italy fit]]/y_a_peak</f>
        <v>0.59943610747690868</v>
      </c>
      <c r="AC82" s="90">
        <f>Tabella3[[#This Row],[rest of Italy fit]]*NOT(ISBLANK(Tabella3[[#This Row],[rest of Italy data]]))</f>
        <v>2025.5839876535661</v>
      </c>
      <c r="AD82" s="90">
        <f>Tabella3[[#This Row],[rest of Italy fit]]+CIa</f>
        <v>7364.4234228135829</v>
      </c>
      <c r="AE82" s="90">
        <f>MAX(Tabella3[[#This Row],[rest of Italy fit]]-CIa,0)</f>
        <v>0</v>
      </c>
      <c r="AG82"/>
      <c r="AH82"/>
    </row>
    <row r="83" spans="2:34" x14ac:dyDescent="0.3">
      <c r="B83" s="9">
        <v>43906</v>
      </c>
      <c r="C83" s="4">
        <v>76</v>
      </c>
      <c r="D83" s="10">
        <f>Tabella8[[#This Row],[Spain cum. Cases]]</f>
        <v>9942</v>
      </c>
      <c r="E83" s="90">
        <f>(Tabella3[[#This Row],[Spain cumul. Cases]]-D82)</f>
        <v>2144</v>
      </c>
      <c r="F83" s="90">
        <f>Tabella3[[#This Row],[Spain daily cases]]*NOT(ISBLANK(Tabella3[[#This Row],[Spain daily cases]]))</f>
        <v>2144</v>
      </c>
      <c r="G83" s="90">
        <f>IFERROR(Kf*_xlfn.LOGNORM.DIST((Tabella3[[#This Row],[Day]]-pf),mu_f,sigma_f,FALSE),0)</f>
        <v>2642.5056616012921</v>
      </c>
      <c r="H83" s="90">
        <f>Tabella3[[#This Row],[Spain daily cases fit]]/y_f_peak</f>
        <v>0.39590081843153369</v>
      </c>
      <c r="I83" s="90">
        <f>Tabella3[[#This Row],[Spain daily cases fit]]*NOT(ISBLANK(Tabella3[[#This Row],[Spain daily cases]]))</f>
        <v>2642.5056616012921</v>
      </c>
      <c r="J83" s="90">
        <f>Tabella3[[#This Row],[Spain daily cases fit]]+CIf</f>
        <v>4985.1940792823843</v>
      </c>
      <c r="K83" s="90">
        <f>MAX(Tabella3[[#This Row],[Spain daily cases fit]]-CIf,0)</f>
        <v>299.81724392019942</v>
      </c>
      <c r="L83" s="4">
        <f>Tabella8[[#This Row],[Lombardy]]</f>
        <v>0</v>
      </c>
      <c r="M83" s="90">
        <f>(Tabella3[[#This Row],[Lombardy cumul. Data]]-L82)</f>
        <v>0</v>
      </c>
      <c r="N83" s="90">
        <f>Tabella3[[#This Row],[Lombardy data]]*NOT(ISBLANK(Tabella3[[#This Row],[Lombardy data]]))</f>
        <v>0</v>
      </c>
      <c r="O83" s="95">
        <f>Tabella8[[#This Row],[Lombardy fit]]</f>
        <v>15327.597715323067</v>
      </c>
      <c r="P83" s="90">
        <f>Tabella3[[#This Row],[Lombardy cumul. Fit]]/Kl</f>
        <v>0.17617928408417319</v>
      </c>
      <c r="Q83" s="90">
        <f>IFERROR(Kl*_xlfn.LOGNORM.DIST((Tabella3[[#This Row],[Day]]-pl),mu_l,sigma_l,FALSE),0)</f>
        <v>1477.4810780998919</v>
      </c>
      <c r="R83" s="90">
        <f>Tabella3[[#This Row],[Lombardy fit]]/y_l_peak</f>
        <v>0.84045468841233317</v>
      </c>
      <c r="S83" s="90">
        <f>Tabella3[[#This Row],[Lombardy fit]]*NOT(ISBLANK(Tabella3[[#This Row],[Lombardy data]]))</f>
        <v>1477.4810780998919</v>
      </c>
      <c r="T83" s="90">
        <f>Tabella3[[#This Row],[Lombardy fit]]+CIl</f>
        <v>4047.8634010163005</v>
      </c>
      <c r="U83" s="90">
        <f>MAX(Tabella3[[#This Row],[Lombardy fit]]-CIl,0)</f>
        <v>0</v>
      </c>
      <c r="V83" s="10">
        <f>Tabella8[[#This Row],[rest of Italy ]]</f>
        <v>9942</v>
      </c>
      <c r="W83" s="10">
        <f>(Tabella3[[#This Row],[rest of Italy cum. Data]]-V82)</f>
        <v>2144</v>
      </c>
      <c r="X83" s="90">
        <f>Tabella3[[#This Row],[rest of Italy data]]*NOT(ISBLANK(Tabella3[[#This Row],[rest of Italy data]]))</f>
        <v>2144</v>
      </c>
      <c r="Y83" s="95">
        <f>Tabella8[[#This Row],[rest of Italy fit]]</f>
        <v>15613.162473367664</v>
      </c>
      <c r="Z83" s="90">
        <f>Tabella3[[#This Row],[rest of Italy cumul. Fit]]/Ka</f>
        <v>0.10549435331702446</v>
      </c>
      <c r="AA83" s="90">
        <f>IFERROR(Ka*_xlfn.LOGNORM.DIST((Tabella3[[#This Row],[Day]]-pa),mu_a,sigma_a,FALSE),0)</f>
        <v>2194.0832257012048</v>
      </c>
      <c r="AB83" s="90">
        <f>Tabella3[[#This Row],[rest of Italy fit]]/y_a_peak</f>
        <v>0.6493005060818291</v>
      </c>
      <c r="AC83" s="90">
        <f>Tabella3[[#This Row],[rest of Italy fit]]*NOT(ISBLANK(Tabella3[[#This Row],[rest of Italy data]]))</f>
        <v>2194.0832257012048</v>
      </c>
      <c r="AD83" s="90">
        <f>Tabella3[[#This Row],[rest of Italy fit]]+CIa</f>
        <v>7532.9226608612225</v>
      </c>
      <c r="AE83" s="90">
        <f>MAX(Tabella3[[#This Row],[rest of Italy fit]]-CIa,0)</f>
        <v>0</v>
      </c>
      <c r="AG83"/>
      <c r="AH83"/>
    </row>
    <row r="84" spans="2:34" x14ac:dyDescent="0.3">
      <c r="B84" s="9">
        <v>43907</v>
      </c>
      <c r="C84" s="4">
        <v>77</v>
      </c>
      <c r="D84" s="10">
        <f>Tabella8[[#This Row],[Spain cum. Cases]]</f>
        <v>11748</v>
      </c>
      <c r="E84" s="90">
        <f>(Tabella3[[#This Row],[Spain cumul. Cases]]-D83)</f>
        <v>1806</v>
      </c>
      <c r="F84" s="90">
        <f>Tabella3[[#This Row],[Spain daily cases]]*NOT(ISBLANK(Tabella3[[#This Row],[Spain daily cases]]))</f>
        <v>1806</v>
      </c>
      <c r="G84" s="90">
        <f>IFERROR(Kf*_xlfn.LOGNORM.DIST((Tabella3[[#This Row],[Day]]-pf),mu_f,sigma_f,FALSE),0)</f>
        <v>2968.2703579724789</v>
      </c>
      <c r="H84" s="90">
        <f>Tabella3[[#This Row],[Spain daily cases fit]]/y_f_peak</f>
        <v>0.44470696170060814</v>
      </c>
      <c r="I84" s="90">
        <f>Tabella3[[#This Row],[Spain daily cases fit]]*NOT(ISBLANK(Tabella3[[#This Row],[Spain daily cases]]))</f>
        <v>2968.2703579724789</v>
      </c>
      <c r="J84" s="90">
        <f>Tabella3[[#This Row],[Spain daily cases fit]]+CIf</f>
        <v>5310.9587756535711</v>
      </c>
      <c r="K84" s="90">
        <f>MAX(Tabella3[[#This Row],[Spain daily cases fit]]-CIf,0)</f>
        <v>625.58194029138622</v>
      </c>
      <c r="L84" s="4">
        <f>Tabella8[[#This Row],[Lombardy]]</f>
        <v>0</v>
      </c>
      <c r="M84" s="90">
        <f>(Tabella3[[#This Row],[Lombardy cumul. Data]]-L83)</f>
        <v>0</v>
      </c>
      <c r="N84" s="90">
        <f>Tabella3[[#This Row],[Lombardy data]]*NOT(ISBLANK(Tabella3[[#This Row],[Lombardy data]]))</f>
        <v>0</v>
      </c>
      <c r="O84" s="95">
        <f>Tabella8[[#This Row],[Lombardy fit]]</f>
        <v>16832.735540922957</v>
      </c>
      <c r="P84" s="90">
        <f>Tabella3[[#This Row],[Lombardy cumul. Fit]]/Kl</f>
        <v>0.1934797188611834</v>
      </c>
      <c r="Q84" s="90">
        <f>IFERROR(Kl*_xlfn.LOGNORM.DIST((Tabella3[[#This Row],[Day]]-pl),mu_l,sigma_l,FALSE),0)</f>
        <v>1531.8662870557482</v>
      </c>
      <c r="R84" s="90">
        <f>Tabella3[[#This Row],[Lombardy fit]]/y_l_peak</f>
        <v>0.8713913308673531</v>
      </c>
      <c r="S84" s="90">
        <f>Tabella3[[#This Row],[Lombardy fit]]*NOT(ISBLANK(Tabella3[[#This Row],[Lombardy data]]))</f>
        <v>1531.8662870557482</v>
      </c>
      <c r="T84" s="90">
        <f>Tabella3[[#This Row],[Lombardy fit]]+CIl</f>
        <v>4102.2486099721573</v>
      </c>
      <c r="U84" s="90">
        <f>MAX(Tabella3[[#This Row],[Lombardy fit]]-CIl,0)</f>
        <v>0</v>
      </c>
      <c r="V84" s="10">
        <f>Tabella8[[#This Row],[rest of Italy ]]</f>
        <v>11748</v>
      </c>
      <c r="W84" s="10">
        <f>(Tabella3[[#This Row],[rest of Italy cum. Data]]-V83)</f>
        <v>1806</v>
      </c>
      <c r="X84" s="90">
        <f>Tabella3[[#This Row],[rest of Italy data]]*NOT(ISBLANK(Tabella3[[#This Row],[rest of Italy data]]))</f>
        <v>1806</v>
      </c>
      <c r="Y84" s="95">
        <f>Tabella8[[#This Row],[rest of Italy fit]]</f>
        <v>17888.956629534136</v>
      </c>
      <c r="Z84" s="90">
        <f>Tabella3[[#This Row],[rest of Italy cumul. Fit]]/Ka</f>
        <v>0.1208713426487483</v>
      </c>
      <c r="AA84" s="90">
        <f>IFERROR(Ka*_xlfn.LOGNORM.DIST((Tabella3[[#This Row],[Day]]-pa),mu_a,sigma_a,FALSE),0)</f>
        <v>2356.2968636267587</v>
      </c>
      <c r="AB84" s="90">
        <f>Tabella3[[#This Row],[rest of Italy fit]]/y_a_peak</f>
        <v>0.69730479140914425</v>
      </c>
      <c r="AC84" s="90">
        <f>Tabella3[[#This Row],[rest of Italy fit]]*NOT(ISBLANK(Tabella3[[#This Row],[rest of Italy data]]))</f>
        <v>2356.2968636267587</v>
      </c>
      <c r="AD84" s="90">
        <f>Tabella3[[#This Row],[rest of Italy fit]]+CIa</f>
        <v>7695.136298786776</v>
      </c>
      <c r="AE84" s="90">
        <f>MAX(Tabella3[[#This Row],[rest of Italy fit]]-CIa,0)</f>
        <v>0</v>
      </c>
      <c r="AG84"/>
      <c r="AH84"/>
    </row>
    <row r="85" spans="2:34" x14ac:dyDescent="0.3">
      <c r="B85" s="9">
        <v>43908</v>
      </c>
      <c r="C85" s="4">
        <v>78</v>
      </c>
      <c r="D85" s="10">
        <f>Tabella8[[#This Row],[Spain cum. Cases]]</f>
        <v>13910</v>
      </c>
      <c r="E85" s="90">
        <f>(Tabella3[[#This Row],[Spain cumul. Cases]]-D84)</f>
        <v>2162</v>
      </c>
      <c r="F85" s="90">
        <f>Tabella3[[#This Row],[Spain daily cases]]*NOT(ISBLANK(Tabella3[[#This Row],[Spain daily cases]]))</f>
        <v>2162</v>
      </c>
      <c r="G85" s="90">
        <f>IFERROR(Kf*_xlfn.LOGNORM.DIST((Tabella3[[#This Row],[Day]]-pf),mu_f,sigma_f,FALSE),0)</f>
        <v>3300.312331208881</v>
      </c>
      <c r="H85" s="90">
        <f>Tabella3[[#This Row],[Spain daily cases fit]]/y_f_peak</f>
        <v>0.49445356806294005</v>
      </c>
      <c r="I85" s="90">
        <f>Tabella3[[#This Row],[Spain daily cases fit]]*NOT(ISBLANK(Tabella3[[#This Row],[Spain daily cases]]))</f>
        <v>3300.312331208881</v>
      </c>
      <c r="J85" s="90">
        <f>Tabella3[[#This Row],[Spain daily cases fit]]+CIf</f>
        <v>5643.0007488899737</v>
      </c>
      <c r="K85" s="90">
        <f>MAX(Tabella3[[#This Row],[Spain daily cases fit]]-CIf,0)</f>
        <v>957.62391352778832</v>
      </c>
      <c r="L85" s="4">
        <f>Tabella8[[#This Row],[Lombardy]]</f>
        <v>0</v>
      </c>
      <c r="M85" s="90">
        <f>(Tabella3[[#This Row],[Lombardy cumul. Data]]-L84)</f>
        <v>0</v>
      </c>
      <c r="N85" s="90">
        <f>Tabella3[[#This Row],[Lombardy data]]*NOT(ISBLANK(Tabella3[[#This Row],[Lombardy data]]))</f>
        <v>0</v>
      </c>
      <c r="O85" s="95">
        <f>Tabella8[[#This Row],[Lombardy fit]]</f>
        <v>18389.432504465833</v>
      </c>
      <c r="P85" s="90">
        <f>Tabella3[[#This Row],[Lombardy cumul. Fit]]/Kl</f>
        <v>0.21137278740765325</v>
      </c>
      <c r="Q85" s="90">
        <f>IFERROR(Kl*_xlfn.LOGNORM.DIST((Tabella3[[#This Row],[Day]]-pl),mu_l,sigma_l,FALSE),0)</f>
        <v>1580.5609923813795</v>
      </c>
      <c r="R85" s="90">
        <f>Tabella3[[#This Row],[Lombardy fit]]/y_l_peak</f>
        <v>0.89909097047587938</v>
      </c>
      <c r="S85" s="90">
        <f>Tabella3[[#This Row],[Lombardy fit]]*NOT(ISBLANK(Tabella3[[#This Row],[Lombardy data]]))</f>
        <v>1580.5609923813795</v>
      </c>
      <c r="T85" s="90">
        <f>Tabella3[[#This Row],[Lombardy fit]]+CIl</f>
        <v>4150.9433152977881</v>
      </c>
      <c r="U85" s="90">
        <f>MAX(Tabella3[[#This Row],[Lombardy fit]]-CIl,0)</f>
        <v>0</v>
      </c>
      <c r="V85" s="10">
        <f>Tabella8[[#This Row],[rest of Italy ]]</f>
        <v>13910</v>
      </c>
      <c r="W85" s="10">
        <f>(Tabella3[[#This Row],[rest of Italy cum. Data]]-V84)</f>
        <v>2162</v>
      </c>
      <c r="X85" s="90">
        <f>Tabella3[[#This Row],[rest of Italy data]]*NOT(ISBLANK(Tabella3[[#This Row],[rest of Italy data]]))</f>
        <v>2162</v>
      </c>
      <c r="Y85" s="95">
        <f>Tabella8[[#This Row],[rest of Italy fit]]</f>
        <v>20323.041866037074</v>
      </c>
      <c r="Z85" s="90">
        <f>Tabella3[[#This Row],[rest of Italy cumul. Fit]]/Ka</f>
        <v>0.13731786643157598</v>
      </c>
      <c r="AA85" s="90">
        <f>IFERROR(Ka*_xlfn.LOGNORM.DIST((Tabella3[[#This Row],[Day]]-pa),mu_a,sigma_a,FALSE),0)</f>
        <v>2510.3750155728749</v>
      </c>
      <c r="AB85" s="90">
        <f>Tabella3[[#This Row],[rest of Italy fit]]/y_a_peak</f>
        <v>0.74290152213607175</v>
      </c>
      <c r="AC85" s="90">
        <f>Tabella3[[#This Row],[rest of Italy fit]]*NOT(ISBLANK(Tabella3[[#This Row],[rest of Italy data]]))</f>
        <v>2510.3750155728749</v>
      </c>
      <c r="AD85" s="90">
        <f>Tabella3[[#This Row],[rest of Italy fit]]+CIa</f>
        <v>7849.2144507328921</v>
      </c>
      <c r="AE85" s="90">
        <f>MAX(Tabella3[[#This Row],[rest of Italy fit]]-CIa,0)</f>
        <v>0</v>
      </c>
      <c r="AG85"/>
      <c r="AH85"/>
    </row>
    <row r="86" spans="2:34" x14ac:dyDescent="0.3">
      <c r="B86" s="9">
        <v>43909</v>
      </c>
      <c r="C86" s="4">
        <v>79</v>
      </c>
      <c r="D86" s="10">
        <f>Tabella8[[#This Row],[Spain cum. Cases]]</f>
        <v>17963</v>
      </c>
      <c r="E86" s="90">
        <f>(Tabella3[[#This Row],[Spain cumul. Cases]]-D85)</f>
        <v>4053</v>
      </c>
      <c r="F86" s="90">
        <f>Tabella3[[#This Row],[Spain daily cases]]*NOT(ISBLANK(Tabella3[[#This Row],[Spain daily cases]]))</f>
        <v>4053</v>
      </c>
      <c r="G86" s="90">
        <f>IFERROR(Kf*_xlfn.LOGNORM.DIST((Tabella3[[#This Row],[Day]]-pf),mu_f,sigma_f,FALSE),0)</f>
        <v>3634.5003228955043</v>
      </c>
      <c r="H86" s="90">
        <f>Tabella3[[#This Row],[Spain daily cases fit]]/y_f_peak</f>
        <v>0.54452169141316631</v>
      </c>
      <c r="I86" s="90">
        <f>Tabella3[[#This Row],[Spain daily cases fit]]*NOT(ISBLANK(Tabella3[[#This Row],[Spain daily cases]]))</f>
        <v>3634.5003228955043</v>
      </c>
      <c r="J86" s="90">
        <f>Tabella3[[#This Row],[Spain daily cases fit]]+CIf</f>
        <v>5977.1887405765974</v>
      </c>
      <c r="K86" s="90">
        <f>MAX(Tabella3[[#This Row],[Spain daily cases fit]]-CIf,0)</f>
        <v>1291.8119052144116</v>
      </c>
      <c r="L86" s="4">
        <f>Tabella8[[#This Row],[Lombardy]]</f>
        <v>0</v>
      </c>
      <c r="M86" s="90">
        <f>(Tabella3[[#This Row],[Lombardy cumul. Data]]-L85)</f>
        <v>0</v>
      </c>
      <c r="N86" s="90">
        <f>Tabella3[[#This Row],[Lombardy data]]*NOT(ISBLANK(Tabella3[[#This Row],[Lombardy data]]))</f>
        <v>0</v>
      </c>
      <c r="O86" s="95">
        <f>Tabella8[[#This Row],[Lombardy fit]]</f>
        <v>19991.897040773845</v>
      </c>
      <c r="P86" s="90">
        <f>Tabella3[[#This Row],[Lombardy cumul. Fit]]/Kl</f>
        <v>0.22979192000889478</v>
      </c>
      <c r="Q86" s="90">
        <f>IFERROR(Kl*_xlfn.LOGNORM.DIST((Tabella3[[#This Row],[Day]]-pl),mu_l,sigma_l,FALSE),0)</f>
        <v>1623.3769301389393</v>
      </c>
      <c r="R86" s="90">
        <f>Tabella3[[#This Row],[Lombardy fit]]/y_l_peak</f>
        <v>0.92344651462497263</v>
      </c>
      <c r="S86" s="90">
        <f>Tabella3[[#This Row],[Lombardy fit]]*NOT(ISBLANK(Tabella3[[#This Row],[Lombardy data]]))</f>
        <v>1623.3769301389393</v>
      </c>
      <c r="T86" s="90">
        <f>Tabella3[[#This Row],[Lombardy fit]]+CIl</f>
        <v>4193.7592530553484</v>
      </c>
      <c r="U86" s="90">
        <f>MAX(Tabella3[[#This Row],[Lombardy fit]]-CIl,0)</f>
        <v>0</v>
      </c>
      <c r="V86" s="10">
        <f>Tabella8[[#This Row],[rest of Italy ]]</f>
        <v>17963</v>
      </c>
      <c r="W86" s="10">
        <f>(Tabella3[[#This Row],[rest of Italy cum. Data]]-V85)</f>
        <v>4053</v>
      </c>
      <c r="X86" s="90">
        <f>Tabella3[[#This Row],[rest of Italy data]]*NOT(ISBLANK(Tabella3[[#This Row],[rest of Italy data]]))</f>
        <v>4053</v>
      </c>
      <c r="Y86" s="95">
        <f>Tabella8[[#This Row],[rest of Italy fit]]</f>
        <v>22906.450250895345</v>
      </c>
      <c r="Z86" s="90">
        <f>Tabella3[[#This Row],[rest of Italy cumul. Fit]]/Ka</f>
        <v>0.15477333052344602</v>
      </c>
      <c r="AA86" s="90">
        <f>IFERROR(Ka*_xlfn.LOGNORM.DIST((Tabella3[[#This Row],[Day]]-pa),mu_a,sigma_a,FALSE),0)</f>
        <v>2654.692103379326</v>
      </c>
      <c r="AB86" s="90">
        <f>Tabella3[[#This Row],[rest of Italy fit]]/y_a_peak</f>
        <v>0.78560963687453489</v>
      </c>
      <c r="AC86" s="90">
        <f>Tabella3[[#This Row],[rest of Italy fit]]*NOT(ISBLANK(Tabella3[[#This Row],[rest of Italy data]]))</f>
        <v>2654.692103379326</v>
      </c>
      <c r="AD86" s="90">
        <f>Tabella3[[#This Row],[rest of Italy fit]]+CIa</f>
        <v>7993.5315385393433</v>
      </c>
      <c r="AE86" s="90">
        <f>MAX(Tabella3[[#This Row],[rest of Italy fit]]-CIa,0)</f>
        <v>0</v>
      </c>
      <c r="AG86"/>
      <c r="AH86"/>
    </row>
    <row r="87" spans="2:34" x14ac:dyDescent="0.3">
      <c r="B87" s="9">
        <v>43910</v>
      </c>
      <c r="C87" s="4">
        <v>80</v>
      </c>
      <c r="D87" s="10">
        <f>Tabella8[[#This Row],[Spain cum. Cases]]</f>
        <v>20410</v>
      </c>
      <c r="E87" s="90">
        <f>(Tabella3[[#This Row],[Spain cumul. Cases]]-D86)</f>
        <v>2447</v>
      </c>
      <c r="F87" s="90">
        <f>Tabella3[[#This Row],[Spain daily cases]]*NOT(ISBLANK(Tabella3[[#This Row],[Spain daily cases]]))</f>
        <v>2447</v>
      </c>
      <c r="G87" s="90">
        <f>IFERROR(Kf*_xlfn.LOGNORM.DIST((Tabella3[[#This Row],[Day]]-pf),mu_f,sigma_f,FALSE),0)</f>
        <v>3966.6609585455972</v>
      </c>
      <c r="H87" s="90">
        <f>Tabella3[[#This Row],[Spain daily cases fit]]/y_f_peak</f>
        <v>0.5942860758061681</v>
      </c>
      <c r="I87" s="90">
        <f>Tabella3[[#This Row],[Spain daily cases fit]]*NOT(ISBLANK(Tabella3[[#This Row],[Spain daily cases]]))</f>
        <v>3966.6609585455972</v>
      </c>
      <c r="J87" s="90">
        <f>Tabella3[[#This Row],[Spain daily cases fit]]+CIf</f>
        <v>6309.3493762266899</v>
      </c>
      <c r="K87" s="90">
        <f>MAX(Tabella3[[#This Row],[Spain daily cases fit]]-CIf,0)</f>
        <v>1623.9725408645045</v>
      </c>
      <c r="L87" s="4">
        <f>Tabella8[[#This Row],[Lombardy]]</f>
        <v>0</v>
      </c>
      <c r="M87" s="90">
        <f>(Tabella3[[#This Row],[Lombardy cumul. Data]]-L86)</f>
        <v>0</v>
      </c>
      <c r="N87" s="90">
        <f>Tabella3[[#This Row],[Lombardy data]]*NOT(ISBLANK(Tabella3[[#This Row],[Lombardy data]]))</f>
        <v>0</v>
      </c>
      <c r="O87" s="95">
        <f>Tabella8[[#This Row],[Lombardy fit]]</f>
        <v>21634.190021491242</v>
      </c>
      <c r="P87" s="90">
        <f>Tabella3[[#This Row],[Lombardy cumul. Fit]]/Kl</f>
        <v>0.24866885082173842</v>
      </c>
      <c r="Q87" s="90">
        <f>IFERROR(Kl*_xlfn.LOGNORM.DIST((Tabella3[[#This Row],[Day]]-pl),mu_l,sigma_l,FALSE),0)</f>
        <v>1660.2063260677619</v>
      </c>
      <c r="R87" s="90">
        <f>Tabella3[[#This Row],[Lombardy fit]]/y_l_peak</f>
        <v>0.94439665668674477</v>
      </c>
      <c r="S87" s="90">
        <f>Tabella3[[#This Row],[Lombardy fit]]*NOT(ISBLANK(Tabella3[[#This Row],[Lombardy data]]))</f>
        <v>1660.2063260677619</v>
      </c>
      <c r="T87" s="90">
        <f>Tabella3[[#This Row],[Lombardy fit]]+CIl</f>
        <v>4230.5886489841705</v>
      </c>
      <c r="U87" s="90">
        <f>MAX(Tabella3[[#This Row],[Lombardy fit]]-CIl,0)</f>
        <v>0</v>
      </c>
      <c r="V87" s="10">
        <f>Tabella8[[#This Row],[rest of Italy ]]</f>
        <v>20410</v>
      </c>
      <c r="W87" s="10">
        <f>(Tabella3[[#This Row],[rest of Italy cum. Data]]-V86)</f>
        <v>2447</v>
      </c>
      <c r="X87" s="90">
        <f>Tabella3[[#This Row],[rest of Italy data]]*NOT(ISBLANK(Tabella3[[#This Row],[rest of Italy data]]))</f>
        <v>2447</v>
      </c>
      <c r="Y87" s="95">
        <f>Tabella8[[#This Row],[rest of Italy fit]]</f>
        <v>25628.708969359228</v>
      </c>
      <c r="Z87" s="90">
        <f>Tabella3[[#This Row],[rest of Italy cumul. Fit]]/Ka</f>
        <v>0.17316697265429842</v>
      </c>
      <c r="AA87" s="90">
        <f>IFERROR(Ka*_xlfn.LOGNORM.DIST((Tabella3[[#This Row],[Day]]-pa),mu_a,sigma_a,FALSE),0)</f>
        <v>2787.8663782449853</v>
      </c>
      <c r="AB87" s="90">
        <f>Tabella3[[#This Row],[rest of Italy fit]]/y_a_peak</f>
        <v>0.82502023126514579</v>
      </c>
      <c r="AC87" s="90">
        <f>Tabella3[[#This Row],[rest of Italy fit]]*NOT(ISBLANK(Tabella3[[#This Row],[rest of Italy data]]))</f>
        <v>2787.8663782449853</v>
      </c>
      <c r="AD87" s="90">
        <f>Tabella3[[#This Row],[rest of Italy fit]]+CIa</f>
        <v>8126.7058134050021</v>
      </c>
      <c r="AE87" s="90">
        <f>MAX(Tabella3[[#This Row],[rest of Italy fit]]-CIa,0)</f>
        <v>0</v>
      </c>
      <c r="AG87"/>
      <c r="AH87"/>
    </row>
    <row r="88" spans="2:34" x14ac:dyDescent="0.3">
      <c r="B88" s="9">
        <v>43911</v>
      </c>
      <c r="C88" s="4">
        <v>81</v>
      </c>
      <c r="D88" s="10">
        <f>Tabella8[[#This Row],[Spain cum. Cases]]</f>
        <v>25374</v>
      </c>
      <c r="E88" s="90">
        <f>(Tabella3[[#This Row],[Spain cumul. Cases]]-D87)</f>
        <v>4964</v>
      </c>
      <c r="F88" s="90">
        <f>Tabella3[[#This Row],[Spain daily cases]]*NOT(ISBLANK(Tabella3[[#This Row],[Spain daily cases]]))</f>
        <v>4964</v>
      </c>
      <c r="G88" s="90">
        <f>IFERROR(Kf*_xlfn.LOGNORM.DIST((Tabella3[[#This Row],[Day]]-pf),mu_f,sigma_f,FALSE),0)</f>
        <v>4292.6889818532982</v>
      </c>
      <c r="H88" s="90">
        <f>Tabella3[[#This Row],[Spain daily cases fit]]/y_f_peak</f>
        <v>0.64313167077867539</v>
      </c>
      <c r="I88" s="90">
        <f>Tabella3[[#This Row],[Spain daily cases fit]]*NOT(ISBLANK(Tabella3[[#This Row],[Spain daily cases]]))</f>
        <v>4292.6889818532982</v>
      </c>
      <c r="J88" s="90">
        <f>Tabella3[[#This Row],[Spain daily cases fit]]+CIf</f>
        <v>6635.3773995343909</v>
      </c>
      <c r="K88" s="90">
        <f>MAX(Tabella3[[#This Row],[Spain daily cases fit]]-CIf,0)</f>
        <v>1950.0005641722055</v>
      </c>
      <c r="L88" s="4">
        <f>Tabella8[[#This Row],[Lombardy]]</f>
        <v>0</v>
      </c>
      <c r="M88" s="90">
        <f>(Tabella3[[#This Row],[Lombardy cumul. Data]]-L87)</f>
        <v>0</v>
      </c>
      <c r="N88" s="90">
        <f>Tabella3[[#This Row],[Lombardy data]]*NOT(ISBLANK(Tabella3[[#This Row],[Lombardy data]]))</f>
        <v>0</v>
      </c>
      <c r="O88" s="95">
        <f>Tabella8[[#This Row],[Lombardy fit]]</f>
        <v>23310.302349365797</v>
      </c>
      <c r="P88" s="90">
        <f>Tabella3[[#This Row],[Lombardy cumul. Fit]]/Kl</f>
        <v>0.26793450976282523</v>
      </c>
      <c r="Q88" s="90">
        <f>IFERROR(Kl*_xlfn.LOGNORM.DIST((Tabella3[[#This Row],[Day]]-pl),mu_l,sigma_l,FALSE),0)</f>
        <v>1691.0159552256368</v>
      </c>
      <c r="R88" s="90">
        <f>Tabella3[[#This Row],[Lombardy fit]]/y_l_peak</f>
        <v>0.96192249688720433</v>
      </c>
      <c r="S88" s="90">
        <f>Tabella3[[#This Row],[Lombardy fit]]*NOT(ISBLANK(Tabella3[[#This Row],[Lombardy data]]))</f>
        <v>1691.0159552256368</v>
      </c>
      <c r="T88" s="90">
        <f>Tabella3[[#This Row],[Lombardy fit]]+CIl</f>
        <v>4261.3982781420455</v>
      </c>
      <c r="U88" s="90">
        <f>MAX(Tabella3[[#This Row],[Lombardy fit]]-CIl,0)</f>
        <v>0</v>
      </c>
      <c r="V88" s="10">
        <f>Tabella8[[#This Row],[rest of Italy ]]</f>
        <v>25374</v>
      </c>
      <c r="W88" s="10">
        <f>(Tabella3[[#This Row],[rest of Italy cum. Data]]-V87)</f>
        <v>4964</v>
      </c>
      <c r="X88" s="90">
        <f>Tabella3[[#This Row],[rest of Italy data]]*NOT(ISBLANK(Tabella3[[#This Row],[rest of Italy data]]))</f>
        <v>4964</v>
      </c>
      <c r="Y88" s="95">
        <f>Tabella8[[#This Row],[rest of Italy fit]]</f>
        <v>28478.089944348303</v>
      </c>
      <c r="Z88" s="90">
        <f>Tabella3[[#This Row],[rest of Italy cumul. Fit]]/Ka</f>
        <v>0.1924195490508514</v>
      </c>
      <c r="AA88" s="90">
        <f>IFERROR(Ka*_xlfn.LOGNORM.DIST((Tabella3[[#This Row],[Day]]-pa),mu_a,sigma_a,FALSE),0)</f>
        <v>2908.7700141799401</v>
      </c>
      <c r="AB88" s="90">
        <f>Tabella3[[#This Row],[rest of Italy fit]]/y_a_peak</f>
        <v>0.8607995449575927</v>
      </c>
      <c r="AC88" s="90">
        <f>Tabella3[[#This Row],[rest of Italy fit]]*NOT(ISBLANK(Tabella3[[#This Row],[rest of Italy data]]))</f>
        <v>2908.7700141799401</v>
      </c>
      <c r="AD88" s="90">
        <f>Tabella3[[#This Row],[rest of Italy fit]]+CIa</f>
        <v>8247.6094493399578</v>
      </c>
      <c r="AE88" s="90">
        <f>MAX(Tabella3[[#This Row],[rest of Italy fit]]-CIa,0)</f>
        <v>0</v>
      </c>
      <c r="AG88"/>
      <c r="AH88"/>
    </row>
    <row r="89" spans="2:34" x14ac:dyDescent="0.3">
      <c r="B89" s="9">
        <v>43912</v>
      </c>
      <c r="C89" s="4">
        <v>82</v>
      </c>
      <c r="D89" s="10">
        <f>Tabella8[[#This Row],[Spain cum. Cases]]</f>
        <v>28768</v>
      </c>
      <c r="E89" s="90">
        <f>(Tabella3[[#This Row],[Spain cumul. Cases]]-D88)</f>
        <v>3394</v>
      </c>
      <c r="F89" s="90">
        <f>Tabella3[[#This Row],[Spain daily cases]]*NOT(ISBLANK(Tabella3[[#This Row],[Spain daily cases]]))</f>
        <v>3394</v>
      </c>
      <c r="G89" s="90">
        <f>IFERROR(Kf*_xlfn.LOGNORM.DIST((Tabella3[[#This Row],[Day]]-pf),mu_f,sigma_f,FALSE),0)</f>
        <v>4608.6474712069685</v>
      </c>
      <c r="H89" s="90">
        <f>Tabella3[[#This Row],[Spain daily cases fit]]/y_f_peak</f>
        <v>0.69046864581081535</v>
      </c>
      <c r="I89" s="90">
        <f>Tabella3[[#This Row],[Spain daily cases fit]]*NOT(ISBLANK(Tabella3[[#This Row],[Spain daily cases]]))</f>
        <v>4608.6474712069685</v>
      </c>
      <c r="J89" s="90">
        <f>Tabella3[[#This Row],[Spain daily cases fit]]+CIf</f>
        <v>6951.3358888880612</v>
      </c>
      <c r="K89" s="90">
        <f>MAX(Tabella3[[#This Row],[Spain daily cases fit]]-CIf,0)</f>
        <v>2265.9590535258758</v>
      </c>
      <c r="L89" s="4">
        <f>Tabella8[[#This Row],[Lombardy]]</f>
        <v>0</v>
      </c>
      <c r="M89" s="90">
        <f>(Tabella3[[#This Row],[Lombardy cumul. Data]]-L88)</f>
        <v>0</v>
      </c>
      <c r="N89" s="90">
        <f>Tabella3[[#This Row],[Lombardy data]]*NOT(ISBLANK(Tabella3[[#This Row],[Lombardy data]]))</f>
        <v>0</v>
      </c>
      <c r="O89" s="95">
        <f>Tabella8[[#This Row],[Lombardy fit]]</f>
        <v>25014.226213352795</v>
      </c>
      <c r="P89" s="90">
        <f>Tabella3[[#This Row],[Lombardy cumul. Fit]]/Kl</f>
        <v>0.28751984153279075</v>
      </c>
      <c r="Q89" s="90">
        <f>IFERROR(Kl*_xlfn.LOGNORM.DIST((Tabella3[[#This Row],[Day]]-pl),mu_l,sigma_l,FALSE),0)</f>
        <v>1715.840452770231</v>
      </c>
      <c r="R89" s="90">
        <f>Tabella3[[#This Row],[Lombardy fit]]/y_l_peak</f>
        <v>0.97604373719145676</v>
      </c>
      <c r="S89" s="90">
        <f>Tabella3[[#This Row],[Lombardy fit]]*NOT(ISBLANK(Tabella3[[#This Row],[Lombardy data]]))</f>
        <v>1715.840452770231</v>
      </c>
      <c r="T89" s="90">
        <f>Tabella3[[#This Row],[Lombardy fit]]+CIl</f>
        <v>4286.2227756866396</v>
      </c>
      <c r="U89" s="90">
        <f>MAX(Tabella3[[#This Row],[Lombardy fit]]-CIl,0)</f>
        <v>0</v>
      </c>
      <c r="V89" s="10">
        <f>Tabella8[[#This Row],[rest of Italy ]]</f>
        <v>28768</v>
      </c>
      <c r="W89" s="10">
        <f>(Tabella3[[#This Row],[rest of Italy cum. Data]]-V88)</f>
        <v>3394</v>
      </c>
      <c r="X89" s="90">
        <f>Tabella3[[#This Row],[rest of Italy data]]*NOT(ISBLANK(Tabella3[[#This Row],[rest of Italy data]]))</f>
        <v>3394</v>
      </c>
      <c r="Y89" s="95">
        <f>Tabella8[[#This Row],[rest of Italy fit]]</f>
        <v>31441.865272423573</v>
      </c>
      <c r="Z89" s="90">
        <f>Tabella3[[#This Row],[rest of Italy cumul. Fit]]/Ka</f>
        <v>0.21244506035553287</v>
      </c>
      <c r="AA89" s="90">
        <f>IFERROR(Ka*_xlfn.LOGNORM.DIST((Tabella3[[#This Row],[Day]]-pa),mu_a,sigma_a,FALSE),0)</f>
        <v>3016.5308387721075</v>
      </c>
      <c r="AB89" s="90">
        <f>Tabella3[[#This Row],[rest of Italy fit]]/y_a_peak</f>
        <v>0.8926894738007104</v>
      </c>
      <c r="AC89" s="90">
        <f>Tabella3[[#This Row],[rest of Italy fit]]*NOT(ISBLANK(Tabella3[[#This Row],[rest of Italy data]]))</f>
        <v>3016.5308387721075</v>
      </c>
      <c r="AD89" s="90">
        <f>Tabella3[[#This Row],[rest of Italy fit]]+CIa</f>
        <v>8355.3702739321252</v>
      </c>
      <c r="AE89" s="90">
        <f>MAX(Tabella3[[#This Row],[rest of Italy fit]]-CIa,0)</f>
        <v>0</v>
      </c>
      <c r="AG89"/>
      <c r="AH89"/>
    </row>
    <row r="90" spans="2:34" x14ac:dyDescent="0.3">
      <c r="B90" s="15">
        <v>43913</v>
      </c>
      <c r="C90" s="4">
        <v>83</v>
      </c>
      <c r="D90" s="10">
        <f>Tabella8[[#This Row],[Spain cum. Cases]]</f>
        <v>35136</v>
      </c>
      <c r="E90" s="90">
        <f>(Tabella3[[#This Row],[Spain cumul. Cases]]-D89)</f>
        <v>6368</v>
      </c>
      <c r="F90" s="90">
        <f>Tabella3[[#This Row],[Spain daily cases]]*NOT(ISBLANK(Tabella3[[#This Row],[Spain daily cases]]))</f>
        <v>6368</v>
      </c>
      <c r="G90" s="90">
        <f>IFERROR(Kf*_xlfn.LOGNORM.DIST((Tabella3[[#This Row],[Day]]-pf),mu_f,sigma_f,FALSE),0)</f>
        <v>4910.8551995771786</v>
      </c>
      <c r="H90" s="90">
        <f>Tabella3[[#This Row],[Spain daily cases fit]]/y_f_peak</f>
        <v>0.73574547860503514</v>
      </c>
      <c r="I90" s="90">
        <f>Tabella3[[#This Row],[Spain daily cases fit]]*NOT(ISBLANK(Tabella3[[#This Row],[Spain daily cases]]))</f>
        <v>4910.8551995771786</v>
      </c>
      <c r="J90" s="90">
        <f>Tabella3[[#This Row],[Spain daily cases fit]]+CIf</f>
        <v>7253.5436172582713</v>
      </c>
      <c r="K90" s="90">
        <f>MAX(Tabella3[[#This Row],[Spain daily cases fit]]-CIf,0)</f>
        <v>2568.1667818960859</v>
      </c>
      <c r="L90" s="4">
        <f>Tabella8[[#This Row],[Lombardy]]</f>
        <v>0</v>
      </c>
      <c r="M90" s="90">
        <f>(Tabella3[[#This Row],[Lombardy cumul. Data]]-L89)</f>
        <v>0</v>
      </c>
      <c r="N90" s="90">
        <f>Tabella3[[#This Row],[Lombardy data]]*NOT(ISBLANK(Tabella3[[#This Row],[Lombardy data]]))</f>
        <v>0</v>
      </c>
      <c r="O90" s="95">
        <f>Tabella8[[#This Row],[Lombardy fit]]</f>
        <v>26740.019396335363</v>
      </c>
      <c r="P90" s="90">
        <f>Tabella3[[#This Row],[Lombardy cumul. Fit]]/Kl</f>
        <v>0.30735654478546393</v>
      </c>
      <c r="Q90" s="90">
        <f>IFERROR(Kl*_xlfn.LOGNORM.DIST((Tabella3[[#This Row],[Day]]-pl),mu_l,sigma_l,FALSE),0)</f>
        <v>1734.7751514208735</v>
      </c>
      <c r="R90" s="90">
        <f>Tabella3[[#This Row],[Lombardy fit]]/y_l_peak</f>
        <v>0.98681460694436962</v>
      </c>
      <c r="S90" s="90">
        <f>Tabella3[[#This Row],[Lombardy fit]]*NOT(ISBLANK(Tabella3[[#This Row],[Lombardy data]]))</f>
        <v>1734.7751514208735</v>
      </c>
      <c r="T90" s="90">
        <f>Tabella3[[#This Row],[Lombardy fit]]+CIl</f>
        <v>4305.1574743372821</v>
      </c>
      <c r="U90" s="90">
        <f>MAX(Tabella3[[#This Row],[Lombardy fit]]-CIl,0)</f>
        <v>0</v>
      </c>
      <c r="V90" s="10">
        <f>Tabella8[[#This Row],[rest of Italy ]]</f>
        <v>35136</v>
      </c>
      <c r="W90" s="10">
        <f>(Tabella3[[#This Row],[rest of Italy cum. Data]]-V89)</f>
        <v>6368</v>
      </c>
      <c r="X90" s="90">
        <f>Tabella3[[#This Row],[rest of Italy data]]*NOT(ISBLANK(Tabella3[[#This Row],[rest of Italy data]]))</f>
        <v>6368</v>
      </c>
      <c r="Y90" s="95">
        <f>Tabella8[[#This Row],[rest of Italy fit]]</f>
        <v>34506.560712151368</v>
      </c>
      <c r="Z90" s="90">
        <f>Tabella3[[#This Row],[rest of Italy cumul. Fit]]/Ka</f>
        <v>0.23315246438589535</v>
      </c>
      <c r="AA90" s="90">
        <f>IFERROR(Ka*_xlfn.LOGNORM.DIST((Tabella3[[#This Row],[Day]]-pa),mu_a,sigma_a,FALSE),0)</f>
        <v>3110.5269174635955</v>
      </c>
      <c r="AB90" s="90">
        <f>Tabella3[[#This Row],[rest of Italy fit]]/y_a_peak</f>
        <v>0.92050596715391286</v>
      </c>
      <c r="AC90" s="90">
        <f>Tabella3[[#This Row],[rest of Italy fit]]*NOT(ISBLANK(Tabella3[[#This Row],[rest of Italy data]]))</f>
        <v>3110.5269174635955</v>
      </c>
      <c r="AD90" s="90">
        <f>Tabella3[[#This Row],[rest of Italy fit]]+CIa</f>
        <v>8449.3663526236123</v>
      </c>
      <c r="AE90" s="90">
        <f>MAX(Tabella3[[#This Row],[rest of Italy fit]]-CIa,0)</f>
        <v>0</v>
      </c>
      <c r="AG90"/>
      <c r="AH90"/>
    </row>
    <row r="91" spans="2:34" x14ac:dyDescent="0.3">
      <c r="B91" s="9">
        <v>43914</v>
      </c>
      <c r="C91" s="4">
        <v>84</v>
      </c>
      <c r="D91" s="10">
        <f>Tabella8[[#This Row],[Spain cum. Cases]]</f>
        <v>39885</v>
      </c>
      <c r="E91" s="90">
        <f>(Tabella3[[#This Row],[Spain cumul. Cases]]-D90)</f>
        <v>4749</v>
      </c>
      <c r="F91" s="90">
        <f>Tabella3[[#This Row],[Spain daily cases]]*NOT(ISBLANK(Tabella3[[#This Row],[Spain daily cases]]))</f>
        <v>4749</v>
      </c>
      <c r="G91" s="90">
        <f>IFERROR(Kf*_xlfn.LOGNORM.DIST((Tabella3[[#This Row],[Day]]-pf),mu_f,sigma_f,FALSE),0)</f>
        <v>5195.9592570829636</v>
      </c>
      <c r="H91" s="90">
        <f>Tabella3[[#This Row],[Spain daily cases fit]]/y_f_peak</f>
        <v>0.77845983541602237</v>
      </c>
      <c r="I91" s="90">
        <f>Tabella3[[#This Row],[Spain daily cases fit]]*NOT(ISBLANK(Tabella3[[#This Row],[Spain daily cases]]))</f>
        <v>5195.9592570829636</v>
      </c>
      <c r="J91" s="90">
        <f>Tabella3[[#This Row],[Spain daily cases fit]]+CIf</f>
        <v>7538.6476747640563</v>
      </c>
      <c r="K91" s="90">
        <f>MAX(Tabella3[[#This Row],[Spain daily cases fit]]-CIf,0)</f>
        <v>2853.2708394018709</v>
      </c>
      <c r="L91" s="4">
        <f>Tabella8[[#This Row],[Lombardy]]</f>
        <v>0</v>
      </c>
      <c r="M91" s="90">
        <f>(Tabella3[[#This Row],[Lombardy cumul. Data]]-L90)</f>
        <v>0</v>
      </c>
      <c r="N91" s="90">
        <f>Tabella3[[#This Row],[Lombardy data]]*NOT(ISBLANK(Tabella3[[#This Row],[Lombardy data]]))</f>
        <v>0</v>
      </c>
      <c r="O91" s="95">
        <f>Tabella8[[#This Row],[Lombardy fit]]</f>
        <v>28481.862285154002</v>
      </c>
      <c r="P91" s="90">
        <f>Tabella3[[#This Row],[Lombardy cumul. Fit]]/Kl</f>
        <v>0.32737772741556326</v>
      </c>
      <c r="Q91" s="90">
        <f>IFERROR(Kl*_xlfn.LOGNORM.DIST((Tabella3[[#This Row],[Day]]-pl),mu_l,sigma_l,FALSE),0)</f>
        <v>1747.968685586088</v>
      </c>
      <c r="R91" s="90">
        <f>Tabella3[[#This Row],[Lombardy fit]]/y_l_peak</f>
        <v>0.99431965578069259</v>
      </c>
      <c r="S91" s="90">
        <f>Tabella3[[#This Row],[Lombardy fit]]*NOT(ISBLANK(Tabella3[[#This Row],[Lombardy data]]))</f>
        <v>1747.968685586088</v>
      </c>
      <c r="T91" s="90">
        <f>Tabella3[[#This Row],[Lombardy fit]]+CIl</f>
        <v>4318.3510085024964</v>
      </c>
      <c r="U91" s="90">
        <f>MAX(Tabella3[[#This Row],[Lombardy fit]]-CIl,0)</f>
        <v>0</v>
      </c>
      <c r="V91" s="10">
        <f>Tabella8[[#This Row],[rest of Italy ]]</f>
        <v>39885</v>
      </c>
      <c r="W91" s="10">
        <f>(Tabella3[[#This Row],[rest of Italy cum. Data]]-V90)</f>
        <v>4749</v>
      </c>
      <c r="X91" s="90">
        <f>Tabella3[[#This Row],[rest of Italy data]]*NOT(ISBLANK(Tabella3[[#This Row],[rest of Italy data]]))</f>
        <v>4749</v>
      </c>
      <c r="Y91" s="95">
        <f>Tabella8[[#This Row],[rest of Italy fit]]</f>
        <v>37658.20071523654</v>
      </c>
      <c r="Z91" s="90">
        <f>Tabella3[[#This Row],[rest of Italy cumul. Fit]]/Ka</f>
        <v>0.25444733175057355</v>
      </c>
      <c r="AA91" s="90">
        <f>IFERROR(Ka*_xlfn.LOGNORM.DIST((Tabella3[[#This Row],[Day]]-pa),mu_a,sigma_a,FALSE),0)</f>
        <v>3190.3752687921292</v>
      </c>
      <c r="AB91" s="90">
        <f>Tabella3[[#This Row],[rest of Italy fit]]/y_a_peak</f>
        <v>0.94413568836052175</v>
      </c>
      <c r="AC91" s="90">
        <f>Tabella3[[#This Row],[rest of Italy fit]]*NOT(ISBLANK(Tabella3[[#This Row],[rest of Italy data]]))</f>
        <v>3190.3752687921292</v>
      </c>
      <c r="AD91" s="90">
        <f>Tabella3[[#This Row],[rest of Italy fit]]+CIa</f>
        <v>8529.214703952146</v>
      </c>
      <c r="AE91" s="90">
        <f>MAX(Tabella3[[#This Row],[rest of Italy fit]]-CIa,0)</f>
        <v>0</v>
      </c>
      <c r="AG91"/>
      <c r="AH91"/>
    </row>
    <row r="92" spans="2:34" x14ac:dyDescent="0.3">
      <c r="B92" s="9">
        <v>43915</v>
      </c>
      <c r="C92" s="4">
        <v>85</v>
      </c>
      <c r="D92" s="323">
        <f>Tabella8[[#This Row],[Spain cum. Cases]]</f>
        <v>49515</v>
      </c>
      <c r="E92" s="311">
        <f>(Tabella3[[#This Row],[Spain cumul. Cases]]-D91)</f>
        <v>9630</v>
      </c>
      <c r="F92" s="90">
        <f>Tabella3[[#This Row],[Spain daily cases]]*NOT(ISBLANK(Tabella3[[#This Row],[Spain daily cases]]))</f>
        <v>9630</v>
      </c>
      <c r="G92" s="90">
        <f>IFERROR(Kf*_xlfn.LOGNORM.DIST((Tabella3[[#This Row],[Day]]-pf),mu_f,sigma_f,FALSE),0)</f>
        <v>5460.9919531422902</v>
      </c>
      <c r="H92" s="90">
        <f>Tabella3[[#This Row],[Spain daily cases fit]]/y_f_peak</f>
        <v>0.81816709614424366</v>
      </c>
      <c r="I92" s="90">
        <f>Tabella3[[#This Row],[Spain daily cases fit]]*NOT(ISBLANK(Tabella3[[#This Row],[Spain daily cases]]))</f>
        <v>5460.9919531422902</v>
      </c>
      <c r="J92" s="90">
        <f>Tabella3[[#This Row],[Spain daily cases fit]]+CIf</f>
        <v>7803.6803708233829</v>
      </c>
      <c r="K92" s="90">
        <f>MAX(Tabella3[[#This Row],[Spain daily cases fit]]-CIf,0)</f>
        <v>3118.3035354611975</v>
      </c>
      <c r="L92" s="4">
        <f>Tabella8[[#This Row],[Lombardy]]</f>
        <v>0</v>
      </c>
      <c r="M92" s="90">
        <f>(Tabella3[[#This Row],[Lombardy cumul. Data]]-L91)</f>
        <v>0</v>
      </c>
      <c r="N92" s="90">
        <f>Tabella3[[#This Row],[Lombardy data]]*NOT(ISBLANK(Tabella3[[#This Row],[Lombardy data]]))</f>
        <v>0</v>
      </c>
      <c r="O92" s="95">
        <f>Tabella8[[#This Row],[Lombardy fit]]</f>
        <v>30234.107454482848</v>
      </c>
      <c r="P92" s="90">
        <f>Tabella3[[#This Row],[Lombardy cumul. Fit]]/Kl</f>
        <v>0.34751847648830858</v>
      </c>
      <c r="Q92" s="90">
        <f>IFERROR(Kl*_xlfn.LOGNORM.DIST((Tabella3[[#This Row],[Day]]-pl),mu_l,sigma_l,FALSE),0)</f>
        <v>1755.6155658875773</v>
      </c>
      <c r="R92" s="90">
        <f>Tabella3[[#This Row],[Lombardy fit]]/y_l_peak</f>
        <v>0.99866952969540956</v>
      </c>
      <c r="S92" s="90">
        <f>Tabella3[[#This Row],[Lombardy fit]]*NOT(ISBLANK(Tabella3[[#This Row],[Lombardy data]]))</f>
        <v>1755.6155658875773</v>
      </c>
      <c r="T92" s="90">
        <f>Tabella3[[#This Row],[Lombardy fit]]+CIl</f>
        <v>4325.9978888039859</v>
      </c>
      <c r="U92" s="90">
        <f>MAX(Tabella3[[#This Row],[Lombardy fit]]-CIl,0)</f>
        <v>0</v>
      </c>
      <c r="V92" s="10">
        <f>Tabella8[[#This Row],[rest of Italy ]]</f>
        <v>49515</v>
      </c>
      <c r="W92" s="10">
        <f>(Tabella3[[#This Row],[rest of Italy cum. Data]]-V91)</f>
        <v>9630</v>
      </c>
      <c r="X92" s="90">
        <f>Tabella3[[#This Row],[rest of Italy data]]*NOT(ISBLANK(Tabella3[[#This Row],[rest of Italy data]]))</f>
        <v>9630</v>
      </c>
      <c r="Y92" s="95">
        <f>Tabella8[[#This Row],[rest of Italy fit]]</f>
        <v>40882.539768465918</v>
      </c>
      <c r="Z92" s="90">
        <f>Tabella3[[#This Row],[rest of Italy cumul. Fit]]/Ka</f>
        <v>0.27623340897070586</v>
      </c>
      <c r="AA92" s="90">
        <f>IFERROR(Ka*_xlfn.LOGNORM.DIST((Tabella3[[#This Row],[Day]]-pa),mu_a,sigma_a,FALSE),0)</f>
        <v>3255.9159781051599</v>
      </c>
      <c r="AB92" s="90">
        <f>Tabella3[[#This Row],[rest of Italy fit]]/y_a_peak</f>
        <v>0.96353131347967036</v>
      </c>
      <c r="AC92" s="90">
        <f>Tabella3[[#This Row],[rest of Italy fit]]*NOT(ISBLANK(Tabella3[[#This Row],[rest of Italy data]]))</f>
        <v>3255.9159781051599</v>
      </c>
      <c r="AD92" s="90">
        <f>Tabella3[[#This Row],[rest of Italy fit]]+CIa</f>
        <v>8594.7554132651767</v>
      </c>
      <c r="AE92" s="90">
        <f>MAX(Tabella3[[#This Row],[rest of Italy fit]]-CIa,0)</f>
        <v>0</v>
      </c>
      <c r="AG92"/>
      <c r="AH92"/>
    </row>
    <row r="93" spans="2:34" x14ac:dyDescent="0.3">
      <c r="B93" s="179">
        <v>43916</v>
      </c>
      <c r="C93" s="180">
        <v>86</v>
      </c>
      <c r="D93" s="10">
        <f>Tabella8[[#This Row],[Spain cum. Cases]]</f>
        <v>57786</v>
      </c>
      <c r="E93" s="181">
        <f>(Tabella3[[#This Row],[Spain cumul. Cases]]-D92)</f>
        <v>8271</v>
      </c>
      <c r="F93" s="181">
        <f>Tabella3[[#This Row],[Spain daily cases]]*NOT(ISBLANK(Tabella3[[#This Row],[Spain daily cases]]))</f>
        <v>8271</v>
      </c>
      <c r="G93" s="90">
        <f>IFERROR(Kf*_xlfn.LOGNORM.DIST((Tabella3[[#This Row],[Day]]-pf),mu_f,sigma_f,FALSE),0)</f>
        <v>5703.4118123852231</v>
      </c>
      <c r="H93" s="181">
        <f>Tabella3[[#This Row],[Spain daily cases fit]]/y_f_peak</f>
        <v>0.85448649635327723</v>
      </c>
      <c r="I93" s="181">
        <f>Tabella3[[#This Row],[Spain daily cases fit]]*NOT(ISBLANK(Tabella3[[#This Row],[Spain daily cases]]))</f>
        <v>5703.4118123852231</v>
      </c>
      <c r="J93" s="181">
        <f>Tabella3[[#This Row],[Spain daily cases fit]]+CIf</f>
        <v>8046.1002300663158</v>
      </c>
      <c r="K93" s="181">
        <f>MAX(Tabella3[[#This Row],[Spain daily cases fit]]-CIf,0)</f>
        <v>3360.7233947041304</v>
      </c>
      <c r="L93" s="180">
        <f>Tabella8[[#This Row],[Lombardy]]</f>
        <v>0</v>
      </c>
      <c r="M93" s="181">
        <f>(Tabella3[[#This Row],[Lombardy cumul. Data]]-L92)</f>
        <v>0</v>
      </c>
      <c r="N93" s="181">
        <f>Tabella3[[#This Row],[Lombardy data]]*NOT(ISBLANK(Tabella3[[#This Row],[Lombardy data]]))</f>
        <v>0</v>
      </c>
      <c r="O93" s="182">
        <f>Tabella8[[#This Row],[Lombardy fit]]</f>
        <v>31991.321881984775</v>
      </c>
      <c r="P93" s="181">
        <f>Tabella3[[#This Row],[Lombardy cumul. Fit]]/Kl</f>
        <v>0.36771634347108939</v>
      </c>
      <c r="Q93" s="183">
        <f>IFERROR(Kl*_xlfn.LOGNORM.DIST((Tabella3[[#This Row],[Day]]-pl),mu_l,sigma_l,FALSE),0)</f>
        <v>1757.9488923792978</v>
      </c>
      <c r="R93" s="181">
        <f>Tabella3[[#This Row],[Lombardy fit]]/y_l_peak</f>
        <v>0.99999682600981332</v>
      </c>
      <c r="S93" s="181">
        <f>Tabella3[[#This Row],[Lombardy fit]]*NOT(ISBLANK(Tabella3[[#This Row],[Lombardy data]]))</f>
        <v>1757.9488923792978</v>
      </c>
      <c r="T93" s="181">
        <f>Tabella3[[#This Row],[Lombardy fit]]+CIl</f>
        <v>4328.331215295706</v>
      </c>
      <c r="U93" s="181">
        <f>MAX(Tabella3[[#This Row],[Lombardy fit]]-CIl,0)</f>
        <v>0</v>
      </c>
      <c r="V93" s="184">
        <f>Tabella8[[#This Row],[rest of Italy ]]</f>
        <v>57786</v>
      </c>
      <c r="W93" s="184">
        <f>(Tabella3[[#This Row],[rest of Italy cum. Data]]-V92)</f>
        <v>8271</v>
      </c>
      <c r="X93" s="181">
        <f>Tabella3[[#This Row],[rest of Italy data]]*NOT(ISBLANK(Tabella3[[#This Row],[rest of Italy data]]))</f>
        <v>8271</v>
      </c>
      <c r="Y93" s="182">
        <f>Tabella8[[#This Row],[rest of Italy fit]]</f>
        <v>44165.276053994246</v>
      </c>
      <c r="Z93" s="181">
        <f>Tabella3[[#This Row],[rest of Italy cumul. Fit]]/Ka</f>
        <v>0.29841406213068317</v>
      </c>
      <c r="AA93" s="181">
        <f>IFERROR(Ka*_xlfn.LOGNORM.DIST((Tabella3[[#This Row],[Day]]-pa),mu_a,sigma_a,FALSE),0)</f>
        <v>3307.192913674166</v>
      </c>
      <c r="AB93" s="181">
        <f>Tabella3[[#This Row],[rest of Italy fit]]/y_a_peak</f>
        <v>0.978705824558046</v>
      </c>
      <c r="AC93" s="181">
        <f>Tabella3[[#This Row],[rest of Italy fit]]*NOT(ISBLANK(Tabella3[[#This Row],[rest of Italy data]]))</f>
        <v>3307.192913674166</v>
      </c>
      <c r="AD93" s="181">
        <f>Tabella3[[#This Row],[rest of Italy fit]]+CIa</f>
        <v>8646.0323488341837</v>
      </c>
      <c r="AE93" s="181">
        <f>MAX(Tabella3[[#This Row],[rest of Italy fit]]-CIa,0)</f>
        <v>0</v>
      </c>
      <c r="AG93"/>
      <c r="AH93"/>
    </row>
    <row r="94" spans="2:34" x14ac:dyDescent="0.3">
      <c r="B94" s="9">
        <v>43917</v>
      </c>
      <c r="C94" s="4">
        <v>87</v>
      </c>
      <c r="D94" s="10">
        <f>Tabella8[[#This Row],[Spain cum. Cases]]</f>
        <v>65719</v>
      </c>
      <c r="E94" s="90">
        <f>(Tabella3[[#This Row],[Spain cumul. Cases]]-D93)</f>
        <v>7933</v>
      </c>
      <c r="F94" s="90">
        <f>Tabella3[[#This Row],[Spain daily cases]]*NOT(ISBLANK(Tabella3[[#This Row],[Spain daily cases]]))</f>
        <v>7933</v>
      </c>
      <c r="G94" s="90">
        <f>IFERROR(Kf*_xlfn.LOGNORM.DIST((Tabella3[[#This Row],[Day]]-pf),mu_f,sigma_f,FALSE),0)</f>
        <v>5921.1291506987436</v>
      </c>
      <c r="H94" s="90">
        <f>Tabella3[[#This Row],[Spain daily cases fit]]/y_f_peak</f>
        <v>0.88710495907885034</v>
      </c>
      <c r="I94" s="90">
        <f>Tabella3[[#This Row],[Spain daily cases fit]]*NOT(ISBLANK(Tabella3[[#This Row],[Spain daily cases]]))</f>
        <v>5921.1291506987436</v>
      </c>
      <c r="J94" s="90">
        <f>Tabella3[[#This Row],[Spain daily cases fit]]+CIf</f>
        <v>8263.8175683798363</v>
      </c>
      <c r="K94" s="90">
        <f>MAX(Tabella3[[#This Row],[Spain daily cases fit]]-CIf,0)</f>
        <v>3578.4407330176509</v>
      </c>
      <c r="L94" s="4">
        <f>Tabella8[[#This Row],[Lombardy]]</f>
        <v>0</v>
      </c>
      <c r="M94" s="90">
        <f>(Tabella3[[#This Row],[Lombardy cumul. Data]]-L93)</f>
        <v>0</v>
      </c>
      <c r="N94" s="90">
        <f>Tabella3[[#This Row],[Lombardy data]]*NOT(ISBLANK(Tabella3[[#This Row],[Lombardy data]]))</f>
        <v>0</v>
      </c>
      <c r="O94" s="95">
        <f>Tabella8[[#This Row],[Lombardy fit]]</f>
        <v>33748.322003527355</v>
      </c>
      <c r="P94" s="90">
        <f>Tabella3[[#This Row],[Lombardy cumul. Fit]]/Kl</f>
        <v>0.38791174716698107</v>
      </c>
      <c r="Q94" s="90">
        <f>IFERROR(Kl*_xlfn.LOGNORM.DIST((Tabella3[[#This Row],[Day]]-pl),mu_l,sigma_l,FALSE),0)</f>
        <v>1755.2333412571345</v>
      </c>
      <c r="R94" s="90">
        <f>Tabella3[[#This Row],[Lombardy fit]]/y_l_peak</f>
        <v>0.99845210391077921</v>
      </c>
      <c r="S94" s="90">
        <f>Tabella3[[#This Row],[Lombardy fit]]*NOT(ISBLANK(Tabella3[[#This Row],[Lombardy data]]))</f>
        <v>1755.2333412571345</v>
      </c>
      <c r="T94" s="90">
        <f>Tabella3[[#This Row],[Lombardy fit]]+CIl</f>
        <v>4325.6156641735433</v>
      </c>
      <c r="U94" s="90">
        <f>MAX(Tabella3[[#This Row],[Lombardy fit]]-CIl,0)</f>
        <v>0</v>
      </c>
      <c r="V94" s="10">
        <f>Tabella8[[#This Row],[rest of Italy ]]</f>
        <v>65719</v>
      </c>
      <c r="W94" s="10">
        <f>(Tabella3[[#This Row],[rest of Italy cum. Data]]-V93)</f>
        <v>7933</v>
      </c>
      <c r="X94" s="90">
        <f>Tabella3[[#This Row],[rest of Italy data]]*NOT(ISBLANK(Tabella3[[#This Row],[rest of Italy data]]))</f>
        <v>7933</v>
      </c>
      <c r="Y94" s="95">
        <f>Tabella8[[#This Row],[rest of Italy fit]]</f>
        <v>47492.244591342511</v>
      </c>
      <c r="Z94" s="90">
        <f>Tabella3[[#This Row],[rest of Italy cumul. Fit]]/Ka</f>
        <v>0.32089358189180295</v>
      </c>
      <c r="AA94" s="90">
        <f>IFERROR(Ka*_xlfn.LOGNORM.DIST((Tabella3[[#This Row],[Day]]-pa),mu_a,sigma_a,FALSE),0)</f>
        <v>3344.4321479038872</v>
      </c>
      <c r="AB94" s="90">
        <f>Tabella3[[#This Row],[rest of Italy fit]]/y_a_peak</f>
        <v>0.98972612376466806</v>
      </c>
      <c r="AC94" s="90">
        <f>Tabella3[[#This Row],[rest of Italy fit]]*NOT(ISBLANK(Tabella3[[#This Row],[rest of Italy data]]))</f>
        <v>3344.4321479038872</v>
      </c>
      <c r="AD94" s="90">
        <f>Tabella3[[#This Row],[rest of Italy fit]]+CIa</f>
        <v>8683.2715830639045</v>
      </c>
      <c r="AE94" s="90">
        <f>MAX(Tabella3[[#This Row],[rest of Italy fit]]-CIa,0)</f>
        <v>0</v>
      </c>
      <c r="AG94"/>
      <c r="AH94"/>
    </row>
    <row r="95" spans="2:34" x14ac:dyDescent="0.3">
      <c r="B95" s="9">
        <v>43918</v>
      </c>
      <c r="C95" s="4">
        <v>88</v>
      </c>
      <c r="D95" s="10">
        <f>Tabella8[[#This Row],[Spain cum. Cases]]</f>
        <v>73235</v>
      </c>
      <c r="E95" s="90">
        <f>(Tabella3[[#This Row],[Spain cumul. Cases]]-D94)</f>
        <v>7516</v>
      </c>
      <c r="F95" s="90">
        <f>Tabella3[[#This Row],[Spain daily cases]]*NOT(ISBLANK(Tabella3[[#This Row],[Spain daily cases]]))</f>
        <v>7516</v>
      </c>
      <c r="G95" s="90">
        <f>IFERROR(Kf*_xlfn.LOGNORM.DIST((Tabella3[[#This Row],[Day]]-pf),mu_f,sigma_f,FALSE),0)</f>
        <v>6112.5172531984645</v>
      </c>
      <c r="H95" s="90">
        <f>Tabella3[[#This Row],[Spain daily cases fit]]/y_f_peak</f>
        <v>0.91577876951518544</v>
      </c>
      <c r="I95" s="90">
        <f>Tabella3[[#This Row],[Spain daily cases fit]]*NOT(ISBLANK(Tabella3[[#This Row],[Spain daily cases]]))</f>
        <v>6112.5172531984645</v>
      </c>
      <c r="J95" s="90">
        <f>Tabella3[[#This Row],[Spain daily cases fit]]+CIf</f>
        <v>8455.2056708795571</v>
      </c>
      <c r="K95" s="90">
        <f>MAX(Tabella3[[#This Row],[Spain daily cases fit]]-CIf,0)</f>
        <v>3769.8288355173718</v>
      </c>
      <c r="L95" s="4">
        <f>Tabella8[[#This Row],[Lombardy]]</f>
        <v>0</v>
      </c>
      <c r="M95" s="90">
        <f>(Tabella3[[#This Row],[Lombardy cumul. Data]]-L94)</f>
        <v>0</v>
      </c>
      <c r="N95" s="90">
        <f>Tabella3[[#This Row],[Lombardy data]]*NOT(ISBLANK(Tabella3[[#This Row],[Lombardy data]]))</f>
        <v>0</v>
      </c>
      <c r="O95" s="95">
        <f>Tabella8[[#This Row],[Lombardy fit]]</f>
        <v>35500.201936379526</v>
      </c>
      <c r="P95" s="90">
        <f>Tabella3[[#This Row],[Lombardy cumul. Fit]]/Kl</f>
        <v>0.40804829811930488</v>
      </c>
      <c r="Q95" s="90">
        <f>IFERROR(Kl*_xlfn.LOGNORM.DIST((Tabella3[[#This Row],[Day]]-pl),mu_l,sigma_l,FALSE),0)</f>
        <v>1747.7585290314307</v>
      </c>
      <c r="R95" s="90">
        <f>Tabella3[[#This Row],[Lombardy fit]]/y_l_peak</f>
        <v>0.99420010970712158</v>
      </c>
      <c r="S95" s="90">
        <f>Tabella3[[#This Row],[Lombardy fit]]*NOT(ISBLANK(Tabella3[[#This Row],[Lombardy data]]))</f>
        <v>1747.7585290314307</v>
      </c>
      <c r="T95" s="90">
        <f>Tabella3[[#This Row],[Lombardy fit]]+CIl</f>
        <v>4318.1408519478391</v>
      </c>
      <c r="U95" s="90">
        <f>MAX(Tabella3[[#This Row],[Lombardy fit]]-CIl,0)</f>
        <v>0</v>
      </c>
      <c r="V95" s="10">
        <f>Tabella8[[#This Row],[rest of Italy ]]</f>
        <v>73235</v>
      </c>
      <c r="W95" s="10">
        <f>(Tabella3[[#This Row],[rest of Italy cum. Data]]-V94)</f>
        <v>7516</v>
      </c>
      <c r="X95" s="90">
        <f>Tabella3[[#This Row],[rest of Italy data]]*NOT(ISBLANK(Tabella3[[#This Row],[rest of Italy data]]))</f>
        <v>7516</v>
      </c>
      <c r="Y95" s="95">
        <f>Tabella8[[#This Row],[rest of Italy fit]]</f>
        <v>50849.58806611818</v>
      </c>
      <c r="Z95" s="90">
        <f>Tabella3[[#This Row],[rest of Italy cumul. Fit]]/Ka</f>
        <v>0.34357833774051322</v>
      </c>
      <c r="AA95" s="90">
        <f>IFERROR(Ka*_xlfn.LOGNORM.DIST((Tabella3[[#This Row],[Day]]-pa),mu_a,sigma_a,FALSE),0)</f>
        <v>3368.0190612821943</v>
      </c>
      <c r="AB95" s="90">
        <f>Tabella3[[#This Row],[rest of Italy fit]]/y_a_peak</f>
        <v>0.99670625770582633</v>
      </c>
      <c r="AC95" s="90">
        <f>Tabella3[[#This Row],[rest of Italy fit]]*NOT(ISBLANK(Tabella3[[#This Row],[rest of Italy data]]))</f>
        <v>3368.0190612821943</v>
      </c>
      <c r="AD95" s="90">
        <f>Tabella3[[#This Row],[rest of Italy fit]]+CIa</f>
        <v>8706.8584964422116</v>
      </c>
      <c r="AE95" s="90">
        <f>MAX(Tabella3[[#This Row],[rest of Italy fit]]-CIa,0)</f>
        <v>0</v>
      </c>
      <c r="AG95"/>
      <c r="AH95"/>
    </row>
    <row r="96" spans="2:34" x14ac:dyDescent="0.3">
      <c r="B96" s="173">
        <v>43919</v>
      </c>
      <c r="C96" s="174">
        <v>89</v>
      </c>
      <c r="D96" s="10">
        <f>Tabella8[[#This Row],[Spain cum. Cases]]</f>
        <v>80110</v>
      </c>
      <c r="E96" s="175">
        <f>(Tabella3[[#This Row],[Spain cumul. Cases]]-D95)</f>
        <v>6875</v>
      </c>
      <c r="F96" s="175">
        <f>Tabella3[[#This Row],[Spain daily cases]]*NOT(ISBLANK(Tabella3[[#This Row],[Spain daily cases]]))</f>
        <v>6875</v>
      </c>
      <c r="G96" s="90">
        <f>IFERROR(Kf*_xlfn.LOGNORM.DIST((Tabella3[[#This Row],[Day]]-pf),mu_f,sigma_f,FALSE),0)</f>
        <v>6276.4105735788644</v>
      </c>
      <c r="H96" s="175">
        <f>Tabella3[[#This Row],[Spain daily cases fit]]/y_f_peak</f>
        <v>0.94033330524122927</v>
      </c>
      <c r="I96" s="175">
        <f>Tabella3[[#This Row],[Spain daily cases fit]]*NOT(ISBLANK(Tabella3[[#This Row],[Spain daily cases]]))</f>
        <v>6276.4105735788644</v>
      </c>
      <c r="J96" s="175">
        <f>Tabella3[[#This Row],[Spain daily cases fit]]+CIf</f>
        <v>8619.098991259958</v>
      </c>
      <c r="K96" s="175">
        <f>MAX(Tabella3[[#This Row],[Spain daily cases fit]]-CIf,0)</f>
        <v>3933.7221558977717</v>
      </c>
      <c r="L96" s="174">
        <f>Tabella8[[#This Row],[Lombardy]]</f>
        <v>0</v>
      </c>
      <c r="M96" s="175">
        <f>(Tabella3[[#This Row],[Lombardy cumul. Data]]-L95)</f>
        <v>0</v>
      </c>
      <c r="N96" s="175">
        <f>Tabella3[[#This Row],[Lombardy data]]*NOT(ISBLANK(Tabella3[[#This Row],[Lombardy data]]))</f>
        <v>0</v>
      </c>
      <c r="O96" s="176">
        <f>Tabella8[[#This Row],[Lombardy fit]]</f>
        <v>37242.355288164421</v>
      </c>
      <c r="P96" s="175">
        <f>Tabella3[[#This Row],[Lombardy cumul. Fit]]/Kl</f>
        <v>0.42807304928924622</v>
      </c>
      <c r="Q96" s="175">
        <f>IFERROR(Kl*_xlfn.LOGNORM.DIST((Tabella3[[#This Row],[Day]]-pl),mu_l,sigma_l,FALSE),0)</f>
        <v>1735.8328304500953</v>
      </c>
      <c r="R96" s="175">
        <f>Tabella3[[#This Row],[Lombardy fit]]/y_l_peak</f>
        <v>0.98741626019876394</v>
      </c>
      <c r="S96" s="175">
        <f>Tabella3[[#This Row],[Lombardy fit]]*NOT(ISBLANK(Tabella3[[#This Row],[Lombardy data]]))</f>
        <v>1735.8328304500953</v>
      </c>
      <c r="T96" s="175">
        <f>Tabella3[[#This Row],[Lombardy fit]]+CIl</f>
        <v>4306.2151533665037</v>
      </c>
      <c r="U96" s="175">
        <f>MAX(Tabella3[[#This Row],[Lombardy fit]]-CIl,0)</f>
        <v>0</v>
      </c>
      <c r="V96" s="178">
        <f>Tabella8[[#This Row],[rest of Italy ]]</f>
        <v>80110</v>
      </c>
      <c r="W96" s="178">
        <f>(Tabella3[[#This Row],[rest of Italy cum. Data]]-V95)</f>
        <v>6875</v>
      </c>
      <c r="X96" s="175">
        <f>Tabella3[[#This Row],[rest of Italy data]]*NOT(ISBLANK(Tabella3[[#This Row],[rest of Italy data]]))</f>
        <v>6875</v>
      </c>
      <c r="Y96" s="176">
        <f>Tabella8[[#This Row],[rest of Italy fit]]</f>
        <v>54223.904460029429</v>
      </c>
      <c r="Z96" s="175">
        <f>Tabella3[[#This Row],[rest of Italy cumul. Fit]]/Ka</f>
        <v>0.36637777548862505</v>
      </c>
      <c r="AA96" s="177">
        <f>IFERROR(Ka*_xlfn.LOGNORM.DIST((Tabella3[[#This Row],[Day]]-pa),mu_a,sigma_a,FALSE),0)</f>
        <v>3378.4749693188419</v>
      </c>
      <c r="AB96" s="175">
        <f>Tabella3[[#This Row],[rest of Italy fit]]/y_a_peak</f>
        <v>0.99980050057693282</v>
      </c>
      <c r="AC96" s="175">
        <f>Tabella3[[#This Row],[rest of Italy fit]]*NOT(ISBLANK(Tabella3[[#This Row],[rest of Italy data]]))</f>
        <v>3378.4749693188419</v>
      </c>
      <c r="AD96" s="175">
        <f>Tabella3[[#This Row],[rest of Italy fit]]+CIa</f>
        <v>8717.3144044788587</v>
      </c>
      <c r="AE96" s="175">
        <f>MAX(Tabella3[[#This Row],[rest of Italy fit]]-CIa,0)</f>
        <v>0</v>
      </c>
      <c r="AG96"/>
      <c r="AH96"/>
    </row>
    <row r="97" spans="2:34" x14ac:dyDescent="0.3">
      <c r="B97" s="9">
        <v>43920</v>
      </c>
      <c r="C97" s="4">
        <v>90</v>
      </c>
      <c r="D97" s="10">
        <f>Tabella8[[#This Row],[Spain cum. Cases]]</f>
        <v>87956</v>
      </c>
      <c r="E97" s="90">
        <f>(Tabella3[[#This Row],[Spain cumul. Cases]]-D96)</f>
        <v>7846</v>
      </c>
      <c r="F97" s="90">
        <f>Tabella3[[#This Row],[Spain daily cases]]*NOT(ISBLANK(Tabella3[[#This Row],[Spain daily cases]]))</f>
        <v>7846</v>
      </c>
      <c r="G97" s="90">
        <f>IFERROR(Kf*_xlfn.LOGNORM.DIST((Tabella3[[#This Row],[Day]]-pf),mu_f,sigma_f,FALSE),0)</f>
        <v>6412.0916413164368</v>
      </c>
      <c r="H97" s="90">
        <f>Tabella3[[#This Row],[Spain daily cases fit]]/y_f_peak</f>
        <v>0.9606610746547557</v>
      </c>
      <c r="I97" s="90">
        <f>Tabella3[[#This Row],[Spain daily cases fit]]*NOT(ISBLANK(Tabella3[[#This Row],[Spain daily cases]]))</f>
        <v>6412.0916413164368</v>
      </c>
      <c r="J97" s="90">
        <f>Tabella3[[#This Row],[Spain daily cases fit]]+CIf</f>
        <v>8754.7800589975304</v>
      </c>
      <c r="K97" s="90">
        <f>MAX(Tabella3[[#This Row],[Spain daily cases fit]]-CIf,0)</f>
        <v>4069.4032236353441</v>
      </c>
      <c r="L97" s="4">
        <f>Tabella8[[#This Row],[Lombardy]]</f>
        <v>0</v>
      </c>
      <c r="M97" s="90">
        <f>(Tabella3[[#This Row],[Lombardy cumul. Data]]-L96)</f>
        <v>0</v>
      </c>
      <c r="N97" s="90">
        <f>Tabella3[[#This Row],[Lombardy data]]*NOT(ISBLANK(Tabella3[[#This Row],[Lombardy data]]))</f>
        <v>0</v>
      </c>
      <c r="O97" s="95">
        <f>Tabella8[[#This Row],[Lombardy fit]]</f>
        <v>38970.491033185979</v>
      </c>
      <c r="P97" s="90">
        <f>Tabella3[[#This Row],[Lombardy cumul. Fit]]/Kl</f>
        <v>0.44793667854236757</v>
      </c>
      <c r="Q97" s="90">
        <f>IFERROR(Kl*_xlfn.LOGNORM.DIST((Tabella3[[#This Row],[Day]]-pl),mu_l,sigma_l,FALSE),0)</f>
        <v>1719.7777021380912</v>
      </c>
      <c r="R97" s="90">
        <f>Tabella3[[#This Row],[Lombardy fit]]/y_l_peak</f>
        <v>0.97828341371910621</v>
      </c>
      <c r="S97" s="90">
        <f>Tabella3[[#This Row],[Lombardy fit]]*NOT(ISBLANK(Tabella3[[#This Row],[Lombardy data]]))</f>
        <v>1719.7777021380912</v>
      </c>
      <c r="T97" s="90">
        <f>Tabella3[[#This Row],[Lombardy fit]]+CIl</f>
        <v>4290.1600250544998</v>
      </c>
      <c r="U97" s="90">
        <f>MAX(Tabella3[[#This Row],[Lombardy fit]]-CIl,0)</f>
        <v>0</v>
      </c>
      <c r="V97" s="10">
        <f>Tabella8[[#This Row],[rest of Italy ]]</f>
        <v>87956</v>
      </c>
      <c r="W97" s="10">
        <f>(Tabella3[[#This Row],[rest of Italy cum. Data]]-V96)</f>
        <v>7846</v>
      </c>
      <c r="X97" s="90">
        <f>Tabella3[[#This Row],[rest of Italy data]]*NOT(ISBLANK(Tabella3[[#This Row],[rest of Italy data]]))</f>
        <v>7846</v>
      </c>
      <c r="Y97" s="95">
        <f>Tabella8[[#This Row],[rest of Italy fit]]</f>
        <v>57602.371366640451</v>
      </c>
      <c r="Z97" s="90">
        <f>Tabella3[[#This Row],[rest of Italy cumul. Fit]]/Ka</f>
        <v>0.38920525724472965</v>
      </c>
      <c r="AA97" s="90">
        <f>IFERROR(Ka*_xlfn.LOGNORM.DIST((Tabella3[[#This Row],[Day]]-pa),mu_a,sigma_a,FALSE),0)</f>
        <v>3376.4339720750772</v>
      </c>
      <c r="AB97" s="90">
        <f>Tabella3[[#This Row],[rest of Italy fit]]/y_a_peak</f>
        <v>0.99919650318623932</v>
      </c>
      <c r="AC97" s="90">
        <f>Tabella3[[#This Row],[rest of Italy fit]]*NOT(ISBLANK(Tabella3[[#This Row],[rest of Italy data]]))</f>
        <v>3376.4339720750772</v>
      </c>
      <c r="AD97" s="90">
        <f>Tabella3[[#This Row],[rest of Italy fit]]+CIa</f>
        <v>8715.2734072350941</v>
      </c>
      <c r="AE97" s="90">
        <f>MAX(Tabella3[[#This Row],[rest of Italy fit]]-CIa,0)</f>
        <v>0</v>
      </c>
      <c r="AG97"/>
      <c r="AH97"/>
    </row>
    <row r="98" spans="2:34" x14ac:dyDescent="0.3">
      <c r="B98" s="9">
        <v>43921</v>
      </c>
      <c r="C98" s="4">
        <v>91</v>
      </c>
      <c r="D98" s="10">
        <f>Tabella8[[#This Row],[Spain cum. Cases]]</f>
        <v>95923</v>
      </c>
      <c r="E98" s="90">
        <f>(Tabella3[[#This Row],[Spain cumul. Cases]]-D97)</f>
        <v>7967</v>
      </c>
      <c r="F98" s="90">
        <f>Tabella3[[#This Row],[Spain daily cases]]*NOT(ISBLANK(Tabella3[[#This Row],[Spain daily cases]]))</f>
        <v>7967</v>
      </c>
      <c r="G98" s="90">
        <f>IFERROR(Kf*_xlfn.LOGNORM.DIST((Tabella3[[#This Row],[Day]]-pf),mu_f,sigma_f,FALSE),0)</f>
        <v>6519.2685124315667</v>
      </c>
      <c r="H98" s="90">
        <f>Tabella3[[#This Row],[Spain daily cases fit]]/y_f_peak</f>
        <v>0.97671833864021818</v>
      </c>
      <c r="I98" s="90">
        <f>Tabella3[[#This Row],[Spain daily cases fit]]*NOT(ISBLANK(Tabella3[[#This Row],[Spain daily cases]]))</f>
        <v>6519.2685124315667</v>
      </c>
      <c r="J98" s="90">
        <f>Tabella3[[#This Row],[Spain daily cases fit]]+CIf</f>
        <v>8861.9569301126594</v>
      </c>
      <c r="K98" s="90">
        <f>MAX(Tabella3[[#This Row],[Spain daily cases fit]]-CIf,0)</f>
        <v>4176.580094750474</v>
      </c>
      <c r="L98" s="4">
        <f>Tabella8[[#This Row],[Lombardy]]</f>
        <v>0</v>
      </c>
      <c r="M98" s="90">
        <f>(Tabella3[[#This Row],[Lombardy cumul. Data]]-L97)</f>
        <v>0</v>
      </c>
      <c r="N98" s="90">
        <f>Tabella3[[#This Row],[Lombardy data]]*NOT(ISBLANK(Tabella3[[#This Row],[Lombardy data]]))</f>
        <v>0</v>
      </c>
      <c r="O98" s="95">
        <f>Tabella8[[#This Row],[Lombardy fit]]</f>
        <v>40680.643978973909</v>
      </c>
      <c r="P98" s="90">
        <f>Tabella3[[#This Row],[Lombardy cumul. Fit]]/Kl</f>
        <v>0.46759360895372309</v>
      </c>
      <c r="Q98" s="90">
        <f>IFERROR(Kl*_xlfn.LOGNORM.DIST((Tabella3[[#This Row],[Day]]-pl),mu_l,sigma_l,FALSE),0)</f>
        <v>1699.9225430030324</v>
      </c>
      <c r="R98" s="90">
        <f>Tabella3[[#This Row],[Lombardy fit]]/y_l_peak</f>
        <v>0.96698894651300582</v>
      </c>
      <c r="S98" s="90">
        <f>Tabella3[[#This Row],[Lombardy fit]]*NOT(ISBLANK(Tabella3[[#This Row],[Lombardy data]]))</f>
        <v>1699.9225430030324</v>
      </c>
      <c r="T98" s="90">
        <f>Tabella3[[#This Row],[Lombardy fit]]+CIl</f>
        <v>4270.304865919441</v>
      </c>
      <c r="U98" s="90">
        <f>MAX(Tabella3[[#This Row],[Lombardy fit]]-CIl,0)</f>
        <v>0</v>
      </c>
      <c r="V98" s="10">
        <f>Tabella8[[#This Row],[rest of Italy ]]</f>
        <v>95923</v>
      </c>
      <c r="W98" s="10">
        <f>(Tabella3[[#This Row],[rest of Italy cum. Data]]-V97)</f>
        <v>7967</v>
      </c>
      <c r="X98" s="90">
        <f>Tabella3[[#This Row],[rest of Italy data]]*NOT(ISBLANK(Tabella3[[#This Row],[rest of Italy data]]))</f>
        <v>7967</v>
      </c>
      <c r="Y98" s="95">
        <f>Tabella8[[#This Row],[rest of Italy fit]]</f>
        <v>60972.847507879022</v>
      </c>
      <c r="Z98" s="90">
        <f>Tabella3[[#This Row],[rest of Italy cumul. Fit]]/Ka</f>
        <v>0.41197874733662709</v>
      </c>
      <c r="AA98" s="90">
        <f>IFERROR(Ka*_xlfn.LOGNORM.DIST((Tabella3[[#This Row],[Day]]-pa),mu_a,sigma_a,FALSE),0)</f>
        <v>3362.6205888789086</v>
      </c>
      <c r="AB98" s="90">
        <f>Tabella3[[#This Row],[rest of Italy fit]]/y_a_peak</f>
        <v>0.99510867434049977</v>
      </c>
      <c r="AC98" s="90">
        <f>Tabella3[[#This Row],[rest of Italy fit]]*NOT(ISBLANK(Tabella3[[#This Row],[rest of Italy data]]))</f>
        <v>3362.6205888789086</v>
      </c>
      <c r="AD98" s="90">
        <f>Tabella3[[#This Row],[rest of Italy fit]]+CIa</f>
        <v>8701.4600240389263</v>
      </c>
      <c r="AE98" s="90">
        <f>MAX(Tabella3[[#This Row],[rest of Italy fit]]-CIa,0)</f>
        <v>0</v>
      </c>
      <c r="AG98"/>
      <c r="AH98"/>
    </row>
    <row r="99" spans="2:34" x14ac:dyDescent="0.3">
      <c r="B99" s="9">
        <v>43922</v>
      </c>
      <c r="C99" s="4">
        <v>92</v>
      </c>
      <c r="D99" s="10">
        <f>Tabella8[[#This Row],[Spain cum. Cases]]</f>
        <v>104118</v>
      </c>
      <c r="E99" s="90">
        <f>(Tabella3[[#This Row],[Spain cumul. Cases]]-D98)</f>
        <v>8195</v>
      </c>
      <c r="F99" s="90">
        <f>Tabella3[[#This Row],[Spain daily cases]]*NOT(ISBLANK(Tabella3[[#This Row],[Spain daily cases]]))</f>
        <v>8195</v>
      </c>
      <c r="G99" s="90">
        <f>IFERROR(Kf*_xlfn.LOGNORM.DIST((Tabella3[[#This Row],[Day]]-pf),mu_f,sigma_f,FALSE),0)</f>
        <v>6598.0446473270104</v>
      </c>
      <c r="H99" s="90">
        <f>Tabella3[[#This Row],[Spain daily cases fit]]/y_f_peak</f>
        <v>0.98852059765944011</v>
      </c>
      <c r="I99" s="90">
        <f>Tabella3[[#This Row],[Spain daily cases fit]]*NOT(ISBLANK(Tabella3[[#This Row],[Spain daily cases]]))</f>
        <v>6598.0446473270104</v>
      </c>
      <c r="J99" s="90">
        <f>Tabella3[[#This Row],[Spain daily cases fit]]+CIf</f>
        <v>8940.7330650081021</v>
      </c>
      <c r="K99" s="90">
        <f>MAX(Tabella3[[#This Row],[Spain daily cases fit]]-CIf,0)</f>
        <v>4255.3562296459177</v>
      </c>
      <c r="L99" s="4">
        <f>Tabella8[[#This Row],[Lombardy]]</f>
        <v>0</v>
      </c>
      <c r="M99" s="90">
        <f>(Tabella3[[#This Row],[Lombardy cumul. Data]]-L98)</f>
        <v>0</v>
      </c>
      <c r="N99" s="90">
        <f>Tabella3[[#This Row],[Lombardy data]]*NOT(ISBLANK(Tabella3[[#This Row],[Lombardy data]]))</f>
        <v>0</v>
      </c>
      <c r="O99" s="95">
        <f>Tabella8[[#This Row],[Lombardy fit]]</f>
        <v>42369.180367868961</v>
      </c>
      <c r="P99" s="90">
        <f>Tabella3[[#This Row],[Lombardy cumul. Fit]]/Kl</f>
        <v>0.4870020731938961</v>
      </c>
      <c r="Q99" s="90">
        <f>IFERROR(Kl*_xlfn.LOGNORM.DIST((Tabella3[[#This Row],[Day]]-pl),mu_l,sigma_l,FALSE),0)</f>
        <v>1676.6001048543555</v>
      </c>
      <c r="R99" s="90">
        <f>Tabella3[[#This Row],[Lombardy fit]]/y_l_peak</f>
        <v>0.95372214209986883</v>
      </c>
      <c r="S99" s="90">
        <f>Tabella3[[#This Row],[Lombardy fit]]*NOT(ISBLANK(Tabella3[[#This Row],[Lombardy data]]))</f>
        <v>1676.6001048543555</v>
      </c>
      <c r="T99" s="90">
        <f>Tabella3[[#This Row],[Lombardy fit]]+CIl</f>
        <v>4246.9824277707639</v>
      </c>
      <c r="U99" s="90">
        <f>MAX(Tabella3[[#This Row],[Lombardy fit]]-CIl,0)</f>
        <v>0</v>
      </c>
      <c r="V99" s="10">
        <f>Tabella8[[#This Row],[rest of Italy ]]</f>
        <v>104118</v>
      </c>
      <c r="W99" s="10">
        <f>(Tabella3[[#This Row],[rest of Italy cum. Data]]-V98)</f>
        <v>8195</v>
      </c>
      <c r="X99" s="90">
        <f>Tabella3[[#This Row],[rest of Italy data]]*NOT(ISBLANK(Tabella3[[#This Row],[rest of Italy data]]))</f>
        <v>8195</v>
      </c>
      <c r="Y99" s="95">
        <f>Tabella8[[#This Row],[rest of Italy fit]]</f>
        <v>64323.952463805501</v>
      </c>
      <c r="Z99" s="90">
        <f>Tabella3[[#This Row],[rest of Italy cumul. Fit]]/Ka</f>
        <v>0.43462135102604393</v>
      </c>
      <c r="AA99" s="90">
        <f>IFERROR(Ka*_xlfn.LOGNORM.DIST((Tabella3[[#This Row],[Day]]-pa),mu_a,sigma_a,FALSE),0)</f>
        <v>3337.828612374286</v>
      </c>
      <c r="AB99" s="90">
        <f>Tabella3[[#This Row],[rest of Italy fit]]/y_a_peak</f>
        <v>0.98777192307115103</v>
      </c>
      <c r="AC99" s="90">
        <f>Tabella3[[#This Row],[rest of Italy fit]]*NOT(ISBLANK(Tabella3[[#This Row],[rest of Italy data]]))</f>
        <v>3337.828612374286</v>
      </c>
      <c r="AD99" s="90">
        <f>Tabella3[[#This Row],[rest of Italy fit]]+CIa</f>
        <v>8676.6680475343037</v>
      </c>
      <c r="AE99" s="90">
        <f>MAX(Tabella3[[#This Row],[rest of Italy fit]]-CIa,0)</f>
        <v>0</v>
      </c>
      <c r="AG99"/>
      <c r="AH99"/>
    </row>
    <row r="100" spans="2:34" x14ac:dyDescent="0.3">
      <c r="B100" s="9">
        <v>43923</v>
      </c>
      <c r="C100" s="4">
        <v>93</v>
      </c>
      <c r="D100" s="10">
        <f>Tabella8[[#This Row],[Spain cum. Cases]]</f>
        <v>112065</v>
      </c>
      <c r="E100" s="90">
        <f>(Tabella3[[#This Row],[Spain cumul. Cases]]-D99)</f>
        <v>7947</v>
      </c>
      <c r="F100" s="90">
        <f>Tabella3[[#This Row],[Spain daily cases]]*NOT(ISBLANK(Tabella3[[#This Row],[Spain daily cases]]))</f>
        <v>7947</v>
      </c>
      <c r="G100" s="90">
        <f>IFERROR(Kf*_xlfn.LOGNORM.DIST((Tabella3[[#This Row],[Day]]-pf),mu_f,sigma_f,FALSE),0)</f>
        <v>6648.8830636789098</v>
      </c>
      <c r="H100" s="90">
        <f>Tabella3[[#This Row],[Spain daily cases fit]]/y_f_peak</f>
        <v>0.99613722112933412</v>
      </c>
      <c r="I100" s="90">
        <f>Tabella3[[#This Row],[Spain daily cases fit]]*NOT(ISBLANK(Tabella3[[#This Row],[Spain daily cases]]))</f>
        <v>6648.8830636789098</v>
      </c>
      <c r="J100" s="90">
        <f>Tabella3[[#This Row],[Spain daily cases fit]]+CIf</f>
        <v>8991.5714813600025</v>
      </c>
      <c r="K100" s="90">
        <f>MAX(Tabella3[[#This Row],[Spain daily cases fit]]-CIf,0)</f>
        <v>4306.1946459978171</v>
      </c>
      <c r="L100" s="4">
        <f>Tabella8[[#This Row],[Lombardy]]</f>
        <v>0</v>
      </c>
      <c r="M100" s="90">
        <f>(Tabella3[[#This Row],[Lombardy cumul. Data]]-L99)</f>
        <v>0</v>
      </c>
      <c r="N100" s="90">
        <f>Tabella3[[#This Row],[Lombardy data]]*NOT(ISBLANK(Tabella3[[#This Row],[Lombardy data]]))</f>
        <v>0</v>
      </c>
      <c r="O100" s="95">
        <f>Tabella8[[#This Row],[Lombardy fit]]</f>
        <v>44032.799164431563</v>
      </c>
      <c r="P100" s="90">
        <f>Tabella3[[#This Row],[Lombardy cumul. Fit]]/Kl</f>
        <v>0.50612412832679954</v>
      </c>
      <c r="Q100" s="90">
        <f>IFERROR(Kl*_xlfn.LOGNORM.DIST((Tabella3[[#This Row],[Day]]-pl),mu_l,sigma_l,FALSE),0)</f>
        <v>1650.1424522075963</v>
      </c>
      <c r="R100" s="90">
        <f>Tabella3[[#This Row],[Lombardy fit]]/y_l_peak</f>
        <v>0.9386718930368142</v>
      </c>
      <c r="S100" s="90">
        <f>Tabella3[[#This Row],[Lombardy fit]]*NOT(ISBLANK(Tabella3[[#This Row],[Lombardy data]]))</f>
        <v>1650.1424522075963</v>
      </c>
      <c r="T100" s="90">
        <f>Tabella3[[#This Row],[Lombardy fit]]+CIl</f>
        <v>4220.5247751240049</v>
      </c>
      <c r="U100" s="90">
        <f>MAX(Tabella3[[#This Row],[Lombardy fit]]-CIl,0)</f>
        <v>0</v>
      </c>
      <c r="V100" s="10">
        <f>Tabella8[[#This Row],[rest of Italy ]]</f>
        <v>112065</v>
      </c>
      <c r="W100" s="10">
        <f>(Tabella3[[#This Row],[rest of Italy cum. Data]]-V99)</f>
        <v>7947</v>
      </c>
      <c r="X100" s="90">
        <f>Tabella3[[#This Row],[rest of Italy data]]*NOT(ISBLANK(Tabella3[[#This Row],[rest of Italy data]]))</f>
        <v>7947</v>
      </c>
      <c r="Y100" s="95">
        <f>Tabella8[[#This Row],[rest of Italy fit]]</f>
        <v>67645.126002901379</v>
      </c>
      <c r="Z100" s="90">
        <f>Tabella3[[#This Row],[rest of Italy cumul. Fit]]/Ka</f>
        <v>0.45706171538900836</v>
      </c>
      <c r="AA100" s="90">
        <f>IFERROR(Ka*_xlfn.LOGNORM.DIST((Tabella3[[#This Row],[Day]]-pa),mu_a,sigma_a,FALSE),0)</f>
        <v>3302.901499412304</v>
      </c>
      <c r="AB100" s="90">
        <f>Tabella3[[#This Row],[rest of Italy fit]]/y_a_peak</f>
        <v>0.977435855661974</v>
      </c>
      <c r="AC100" s="90">
        <f>Tabella3[[#This Row],[rest of Italy fit]]*NOT(ISBLANK(Tabella3[[#This Row],[rest of Italy data]]))</f>
        <v>3302.901499412304</v>
      </c>
      <c r="AD100" s="90">
        <f>Tabella3[[#This Row],[rest of Italy fit]]+CIa</f>
        <v>8641.7409345723208</v>
      </c>
      <c r="AE100" s="90">
        <f>MAX(Tabella3[[#This Row],[rest of Italy fit]]-CIa,0)</f>
        <v>0</v>
      </c>
      <c r="AG100"/>
      <c r="AH100"/>
    </row>
    <row r="101" spans="2:34" x14ac:dyDescent="0.3">
      <c r="B101" s="9">
        <v>43924</v>
      </c>
      <c r="C101" s="4">
        <v>94</v>
      </c>
      <c r="D101" s="10">
        <f>Tabella8[[#This Row],[Spain cum. Cases]]</f>
        <v>119199</v>
      </c>
      <c r="E101" s="90">
        <f>(Tabella3[[#This Row],[Spain cumul. Cases]]-D100)</f>
        <v>7134</v>
      </c>
      <c r="F101" s="90">
        <f>Tabella3[[#This Row],[Spain daily cases]]*NOT(ISBLANK(Tabella3[[#This Row],[Spain daily cases]]))</f>
        <v>7134</v>
      </c>
      <c r="G101" s="90">
        <f>IFERROR(Kf*_xlfn.LOGNORM.DIST((Tabella3[[#This Row],[Day]]-pf),mu_f,sigma_f,FALSE),0)</f>
        <v>6672.5665117635563</v>
      </c>
      <c r="H101" s="90">
        <f>Tabella3[[#This Row],[Spain daily cases fit]]/y_f_peak</f>
        <v>0.99968548088000975</v>
      </c>
      <c r="I101" s="90">
        <f>Tabella3[[#This Row],[Spain daily cases fit]]*NOT(ISBLANK(Tabella3[[#This Row],[Spain daily cases]]))</f>
        <v>6672.5665117635563</v>
      </c>
      <c r="J101" s="90">
        <f>Tabella3[[#This Row],[Spain daily cases fit]]+CIf</f>
        <v>9015.254929444649</v>
      </c>
      <c r="K101" s="90">
        <f>MAX(Tabella3[[#This Row],[Spain daily cases fit]]-CIf,0)</f>
        <v>4329.8780940824636</v>
      </c>
      <c r="L101" s="4">
        <f>Tabella8[[#This Row],[Lombardy]]</f>
        <v>0</v>
      </c>
      <c r="M101" s="90">
        <f>(Tabella3[[#This Row],[Lombardy cumul. Data]]-L100)</f>
        <v>0</v>
      </c>
      <c r="N101" s="90">
        <f>Tabella3[[#This Row],[Lombardy data]]*NOT(ISBLANK(Tabella3[[#This Row],[Lombardy data]]))</f>
        <v>0</v>
      </c>
      <c r="O101" s="95">
        <f>Tabella8[[#This Row],[Lombardy fit]]</f>
        <v>45668.529572397463</v>
      </c>
      <c r="P101" s="90">
        <f>Tabella3[[#This Row],[Lombardy cumul. Fit]]/Kl</f>
        <v>0.52492562726893632</v>
      </c>
      <c r="Q101" s="90">
        <f>IFERROR(Kl*_xlfn.LOGNORM.DIST((Tabella3[[#This Row],[Day]]-pl),mu_l,sigma_l,FALSE),0)</f>
        <v>1620.8774586452207</v>
      </c>
      <c r="R101" s="90">
        <f>Tabella3[[#This Row],[Lombardy fit]]/y_l_peak</f>
        <v>0.92202470789824931</v>
      </c>
      <c r="S101" s="90">
        <f>Tabella3[[#This Row],[Lombardy fit]]*NOT(ISBLANK(Tabella3[[#This Row],[Lombardy data]]))</f>
        <v>1620.8774586452207</v>
      </c>
      <c r="T101" s="90">
        <f>Tabella3[[#This Row],[Lombardy fit]]+CIl</f>
        <v>4191.2597815616291</v>
      </c>
      <c r="U101" s="90">
        <f>MAX(Tabella3[[#This Row],[Lombardy fit]]-CIl,0)</f>
        <v>0</v>
      </c>
      <c r="V101" s="10">
        <f>Tabella8[[#This Row],[rest of Italy ]]</f>
        <v>119199</v>
      </c>
      <c r="W101" s="10">
        <f>(Tabella3[[#This Row],[rest of Italy cum. Data]]-V100)</f>
        <v>7134</v>
      </c>
      <c r="X101" s="90">
        <f>Tabella3[[#This Row],[rest of Italy data]]*NOT(ISBLANK(Tabella3[[#This Row],[rest of Italy data]]))</f>
        <v>7134</v>
      </c>
      <c r="Y101" s="95">
        <f>Tabella8[[#This Row],[rest of Italy fit]]</f>
        <v>70926.668664974175</v>
      </c>
      <c r="Z101" s="90">
        <f>Tabella3[[#This Row],[rest of Italy cumul. Fit]]/Ka</f>
        <v>0.47923430352469865</v>
      </c>
      <c r="AA101" s="90">
        <f>IFERROR(Ka*_xlfn.LOGNORM.DIST((Tabella3[[#This Row],[Day]]-pa),mu_a,sigma_a,FALSE),0)</f>
        <v>3258.7145133293802</v>
      </c>
      <c r="AB101" s="90">
        <f>Tabella3[[#This Row],[rest of Italy fit]]/y_a_peak</f>
        <v>0.96435949096906048</v>
      </c>
      <c r="AC101" s="90">
        <f>Tabella3[[#This Row],[rest of Italy fit]]*NOT(ISBLANK(Tabella3[[#This Row],[rest of Italy data]]))</f>
        <v>3258.7145133293802</v>
      </c>
      <c r="AD101" s="90">
        <f>Tabella3[[#This Row],[rest of Italy fit]]+CIa</f>
        <v>8597.553948489398</v>
      </c>
      <c r="AE101" s="90">
        <f>MAX(Tabella3[[#This Row],[rest of Italy fit]]-CIa,0)</f>
        <v>0</v>
      </c>
      <c r="AG101"/>
      <c r="AH101"/>
    </row>
    <row r="102" spans="2:34" x14ac:dyDescent="0.3">
      <c r="B102" s="9">
        <v>43925</v>
      </c>
      <c r="C102" s="4">
        <v>95</v>
      </c>
      <c r="D102" s="10">
        <f>Tabella8[[#This Row],[Spain cum. Cases]]</f>
        <v>126168</v>
      </c>
      <c r="E102" s="90">
        <f>(Tabella3[[#This Row],[Spain cumul. Cases]]-D101)</f>
        <v>6969</v>
      </c>
      <c r="F102" s="90">
        <f>Tabella3[[#This Row],[Spain daily cases]]*NOT(ISBLANK(Tabella3[[#This Row],[Spain daily cases]]))</f>
        <v>6969</v>
      </c>
      <c r="G102" s="90">
        <f>IFERROR(Kf*_xlfn.LOGNORM.DIST((Tabella3[[#This Row],[Day]]-pf),mu_f,sigma_f,FALSE),0)</f>
        <v>6670.1552714164445</v>
      </c>
      <c r="H102" s="90">
        <f>Tabella3[[#This Row],[Spain daily cases fit]]/y_f_peak</f>
        <v>0.99932422828527423</v>
      </c>
      <c r="I102" s="90">
        <f>Tabella3[[#This Row],[Spain daily cases fit]]*NOT(ISBLANK(Tabella3[[#This Row],[Spain daily cases]]))</f>
        <v>6670.1552714164445</v>
      </c>
      <c r="J102" s="90">
        <f>Tabella3[[#This Row],[Spain daily cases fit]]+CIf</f>
        <v>9012.8436890975372</v>
      </c>
      <c r="K102" s="90">
        <f>MAX(Tabella3[[#This Row],[Spain daily cases fit]]-CIf,0)</f>
        <v>4327.4668537353518</v>
      </c>
      <c r="L102" s="4">
        <f>Tabella8[[#This Row],[Lombardy]]</f>
        <v>0</v>
      </c>
      <c r="M102" s="90">
        <f>(Tabella3[[#This Row],[Lombardy cumul. Data]]-L101)</f>
        <v>0</v>
      </c>
      <c r="N102" s="90">
        <f>Tabella3[[#This Row],[Lombardy data]]*NOT(ISBLANK(Tabella3[[#This Row],[Lombardy data]]))</f>
        <v>0</v>
      </c>
      <c r="O102" s="95">
        <f>Tabella8[[#This Row],[Lombardy fit]]</f>
        <v>47273.725307568522</v>
      </c>
      <c r="P102" s="90">
        <f>Tabella3[[#This Row],[Lombardy cumul. Fit]]/Kl</f>
        <v>0.54337615296055775</v>
      </c>
      <c r="Q102" s="90">
        <f>IFERROR(Kl*_xlfn.LOGNORM.DIST((Tabella3[[#This Row],[Day]]-pl),mu_l,sigma_l,FALSE),0)</f>
        <v>1589.1258180934817</v>
      </c>
      <c r="R102" s="90">
        <f>Tabella3[[#This Row],[Lombardy fit]]/y_l_peak</f>
        <v>0.90396301116179345</v>
      </c>
      <c r="S102" s="90">
        <f>Tabella3[[#This Row],[Lombardy fit]]*NOT(ISBLANK(Tabella3[[#This Row],[Lombardy data]]))</f>
        <v>1589.1258180934817</v>
      </c>
      <c r="T102" s="90">
        <f>Tabella3[[#This Row],[Lombardy fit]]+CIl</f>
        <v>4159.5081410098901</v>
      </c>
      <c r="U102" s="90">
        <f>MAX(Tabella3[[#This Row],[Lombardy fit]]-CIl,0)</f>
        <v>0</v>
      </c>
      <c r="V102" s="10">
        <f>Tabella8[[#This Row],[rest of Italy ]]</f>
        <v>126168</v>
      </c>
      <c r="W102" s="10">
        <f>(Tabella3[[#This Row],[rest of Italy cum. Data]]-V101)</f>
        <v>6969</v>
      </c>
      <c r="X102" s="90">
        <f>Tabella3[[#This Row],[rest of Italy data]]*NOT(ISBLANK(Tabella3[[#This Row],[rest of Italy data]]))</f>
        <v>6969</v>
      </c>
      <c r="Y102" s="95">
        <f>Tabella8[[#This Row],[rest of Italy fit]]</f>
        <v>74159.765417855233</v>
      </c>
      <c r="Z102" s="90">
        <f>Tabella3[[#This Row],[rest of Italy cumul. Fit]]/Ka</f>
        <v>0.50107955439801466</v>
      </c>
      <c r="AA102" s="90">
        <f>IFERROR(Ka*_xlfn.LOGNORM.DIST((Tabella3[[#This Row],[Day]]-pa),mu_a,sigma_a,FALSE),0)</f>
        <v>3206.1587436562982</v>
      </c>
      <c r="AB102" s="90">
        <f>Tabella3[[#This Row],[rest of Italy fit]]/y_a_peak</f>
        <v>0.9488065313335633</v>
      </c>
      <c r="AC102" s="90">
        <f>Tabella3[[#This Row],[rest of Italy fit]]*NOT(ISBLANK(Tabella3[[#This Row],[rest of Italy data]]))</f>
        <v>3206.1587436562982</v>
      </c>
      <c r="AD102" s="90">
        <f>Tabella3[[#This Row],[rest of Italy fit]]+CIa</f>
        <v>8544.998178816315</v>
      </c>
      <c r="AE102" s="90">
        <f>MAX(Tabella3[[#This Row],[rest of Italy fit]]-CIa,0)</f>
        <v>0</v>
      </c>
      <c r="AG102"/>
      <c r="AH102"/>
    </row>
    <row r="103" spans="2:34" x14ac:dyDescent="0.3">
      <c r="B103" s="9">
        <v>43926</v>
      </c>
      <c r="C103" s="4">
        <v>96</v>
      </c>
      <c r="D103" s="10">
        <f>Tabella8[[#This Row],[Spain cum. Cases]]</f>
        <v>131646</v>
      </c>
      <c r="E103" s="90">
        <f>(Tabella3[[#This Row],[Spain cumul. Cases]]-D102)</f>
        <v>5478</v>
      </c>
      <c r="F103" s="90">
        <f>Tabella3[[#This Row],[Spain daily cases]]*NOT(ISBLANK(Tabella3[[#This Row],[Spain daily cases]]))</f>
        <v>5478</v>
      </c>
      <c r="G103" s="90">
        <f>IFERROR(Kf*_xlfn.LOGNORM.DIST((Tabella3[[#This Row],[Day]]-pf),mu_f,sigma_f,FALSE),0)</f>
        <v>6642.9439899023255</v>
      </c>
      <c r="H103" s="90">
        <f>Tabella3[[#This Row],[Spain daily cases fit]]/y_f_peak</f>
        <v>0.99524742770219332</v>
      </c>
      <c r="I103" s="90">
        <f>Tabella3[[#This Row],[Spain daily cases fit]]*NOT(ISBLANK(Tabella3[[#This Row],[Spain daily cases]]))</f>
        <v>6642.9439899023255</v>
      </c>
      <c r="J103" s="90">
        <f>Tabella3[[#This Row],[Spain daily cases fit]]+CIf</f>
        <v>8985.6324075834182</v>
      </c>
      <c r="K103" s="90">
        <f>MAX(Tabella3[[#This Row],[Spain daily cases fit]]-CIf,0)</f>
        <v>4300.2555722212328</v>
      </c>
      <c r="L103" s="4">
        <f>Tabella8[[#This Row],[Lombardy]]</f>
        <v>0</v>
      </c>
      <c r="M103" s="90">
        <f>(Tabella3[[#This Row],[Lombardy cumul. Data]]-L102)</f>
        <v>0</v>
      </c>
      <c r="N103" s="90">
        <f>Tabella3[[#This Row],[Lombardy data]]*NOT(ISBLANK(Tabella3[[#This Row],[Lombardy data]]))</f>
        <v>0</v>
      </c>
      <c r="O103" s="95">
        <f>Tabella8[[#This Row],[Lombardy fit]]</f>
        <v>48846.056127844786</v>
      </c>
      <c r="P103" s="90">
        <f>Tabella3[[#This Row],[Lombardy cumul. Fit]]/Kl</f>
        <v>0.56144892100971022</v>
      </c>
      <c r="Q103" s="90">
        <f>IFERROR(Kl*_xlfn.LOGNORM.DIST((Tabella3[[#This Row],[Day]]-pl),mu_l,sigma_l,FALSE),0)</f>
        <v>1555.1985426467959</v>
      </c>
      <c r="R103" s="90">
        <f>Tabella3[[#This Row],[Lombardy fit]]/y_l_peak</f>
        <v>0.88466371986332581</v>
      </c>
      <c r="S103" s="90">
        <f>Tabella3[[#This Row],[Lombardy fit]]*NOT(ISBLANK(Tabella3[[#This Row],[Lombardy data]]))</f>
        <v>1555.1985426467959</v>
      </c>
      <c r="T103" s="90">
        <f>Tabella3[[#This Row],[Lombardy fit]]+CIl</f>
        <v>4125.5808655632045</v>
      </c>
      <c r="U103" s="90">
        <f>MAX(Tabella3[[#This Row],[Lombardy fit]]-CIl,0)</f>
        <v>0</v>
      </c>
      <c r="V103" s="10">
        <f>Tabella8[[#This Row],[rest of Italy ]]</f>
        <v>131646</v>
      </c>
      <c r="W103" s="10">
        <f>(Tabella3[[#This Row],[rest of Italy cum. Data]]-V102)</f>
        <v>5478</v>
      </c>
      <c r="X103" s="90">
        <f>Tabella3[[#This Row],[rest of Italy data]]*NOT(ISBLANK(Tabella3[[#This Row],[rest of Italy data]]))</f>
        <v>5478</v>
      </c>
      <c r="Y103" s="95">
        <f>Tabella8[[#This Row],[rest of Italy fit]]</f>
        <v>77336.494296891717</v>
      </c>
      <c r="Z103" s="90">
        <f>Tabella3[[#This Row],[rest of Italy cumul. Fit]]/Ka</f>
        <v>0.52254394121453029</v>
      </c>
      <c r="AA103" s="90">
        <f>IFERROR(Ka*_xlfn.LOGNORM.DIST((Tabella3[[#This Row],[Day]]-pa),mu_a,sigma_a,FALSE),0)</f>
        <v>3146.127055224069</v>
      </c>
      <c r="AB103" s="90">
        <f>Tabella3[[#This Row],[rest of Italy fit]]/y_a_peak</f>
        <v>0.93104120446564742</v>
      </c>
      <c r="AC103" s="90">
        <f>Tabella3[[#This Row],[rest of Italy fit]]*NOT(ISBLANK(Tabella3[[#This Row],[rest of Italy data]]))</f>
        <v>3146.127055224069</v>
      </c>
      <c r="AD103" s="90">
        <f>Tabella3[[#This Row],[rest of Italy fit]]+CIa</f>
        <v>8484.9664903840858</v>
      </c>
      <c r="AE103" s="90">
        <f>MAX(Tabella3[[#This Row],[rest of Italy fit]]-CIa,0)</f>
        <v>0</v>
      </c>
      <c r="AG103"/>
      <c r="AH103"/>
    </row>
    <row r="104" spans="2:34" x14ac:dyDescent="0.3">
      <c r="B104" s="9">
        <v>43927</v>
      </c>
      <c r="C104" s="4">
        <v>97</v>
      </c>
      <c r="D104" s="10">
        <f>Tabella8[[#This Row],[Spain cum. Cases]]</f>
        <v>136675</v>
      </c>
      <c r="E104" s="90">
        <f>(Tabella3[[#This Row],[Spain cumul. Cases]]-D103)</f>
        <v>5029</v>
      </c>
      <c r="F104" s="90">
        <f>Tabella3[[#This Row],[Spain daily cases]]*NOT(ISBLANK(Tabella3[[#This Row],[Spain daily cases]]))</f>
        <v>5029</v>
      </c>
      <c r="G104" s="90">
        <f>IFERROR(Kf*_xlfn.LOGNORM.DIST((Tabella3[[#This Row],[Day]]-pf),mu_f,sigma_f,FALSE),0)</f>
        <v>6592.4187821421056</v>
      </c>
      <c r="H104" s="90">
        <f>Tabella3[[#This Row],[Spain daily cases fit]]/y_f_peak</f>
        <v>0.98767772921701658</v>
      </c>
      <c r="I104" s="90">
        <f>Tabella3[[#This Row],[Spain daily cases fit]]*NOT(ISBLANK(Tabella3[[#This Row],[Spain daily cases]]))</f>
        <v>6592.4187821421056</v>
      </c>
      <c r="J104" s="90">
        <f>Tabella3[[#This Row],[Spain daily cases fit]]+CIf</f>
        <v>8935.1071998231982</v>
      </c>
      <c r="K104" s="90">
        <f>MAX(Tabella3[[#This Row],[Spain daily cases fit]]-CIf,0)</f>
        <v>4249.7303644610129</v>
      </c>
      <c r="L104" s="4">
        <f>Tabella8[[#This Row],[Lombardy]]</f>
        <v>0</v>
      </c>
      <c r="M104" s="90">
        <f>(Tabella3[[#This Row],[Lombardy cumul. Data]]-L103)</f>
        <v>0</v>
      </c>
      <c r="N104" s="90">
        <f>Tabella3[[#This Row],[Lombardy data]]*NOT(ISBLANK(Tabella3[[#This Row],[Lombardy data]]))</f>
        <v>0</v>
      </c>
      <c r="O104" s="95">
        <f>Tabella8[[#This Row],[Lombardy fit]]</f>
        <v>50383.497090705459</v>
      </c>
      <c r="P104" s="90">
        <f>Tabella3[[#This Row],[Lombardy cumul. Fit]]/Kl</f>
        <v>0.5791206562150053</v>
      </c>
      <c r="Q104" s="90">
        <f>IFERROR(Kl*_xlfn.LOGNORM.DIST((Tabella3[[#This Row],[Day]]-pl),mu_l,sigma_l,FALSE),0)</f>
        <v>1519.3949138216258</v>
      </c>
      <c r="R104" s="90">
        <f>Tabella3[[#This Row],[Lombardy fit]]/y_l_peak</f>
        <v>0.86429707818221002</v>
      </c>
      <c r="S104" s="90">
        <f>Tabella3[[#This Row],[Lombardy fit]]*NOT(ISBLANK(Tabella3[[#This Row],[Lombardy data]]))</f>
        <v>1519.3949138216258</v>
      </c>
      <c r="T104" s="90">
        <f>Tabella3[[#This Row],[Lombardy fit]]+CIl</f>
        <v>4089.7772367380344</v>
      </c>
      <c r="U104" s="90">
        <f>MAX(Tabella3[[#This Row],[Lombardy fit]]-CIl,0)</f>
        <v>0</v>
      </c>
      <c r="V104" s="10">
        <f>Tabella8[[#This Row],[rest of Italy ]]</f>
        <v>136675</v>
      </c>
      <c r="W104" s="10">
        <f>(Tabella3[[#This Row],[rest of Italy cum. Data]]-V103)</f>
        <v>5029</v>
      </c>
      <c r="X104" s="90">
        <f>Tabella3[[#This Row],[rest of Italy data]]*NOT(ISBLANK(Tabella3[[#This Row],[rest of Italy data]]))</f>
        <v>5029</v>
      </c>
      <c r="Y104" s="95">
        <f>Tabella8[[#This Row],[rest of Italy fit]]</f>
        <v>80449.821956939806</v>
      </c>
      <c r="Z104" s="90">
        <f>Tabella3[[#This Row],[rest of Italy cumul. Fit]]/Ka</f>
        <v>0.54357994136639032</v>
      </c>
      <c r="AA104" s="90">
        <f>IFERROR(Ka*_xlfn.LOGNORM.DIST((Tabella3[[#This Row],[Day]]-pa),mu_a,sigma_a,FALSE),0)</f>
        <v>3079.5019583444746</v>
      </c>
      <c r="AB104" s="90">
        <f>Tabella3[[#This Row],[rest of Italy fit]]/y_a_peak</f>
        <v>0.91132467383684856</v>
      </c>
      <c r="AC104" s="90">
        <f>Tabella3[[#This Row],[rest of Italy fit]]*NOT(ISBLANK(Tabella3[[#This Row],[rest of Italy data]]))</f>
        <v>3079.5019583444746</v>
      </c>
      <c r="AD104" s="90">
        <f>Tabella3[[#This Row],[rest of Italy fit]]+CIa</f>
        <v>8418.3413935044919</v>
      </c>
      <c r="AE104" s="90">
        <f>MAX(Tabella3[[#This Row],[rest of Italy fit]]-CIa,0)</f>
        <v>0</v>
      </c>
      <c r="AG104"/>
      <c r="AH104"/>
    </row>
    <row r="105" spans="2:34" x14ac:dyDescent="0.3">
      <c r="B105" s="9">
        <v>43928</v>
      </c>
      <c r="C105" s="4">
        <v>98</v>
      </c>
      <c r="D105" s="10">
        <f>Tabella8[[#This Row],[Spain cum. Cases]]</f>
        <v>141942</v>
      </c>
      <c r="E105" s="90">
        <f>(Tabella3[[#This Row],[Spain cumul. Cases]]-D104)</f>
        <v>5267</v>
      </c>
      <c r="F105" s="90">
        <f>Tabella3[[#This Row],[Spain daily cases]]*NOT(ISBLANK(Tabella3[[#This Row],[Spain daily cases]]))</f>
        <v>5267</v>
      </c>
      <c r="G105" s="90">
        <f>IFERROR(Kf*_xlfn.LOGNORM.DIST((Tabella3[[#This Row],[Day]]-pf),mu_f,sigma_f,FALSE),0)</f>
        <v>6520.2156105477125</v>
      </c>
      <c r="H105" s="90">
        <f>Tabella3[[#This Row],[Spain daily cases fit]]/y_f_peak</f>
        <v>0.97686023310226822</v>
      </c>
      <c r="I105" s="90">
        <f>Tabella3[[#This Row],[Spain daily cases fit]]*NOT(ISBLANK(Tabella3[[#This Row],[Spain daily cases]]))</f>
        <v>6520.2156105477125</v>
      </c>
      <c r="J105" s="90">
        <f>Tabella3[[#This Row],[Spain daily cases fit]]+CIf</f>
        <v>8862.9040282288042</v>
      </c>
      <c r="K105" s="90">
        <f>MAX(Tabella3[[#This Row],[Spain daily cases fit]]-CIf,0)</f>
        <v>4177.5271928666198</v>
      </c>
      <c r="L105" s="4">
        <f>Tabella8[[#This Row],[Lombardy]]</f>
        <v>0</v>
      </c>
      <c r="M105" s="90">
        <f>(Tabella3[[#This Row],[Lombardy cumul. Data]]-L104)</f>
        <v>0</v>
      </c>
      <c r="N105" s="90">
        <f>Tabella3[[#This Row],[Lombardy data]]*NOT(ISBLANK(Tabella3[[#This Row],[Lombardy data]]))</f>
        <v>0</v>
      </c>
      <c r="O105" s="95">
        <f>Tabella8[[#This Row],[Lombardy fit]]</f>
        <v>51884.31597367175</v>
      </c>
      <c r="P105" s="90">
        <f>Tabella3[[#This Row],[Lombardy cumul. Fit]]/Kl</f>
        <v>0.59637144797323849</v>
      </c>
      <c r="Q105" s="90">
        <f>IFERROR(Kl*_xlfn.LOGNORM.DIST((Tabella3[[#This Row],[Day]]-pl),mu_l,sigma_l,FALSE),0)</f>
        <v>1482.0008510551986</v>
      </c>
      <c r="R105" s="90">
        <f>Tabella3[[#This Row],[Lombardy fit]]/y_l_peak</f>
        <v>0.843025729373299</v>
      </c>
      <c r="S105" s="90">
        <f>Tabella3[[#This Row],[Lombardy fit]]*NOT(ISBLANK(Tabella3[[#This Row],[Lombardy data]]))</f>
        <v>1482.0008510551986</v>
      </c>
      <c r="T105" s="90">
        <f>Tabella3[[#This Row],[Lombardy fit]]+CIl</f>
        <v>4052.383173971607</v>
      </c>
      <c r="U105" s="90">
        <f>MAX(Tabella3[[#This Row],[Lombardy fit]]-CIl,0)</f>
        <v>0</v>
      </c>
      <c r="V105" s="10">
        <f>Tabella8[[#This Row],[rest of Italy ]]</f>
        <v>141942</v>
      </c>
      <c r="W105" s="10">
        <f>(Tabella3[[#This Row],[rest of Italy cum. Data]]-V104)</f>
        <v>5267</v>
      </c>
      <c r="X105" s="90">
        <f>Tabella3[[#This Row],[rest of Italy data]]*NOT(ISBLANK(Tabella3[[#This Row],[rest of Italy data]]))</f>
        <v>5267</v>
      </c>
      <c r="Y105" s="95">
        <f>Tabella8[[#This Row],[rest of Italy fit]]</f>
        <v>83493.588033471126</v>
      </c>
      <c r="Z105" s="90">
        <f>Tabella3[[#This Row],[rest of Italy cumul. Fit]]/Ka</f>
        <v>0.56414593076409814</v>
      </c>
      <c r="AA105" s="90">
        <f>IFERROR(Ka*_xlfn.LOGNORM.DIST((Tabella3[[#This Row],[Day]]-pa),mu_a,sigma_a,FALSE),0)</f>
        <v>3007.145344209152</v>
      </c>
      <c r="AB105" s="90">
        <f>Tabella3[[#This Row],[rest of Italy fit]]/y_a_peak</f>
        <v>0.88991200105119439</v>
      </c>
      <c r="AC105" s="90">
        <f>Tabella3[[#This Row],[rest of Italy fit]]*NOT(ISBLANK(Tabella3[[#This Row],[rest of Italy data]]))</f>
        <v>3007.145344209152</v>
      </c>
      <c r="AD105" s="90">
        <f>Tabella3[[#This Row],[rest of Italy fit]]+CIa</f>
        <v>8345.9847793691697</v>
      </c>
      <c r="AE105" s="90">
        <f>MAX(Tabella3[[#This Row],[rest of Italy fit]]-CIa,0)</f>
        <v>0</v>
      </c>
      <c r="AG105"/>
      <c r="AH105"/>
    </row>
    <row r="106" spans="2:34" x14ac:dyDescent="0.3">
      <c r="B106" s="9">
        <v>43929</v>
      </c>
      <c r="C106" s="4">
        <v>99</v>
      </c>
      <c r="D106" s="10">
        <f>Tabella8[[#This Row],[Spain cum. Cases]]</f>
        <v>148220</v>
      </c>
      <c r="E106" s="90">
        <f>(Tabella3[[#This Row],[Spain cumul. Cases]]-D105)</f>
        <v>6278</v>
      </c>
      <c r="F106" s="90">
        <f>Tabella3[[#This Row],[Spain daily cases]]*NOT(ISBLANK(Tabella3[[#This Row],[Spain daily cases]]))</f>
        <v>6278</v>
      </c>
      <c r="G106" s="90">
        <f>IFERROR(Kf*_xlfn.LOGNORM.DIST((Tabella3[[#This Row],[Day]]-pf),mu_f,sigma_f,FALSE),0)</f>
        <v>6428.0807604193878</v>
      </c>
      <c r="H106" s="90">
        <f>Tabella3[[#This Row],[Spain daily cases fit]]/y_f_peak</f>
        <v>0.96305656823149288</v>
      </c>
      <c r="I106" s="90">
        <f>Tabella3[[#This Row],[Spain daily cases fit]]*NOT(ISBLANK(Tabella3[[#This Row],[Spain daily cases]]))</f>
        <v>6428.0807604193878</v>
      </c>
      <c r="J106" s="90">
        <f>Tabella3[[#This Row],[Spain daily cases fit]]+CIf</f>
        <v>8770.7691781004796</v>
      </c>
      <c r="K106" s="90">
        <f>MAX(Tabella3[[#This Row],[Spain daily cases fit]]-CIf,0)</f>
        <v>4085.3923427382952</v>
      </c>
      <c r="L106" s="4">
        <f>Tabella8[[#This Row],[Lombardy]]</f>
        <v>0</v>
      </c>
      <c r="M106" s="90">
        <f>(Tabella3[[#This Row],[Lombardy cumul. Data]]-L105)</f>
        <v>0</v>
      </c>
      <c r="N106" s="90">
        <f>Tabella3[[#This Row],[Lombardy data]]*NOT(ISBLANK(Tabella3[[#This Row],[Lombardy data]]))</f>
        <v>0</v>
      </c>
      <c r="O106" s="95">
        <f>Tabella8[[#This Row],[Lombardy fit]]</f>
        <v>53347.059256157372</v>
      </c>
      <c r="P106" s="90">
        <f>Tabella3[[#This Row],[Lombardy cumul. Fit]]/Kl</f>
        <v>0.61318458915123419</v>
      </c>
      <c r="Q106" s="90">
        <f>IFERROR(Kl*_xlfn.LOGNORM.DIST((Tabella3[[#This Row],[Day]]-pl),mu_l,sigma_l,FALSE),0)</f>
        <v>1443.2876596031119</v>
      </c>
      <c r="R106" s="90">
        <f>Tabella3[[#This Row],[Lombardy fit]]/y_l_peak</f>
        <v>0.82100400351732106</v>
      </c>
      <c r="S106" s="90">
        <f>Tabella3[[#This Row],[Lombardy fit]]*NOT(ISBLANK(Tabella3[[#This Row],[Lombardy data]]))</f>
        <v>1443.2876596031119</v>
      </c>
      <c r="T106" s="90">
        <f>Tabella3[[#This Row],[Lombardy fit]]+CIl</f>
        <v>4013.6699825195205</v>
      </c>
      <c r="U106" s="90">
        <f>MAX(Tabella3[[#This Row],[Lombardy fit]]-CIl,0)</f>
        <v>0</v>
      </c>
      <c r="V106" s="10">
        <f>Tabella8[[#This Row],[rest of Italy ]]</f>
        <v>148220</v>
      </c>
      <c r="W106" s="10">
        <f>(Tabella3[[#This Row],[rest of Italy cum. Data]]-V105)</f>
        <v>6278</v>
      </c>
      <c r="X106" s="90">
        <f>Tabella3[[#This Row],[rest of Italy data]]*NOT(ISBLANK(Tabella3[[#This Row],[rest of Italy data]]))</f>
        <v>6278</v>
      </c>
      <c r="Y106" s="95">
        <f>Tabella8[[#This Row],[rest of Italy fit]]</f>
        <v>86462.480134613143</v>
      </c>
      <c r="Z106" s="90">
        <f>Tabella3[[#This Row],[rest of Italy cumul. Fit]]/Ka</f>
        <v>0.58420601486379575</v>
      </c>
      <c r="AA106" s="90">
        <f>IFERROR(Ka*_xlfn.LOGNORM.DIST((Tabella3[[#This Row],[Day]]-pa),mu_a,sigma_a,FALSE),0)</f>
        <v>2929.8899935897552</v>
      </c>
      <c r="AB106" s="90">
        <f>Tabella3[[#This Row],[rest of Italy fit]]/y_a_peak</f>
        <v>0.86704963299372373</v>
      </c>
      <c r="AC106" s="90">
        <f>Tabella3[[#This Row],[rest of Italy fit]]*NOT(ISBLANK(Tabella3[[#This Row],[rest of Italy data]]))</f>
        <v>2929.8899935897552</v>
      </c>
      <c r="AD106" s="90">
        <f>Tabella3[[#This Row],[rest of Italy fit]]+CIa</f>
        <v>8268.7294287497716</v>
      </c>
      <c r="AE106" s="90">
        <f>MAX(Tabella3[[#This Row],[rest of Italy fit]]-CIa,0)</f>
        <v>0</v>
      </c>
      <c r="AG106"/>
      <c r="AH106"/>
    </row>
    <row r="107" spans="2:34" x14ac:dyDescent="0.3">
      <c r="B107" s="9">
        <v>43930</v>
      </c>
      <c r="C107" s="4">
        <v>100</v>
      </c>
      <c r="D107" s="10">
        <f>Tabella8[[#This Row],[Spain cum. Cases]]</f>
        <v>153222</v>
      </c>
      <c r="E107" s="90">
        <f>(Tabella3[[#This Row],[Spain cumul. Cases]]-D106)</f>
        <v>5002</v>
      </c>
      <c r="F107" s="90">
        <f>Tabella3[[#This Row],[Spain daily cases]]*NOT(ISBLANK(Tabella3[[#This Row],[Spain daily cases]]))</f>
        <v>5002</v>
      </c>
      <c r="G107" s="90">
        <f>IFERROR(Kf*_xlfn.LOGNORM.DIST((Tabella3[[#This Row],[Day]]-pf),mu_f,sigma_f,FALSE),0)</f>
        <v>6317.8340355287664</v>
      </c>
      <c r="H107" s="90">
        <f>Tabella3[[#This Row],[Spain daily cases fit]]/y_f_peak</f>
        <v>0.94653937803287502</v>
      </c>
      <c r="I107" s="90">
        <f>Tabella3[[#This Row],[Spain daily cases fit]]*NOT(ISBLANK(Tabella3[[#This Row],[Spain daily cases]]))</f>
        <v>6317.8340355287664</v>
      </c>
      <c r="J107" s="90">
        <f>Tabella3[[#This Row],[Spain daily cases fit]]+CIf</f>
        <v>8660.5224532098582</v>
      </c>
      <c r="K107" s="90">
        <f>MAX(Tabella3[[#This Row],[Spain daily cases fit]]-CIf,0)</f>
        <v>3975.1456178476737</v>
      </c>
      <c r="L107" s="4">
        <f>Tabella8[[#This Row],[Lombardy]]</f>
        <v>0</v>
      </c>
      <c r="M107" s="90">
        <f>(Tabella3[[#This Row],[Lombardy cumul. Data]]-L106)</f>
        <v>0</v>
      </c>
      <c r="N107" s="90">
        <f>Tabella3[[#This Row],[Lombardy data]]*NOT(ISBLANK(Tabella3[[#This Row],[Lombardy data]]))</f>
        <v>0</v>
      </c>
      <c r="O107" s="95">
        <f>Tabella8[[#This Row],[Lombardy fit]]</f>
        <v>54770.537022930162</v>
      </c>
      <c r="P107" s="90">
        <f>Tabella3[[#This Row],[Lombardy cumul. Fit]]/Kl</f>
        <v>0.62954640256241567</v>
      </c>
      <c r="Q107" s="90">
        <f>IFERROR(Kl*_xlfn.LOGNORM.DIST((Tabella3[[#This Row],[Day]]-pl),mu_l,sigma_l,FALSE),0)</f>
        <v>1403.5111194784272</v>
      </c>
      <c r="R107" s="90">
        <f>Tabella3[[#This Row],[Lombardy fit]]/y_l_peak</f>
        <v>0.79837739927031059</v>
      </c>
      <c r="S107" s="90">
        <f>Tabella3[[#This Row],[Lombardy fit]]*NOT(ISBLANK(Tabella3[[#This Row],[Lombardy data]]))</f>
        <v>1403.5111194784272</v>
      </c>
      <c r="T107" s="90">
        <f>Tabella3[[#This Row],[Lombardy fit]]+CIl</f>
        <v>3973.8934423948358</v>
      </c>
      <c r="U107" s="90">
        <f>MAX(Tabella3[[#This Row],[Lombardy fit]]-CIl,0)</f>
        <v>0</v>
      </c>
      <c r="V107" s="10">
        <f>Tabella8[[#This Row],[rest of Italy ]]</f>
        <v>153222</v>
      </c>
      <c r="W107" s="10">
        <f>(Tabella3[[#This Row],[rest of Italy cum. Data]]-V106)</f>
        <v>5002</v>
      </c>
      <c r="X107" s="90">
        <f>Tabella3[[#This Row],[rest of Italy data]]*NOT(ISBLANK(Tabella3[[#This Row],[rest of Italy data]]))</f>
        <v>5002</v>
      </c>
      <c r="Y107" s="95">
        <f>Tabella8[[#This Row],[rest of Italy fit]]</f>
        <v>89352.001180257022</v>
      </c>
      <c r="Z107" s="90">
        <f>Tabella3[[#This Row],[rest of Italy cumul. Fit]]/Ka</f>
        <v>0.60372980798553511</v>
      </c>
      <c r="AA107" s="90">
        <f>IFERROR(Ka*_xlfn.LOGNORM.DIST((Tabella3[[#This Row],[Day]]-pa),mu_a,sigma_a,FALSE),0)</f>
        <v>2848.5327409277602</v>
      </c>
      <c r="AB107" s="90">
        <f>Tabella3[[#This Row],[rest of Italy fit]]/y_a_peak</f>
        <v>0.8429733788625805</v>
      </c>
      <c r="AC107" s="90">
        <f>Tabella3[[#This Row],[rest of Italy fit]]*NOT(ISBLANK(Tabella3[[#This Row],[rest of Italy data]]))</f>
        <v>2848.5327409277602</v>
      </c>
      <c r="AD107" s="90">
        <f>Tabella3[[#This Row],[rest of Italy fit]]+CIa</f>
        <v>8187.3721760877779</v>
      </c>
      <c r="AE107" s="90">
        <f>MAX(Tabella3[[#This Row],[rest of Italy fit]]-CIa,0)</f>
        <v>0</v>
      </c>
      <c r="AG107"/>
      <c r="AH107"/>
    </row>
    <row r="108" spans="2:34" x14ac:dyDescent="0.3">
      <c r="B108" s="9">
        <v>43931</v>
      </c>
      <c r="C108" s="4">
        <v>101</v>
      </c>
      <c r="D108" s="10">
        <f>Tabella8[[#This Row],[Spain cum. Cases]]</f>
        <v>158273</v>
      </c>
      <c r="E108" s="90">
        <f>(Tabella3[[#This Row],[Spain cumul. Cases]]-D107)</f>
        <v>5051</v>
      </c>
      <c r="F108" s="90">
        <f>Tabella3[[#This Row],[Spain daily cases]]*NOT(ISBLANK(Tabella3[[#This Row],[Spain daily cases]]))</f>
        <v>5051</v>
      </c>
      <c r="G108" s="90">
        <f>IFERROR(Kf*_xlfn.LOGNORM.DIST((Tabella3[[#This Row],[Day]]-pf),mu_f,sigma_f,FALSE),0)</f>
        <v>6191.3351222170459</v>
      </c>
      <c r="H108" s="90">
        <f>Tabella3[[#This Row],[Spain daily cases fit]]/y_f_peak</f>
        <v>0.92758728115053124</v>
      </c>
      <c r="I108" s="90">
        <f>Tabella3[[#This Row],[Spain daily cases fit]]*NOT(ISBLANK(Tabella3[[#This Row],[Spain daily cases]]))</f>
        <v>6191.3351222170459</v>
      </c>
      <c r="J108" s="90">
        <f>Tabella3[[#This Row],[Spain daily cases fit]]+CIf</f>
        <v>8534.0235398981386</v>
      </c>
      <c r="K108" s="90">
        <f>MAX(Tabella3[[#This Row],[Spain daily cases fit]]-CIf,0)</f>
        <v>3848.6467045359532</v>
      </c>
      <c r="L108" s="4">
        <f>Tabella8[[#This Row],[Lombardy]]</f>
        <v>0</v>
      </c>
      <c r="M108" s="90">
        <f>(Tabella3[[#This Row],[Lombardy cumul. Data]]-L107)</f>
        <v>0</v>
      </c>
      <c r="N108" s="90">
        <f>Tabella3[[#This Row],[Lombardy data]]*NOT(ISBLANK(Tabella3[[#This Row],[Lombardy data]]))</f>
        <v>0</v>
      </c>
      <c r="O108" s="95">
        <f>Tabella8[[#This Row],[Lombardy fit]]</f>
        <v>56153.80711118412</v>
      </c>
      <c r="P108" s="90">
        <f>Tabella3[[#This Row],[Lombardy cumul. Fit]]/Kl</f>
        <v>0.64544605874924277</v>
      </c>
      <c r="Q108" s="90">
        <f>IFERROR(Kl*_xlfn.LOGNORM.DIST((Tabella3[[#This Row],[Day]]-pl),mu_l,sigma_l,FALSE),0)</f>
        <v>1362.9108774841045</v>
      </c>
      <c r="R108" s="90">
        <f>Tabella3[[#This Row],[Lombardy fit]]/y_l_peak</f>
        <v>0.7752822380255473</v>
      </c>
      <c r="S108" s="90">
        <f>Tabella3[[#This Row],[Lombardy fit]]*NOT(ISBLANK(Tabella3[[#This Row],[Lombardy data]]))</f>
        <v>1362.9108774841045</v>
      </c>
      <c r="T108" s="90">
        <f>Tabella3[[#This Row],[Lombardy fit]]+CIl</f>
        <v>3933.2932004005133</v>
      </c>
      <c r="U108" s="90">
        <f>MAX(Tabella3[[#This Row],[Lombardy fit]]-CIl,0)</f>
        <v>0</v>
      </c>
      <c r="V108" s="10">
        <f>Tabella8[[#This Row],[rest of Italy ]]</f>
        <v>158273</v>
      </c>
      <c r="W108" s="10">
        <f>(Tabella3[[#This Row],[rest of Italy cum. Data]]-V107)</f>
        <v>5051</v>
      </c>
      <c r="X108" s="90">
        <f>Tabella3[[#This Row],[rest of Italy data]]*NOT(ISBLANK(Tabella3[[#This Row],[rest of Italy data]]))</f>
        <v>5051</v>
      </c>
      <c r="Y108" s="95">
        <f>Tabella8[[#This Row],[rest of Italy fit]]</f>
        <v>92158.430677105629</v>
      </c>
      <c r="Z108" s="90">
        <f>Tabella3[[#This Row],[rest of Italy cumul. Fit]]/Ka</f>
        <v>0.62269217165816571</v>
      </c>
      <c r="AA108" s="90">
        <f>IFERROR(Ka*_xlfn.LOGNORM.DIST((Tabella3[[#This Row],[Day]]-pa),mu_a,sigma_a,FALSE),0)</f>
        <v>2763.8291585423817</v>
      </c>
      <c r="AB108" s="90">
        <f>Tabella3[[#This Row],[rest of Italy fit]]/y_a_peak</f>
        <v>0.81790683705344136</v>
      </c>
      <c r="AC108" s="90">
        <f>Tabella3[[#This Row],[rest of Italy fit]]*NOT(ISBLANK(Tabella3[[#This Row],[rest of Italy data]]))</f>
        <v>2763.8291585423817</v>
      </c>
      <c r="AD108" s="90">
        <f>Tabella3[[#This Row],[rest of Italy fit]]+CIa</f>
        <v>8102.6685937023994</v>
      </c>
      <c r="AE108" s="90">
        <f>MAX(Tabella3[[#This Row],[rest of Italy fit]]-CIa,0)</f>
        <v>0</v>
      </c>
      <c r="AG108"/>
      <c r="AH108"/>
    </row>
    <row r="109" spans="2:34" x14ac:dyDescent="0.3">
      <c r="B109" s="9">
        <v>43932</v>
      </c>
      <c r="C109" s="4">
        <v>102</v>
      </c>
      <c r="D109" s="10">
        <f>Tabella8[[#This Row],[Spain cum. Cases]]</f>
        <v>163027</v>
      </c>
      <c r="E109" s="90">
        <f>(Tabella3[[#This Row],[Spain cumul. Cases]]-D108)</f>
        <v>4754</v>
      </c>
      <c r="F109" s="90">
        <f>Tabella3[[#This Row],[Spain daily cases]]*NOT(ISBLANK(Tabella3[[#This Row],[Spain daily cases]]))</f>
        <v>4754</v>
      </c>
      <c r="G109" s="90">
        <f>IFERROR(Kf*_xlfn.LOGNORM.DIST((Tabella3[[#This Row],[Day]]-pf),mu_f,sigma_f,FALSE),0)</f>
        <v>6050.4534124004522</v>
      </c>
      <c r="H109" s="90">
        <f>Tabella3[[#This Row],[Spain daily cases fit]]/y_f_peak</f>
        <v>0.90648035032010688</v>
      </c>
      <c r="I109" s="90">
        <f>Tabella3[[#This Row],[Spain daily cases fit]]*NOT(ISBLANK(Tabella3[[#This Row],[Spain daily cases]]))</f>
        <v>6050.4534124004522</v>
      </c>
      <c r="J109" s="90">
        <f>Tabella3[[#This Row],[Spain daily cases fit]]+CIf</f>
        <v>8393.1418300815458</v>
      </c>
      <c r="K109" s="90">
        <f>MAX(Tabella3[[#This Row],[Spain daily cases fit]]-CIf,0)</f>
        <v>3707.7649947193595</v>
      </c>
      <c r="L109" s="4">
        <f>Tabella8[[#This Row],[Lombardy]]</f>
        <v>0</v>
      </c>
      <c r="M109" s="90">
        <f>(Tabella3[[#This Row],[Lombardy cumul. Data]]-L108)</f>
        <v>0</v>
      </c>
      <c r="N109" s="90">
        <f>Tabella3[[#This Row],[Lombardy data]]*NOT(ISBLANK(Tabella3[[#This Row],[Lombardy data]]))</f>
        <v>0</v>
      </c>
      <c r="O109" s="95">
        <f>Tabella8[[#This Row],[Lombardy fit]]</f>
        <v>57496.158785785505</v>
      </c>
      <c r="P109" s="90">
        <f>Tabella3[[#This Row],[Lombardy cumul. Fit]]/Kl</f>
        <v>0.66087538834236215</v>
      </c>
      <c r="Q109" s="90">
        <f>IFERROR(Kl*_xlfn.LOGNORM.DIST((Tabella3[[#This Row],[Day]]-pl),mu_l,sigma_l,FALSE),0)</f>
        <v>1321.7101055171868</v>
      </c>
      <c r="R109" s="90">
        <f>Tabella3[[#This Row],[Lombardy fit]]/y_l_peak</f>
        <v>0.75184546954230158</v>
      </c>
      <c r="S109" s="90">
        <f>Tabella3[[#This Row],[Lombardy fit]]*NOT(ISBLANK(Tabella3[[#This Row],[Lombardy data]]))</f>
        <v>1321.7101055171868</v>
      </c>
      <c r="T109" s="90">
        <f>Tabella3[[#This Row],[Lombardy fit]]+CIl</f>
        <v>3892.0924284335952</v>
      </c>
      <c r="U109" s="90">
        <f>MAX(Tabella3[[#This Row],[Lombardy fit]]-CIl,0)</f>
        <v>0</v>
      </c>
      <c r="V109" s="10">
        <f>Tabella8[[#This Row],[rest of Italy ]]</f>
        <v>163027</v>
      </c>
      <c r="W109" s="10">
        <f>(Tabella3[[#This Row],[rest of Italy cum. Data]]-V108)</f>
        <v>4754</v>
      </c>
      <c r="X109" s="90">
        <f>Tabella3[[#This Row],[rest of Italy data]]*NOT(ISBLANK(Tabella3[[#This Row],[rest of Italy data]]))</f>
        <v>4754</v>
      </c>
      <c r="Y109" s="95">
        <f>Tabella8[[#This Row],[rest of Italy fit]]</f>
        <v>94878.781377666935</v>
      </c>
      <c r="Z109" s="90">
        <f>Tabella3[[#This Row],[rest of Italy cumul. Fit]]/Ka</f>
        <v>0.64107292177466202</v>
      </c>
      <c r="AA109" s="90">
        <f>IFERROR(Ka*_xlfn.LOGNORM.DIST((Tabella3[[#This Row],[Day]]-pa),mu_a,sigma_a,FALSE),0)</f>
        <v>2676.4896155606684</v>
      </c>
      <c r="AB109" s="90">
        <f>Tabella3[[#This Row],[rest of Italy fit]]/y_a_peak</f>
        <v>0.79206022886889615</v>
      </c>
      <c r="AC109" s="90">
        <f>Tabella3[[#This Row],[rest of Italy fit]]*NOT(ISBLANK(Tabella3[[#This Row],[rest of Italy data]]))</f>
        <v>2676.4896155606684</v>
      </c>
      <c r="AD109" s="90">
        <f>Tabella3[[#This Row],[rest of Italy fit]]+CIa</f>
        <v>8015.3290507206857</v>
      </c>
      <c r="AE109" s="90">
        <f>MAX(Tabella3[[#This Row],[rest of Italy fit]]-CIa,0)</f>
        <v>0</v>
      </c>
      <c r="AG109"/>
      <c r="AH109"/>
    </row>
    <row r="110" spans="2:34" x14ac:dyDescent="0.3">
      <c r="B110" s="9">
        <v>43933</v>
      </c>
      <c r="C110" s="4">
        <v>103</v>
      </c>
      <c r="D110" s="10">
        <f>Tabella8[[#This Row],[Spain cum. Cases]]</f>
        <v>166831</v>
      </c>
      <c r="E110" s="90">
        <f>(Tabella3[[#This Row],[Spain cumul. Cases]]-D109)</f>
        <v>3804</v>
      </c>
      <c r="F110" s="90">
        <f>Tabella3[[#This Row],[Spain daily cases]]*NOT(ISBLANK(Tabella3[[#This Row],[Spain daily cases]]))</f>
        <v>3804</v>
      </c>
      <c r="G110" s="90">
        <f>IFERROR(Kf*_xlfn.LOGNORM.DIST((Tabella3[[#This Row],[Day]]-pf),mu_f,sigma_f,FALSE),0)</f>
        <v>5897.0414381368118</v>
      </c>
      <c r="H110" s="90">
        <f>Tabella3[[#This Row],[Spain daily cases fit]]/y_f_peak</f>
        <v>0.8834961323293048</v>
      </c>
      <c r="I110" s="90">
        <f>Tabella3[[#This Row],[Spain daily cases fit]]*NOT(ISBLANK(Tabella3[[#This Row],[Spain daily cases]]))</f>
        <v>5897.0414381368118</v>
      </c>
      <c r="J110" s="90">
        <f>Tabella3[[#This Row],[Spain daily cases fit]]+CIf</f>
        <v>8239.7298558179045</v>
      </c>
      <c r="K110" s="90">
        <f>MAX(Tabella3[[#This Row],[Spain daily cases fit]]-CIf,0)</f>
        <v>3554.3530204557192</v>
      </c>
      <c r="L110" s="4">
        <f>Tabella8[[#This Row],[Lombardy]]</f>
        <v>0</v>
      </c>
      <c r="M110" s="90">
        <f>(Tabella3[[#This Row],[Lombardy cumul. Data]]-L109)</f>
        <v>0</v>
      </c>
      <c r="N110" s="90">
        <f>Tabella3[[#This Row],[Lombardy data]]*NOT(ISBLANK(Tabella3[[#This Row],[Lombardy data]]))</f>
        <v>0</v>
      </c>
      <c r="O110" s="95">
        <f>Tabella8[[#This Row],[Lombardy fit]]</f>
        <v>58797.096191230899</v>
      </c>
      <c r="P110" s="90">
        <f>Tabella3[[#This Row],[Lombardy cumul. Fit]]/Kl</f>
        <v>0.67582869185322869</v>
      </c>
      <c r="Q110" s="90">
        <f>IFERROR(Kl*_xlfn.LOGNORM.DIST((Tabella3[[#This Row],[Day]]-pl),mu_l,sigma_l,FALSE),0)</f>
        <v>1280.115389990418</v>
      </c>
      <c r="R110" s="90">
        <f>Tabella3[[#This Row],[Lombardy fit]]/y_l_peak</f>
        <v>0.72818460904410265</v>
      </c>
      <c r="S110" s="90">
        <f>Tabella3[[#This Row],[Lombardy fit]]*NOT(ISBLANK(Tabella3[[#This Row],[Lombardy data]]))</f>
        <v>1280.115389990418</v>
      </c>
      <c r="T110" s="90">
        <f>Tabella3[[#This Row],[Lombardy fit]]+CIl</f>
        <v>3850.4977129068266</v>
      </c>
      <c r="U110" s="90">
        <f>MAX(Tabella3[[#This Row],[Lombardy fit]]-CIl,0)</f>
        <v>0</v>
      </c>
      <c r="V110" s="10">
        <f>Tabella8[[#This Row],[rest of Italy ]]</f>
        <v>166831</v>
      </c>
      <c r="W110" s="10">
        <f>(Tabella3[[#This Row],[rest of Italy cum. Data]]-V109)</f>
        <v>3804</v>
      </c>
      <c r="X110" s="90">
        <f>Tabella3[[#This Row],[rest of Italy data]]*NOT(ISBLANK(Tabella3[[#This Row],[rest of Italy data]]))</f>
        <v>3804</v>
      </c>
      <c r="Y110" s="95">
        <f>Tabella8[[#This Row],[rest of Italy fit]]</f>
        <v>97510.752623245149</v>
      </c>
      <c r="Z110" s="90">
        <f>Tabella3[[#This Row],[rest of Italy cumul. Fit]]/Ka</f>
        <v>0.65885651334202677</v>
      </c>
      <c r="AA110" s="90">
        <f>IFERROR(Ka*_xlfn.LOGNORM.DIST((Tabella3[[#This Row],[Day]]-pa),mu_a,sigma_a,FALSE),0)</f>
        <v>2587.1765619750977</v>
      </c>
      <c r="AB110" s="90">
        <f>Tabella3[[#This Row],[rest of Italy fit]]/y_a_peak</f>
        <v>0.76562959478285719</v>
      </c>
      <c r="AC110" s="90">
        <f>Tabella3[[#This Row],[rest of Italy fit]]*NOT(ISBLANK(Tabella3[[#This Row],[rest of Italy data]]))</f>
        <v>2587.1765619750977</v>
      </c>
      <c r="AD110" s="90">
        <f>Tabella3[[#This Row],[rest of Italy fit]]+CIa</f>
        <v>7926.015997135115</v>
      </c>
      <c r="AE110" s="90">
        <f>MAX(Tabella3[[#This Row],[rest of Italy fit]]-CIa,0)</f>
        <v>0</v>
      </c>
      <c r="AG110"/>
      <c r="AH110"/>
    </row>
    <row r="111" spans="2:34" x14ac:dyDescent="0.3">
      <c r="B111" s="9">
        <v>43934</v>
      </c>
      <c r="C111" s="4">
        <v>104</v>
      </c>
      <c r="D111" s="10">
        <f>Tabella8[[#This Row],[Spain cum. Cases]]</f>
        <v>170099</v>
      </c>
      <c r="E111" s="90">
        <f>(Tabella3[[#This Row],[Spain cumul. Cases]]-D110)</f>
        <v>3268</v>
      </c>
      <c r="F111" s="90">
        <f>Tabella3[[#This Row],[Spain daily cases]]*NOT(ISBLANK(Tabella3[[#This Row],[Spain daily cases]]))</f>
        <v>3268</v>
      </c>
      <c r="G111" s="90">
        <f>IFERROR(Kf*_xlfn.LOGNORM.DIST((Tabella3[[#This Row],[Day]]-pf),mu_f,sigma_f,FALSE),0)</f>
        <v>5732.9119535054133</v>
      </c>
      <c r="H111" s="90">
        <f>Tabella3[[#This Row],[Spain daily cases fit]]/y_f_peak</f>
        <v>0.85890621441974735</v>
      </c>
      <c r="I111" s="90">
        <f>Tabella3[[#This Row],[Spain daily cases fit]]*NOT(ISBLANK(Tabella3[[#This Row],[Spain daily cases]]))</f>
        <v>5732.9119535054133</v>
      </c>
      <c r="J111" s="90">
        <f>Tabella3[[#This Row],[Spain daily cases fit]]+CIf</f>
        <v>8075.600371186506</v>
      </c>
      <c r="K111" s="90">
        <f>MAX(Tabella3[[#This Row],[Spain daily cases fit]]-CIf,0)</f>
        <v>3390.2235358243206</v>
      </c>
      <c r="L111" s="4">
        <f>Tabella8[[#This Row],[Lombardy]]</f>
        <v>0</v>
      </c>
      <c r="M111" s="90">
        <f>(Tabella3[[#This Row],[Lombardy cumul. Data]]-L110)</f>
        <v>0</v>
      </c>
      <c r="N111" s="90">
        <f>Tabella3[[#This Row],[Lombardy data]]*NOT(ISBLANK(Tabella3[[#This Row],[Lombardy data]]))</f>
        <v>0</v>
      </c>
      <c r="O111" s="95">
        <f>Tabella8[[#This Row],[Lombardy fit]]</f>
        <v>60056.3217947015</v>
      </c>
      <c r="P111" s="90">
        <f>Tabella3[[#This Row],[Lombardy cumul. Fit]]/Kl</f>
        <v>0.69030254936438507</v>
      </c>
      <c r="Q111" s="90">
        <f>IFERROR(Kl*_xlfn.LOGNORM.DIST((Tabella3[[#This Row],[Day]]-pl),mu_l,sigma_l,FALSE),0)</f>
        <v>1238.3168192739481</v>
      </c>
      <c r="R111" s="90">
        <f>Tabella3[[#This Row],[Lombardy fit]]/y_l_peak</f>
        <v>0.70440778695933515</v>
      </c>
      <c r="S111" s="90">
        <f>Tabella3[[#This Row],[Lombardy fit]]*NOT(ISBLANK(Tabella3[[#This Row],[Lombardy data]]))</f>
        <v>1238.3168192739481</v>
      </c>
      <c r="T111" s="90">
        <f>Tabella3[[#This Row],[Lombardy fit]]+CIl</f>
        <v>3808.6991421903567</v>
      </c>
      <c r="U111" s="90">
        <f>MAX(Tabella3[[#This Row],[Lombardy fit]]-CIl,0)</f>
        <v>0</v>
      </c>
      <c r="V111" s="10">
        <f>Tabella8[[#This Row],[rest of Italy ]]</f>
        <v>170099</v>
      </c>
      <c r="W111" s="10">
        <f>(Tabella3[[#This Row],[rest of Italy cum. Data]]-V110)</f>
        <v>3268</v>
      </c>
      <c r="X111" s="90">
        <f>Tabella3[[#This Row],[rest of Italy data]]*NOT(ISBLANK(Tabella3[[#This Row],[rest of Italy data]]))</f>
        <v>3268</v>
      </c>
      <c r="Y111" s="95">
        <f>Tabella8[[#This Row],[rest of Italy fit]]</f>
        <v>100052.68152131849</v>
      </c>
      <c r="Z111" s="90">
        <f>Tabella3[[#This Row],[rest of Italy cumul. Fit]]/Ka</f>
        <v>0.67603171059866962</v>
      </c>
      <c r="AA111" s="90">
        <f>IFERROR(Ka*_xlfn.LOGNORM.DIST((Tabella3[[#This Row],[Day]]-pa),mu_a,sigma_a,FALSE),0)</f>
        <v>2496.5028887607327</v>
      </c>
      <c r="AB111" s="90">
        <f>Tabella3[[#This Row],[rest of Italy fit]]/y_a_peak</f>
        <v>0.73879630914595074</v>
      </c>
      <c r="AC111" s="90">
        <f>Tabella3[[#This Row],[rest of Italy fit]]*NOT(ISBLANK(Tabella3[[#This Row],[rest of Italy data]]))</f>
        <v>2496.5028887607327</v>
      </c>
      <c r="AD111" s="90">
        <f>Tabella3[[#This Row],[rest of Italy fit]]+CIa</f>
        <v>7835.3423239207495</v>
      </c>
      <c r="AE111" s="90">
        <f>MAX(Tabella3[[#This Row],[rest of Italy fit]]-CIa,0)</f>
        <v>0</v>
      </c>
      <c r="AG111"/>
      <c r="AH111"/>
    </row>
    <row r="112" spans="2:34" x14ac:dyDescent="0.3">
      <c r="B112" s="9">
        <v>43935</v>
      </c>
      <c r="C112" s="4">
        <v>105</v>
      </c>
      <c r="D112" s="10">
        <f>Tabella8[[#This Row],[Spain cum. Cases]]</f>
        <v>172541</v>
      </c>
      <c r="E112" s="90">
        <f>(Tabella3[[#This Row],[Spain cumul. Cases]]-D111)</f>
        <v>2442</v>
      </c>
      <c r="F112" s="90">
        <f>Tabella3[[#This Row],[Spain daily cases]]*NOT(ISBLANK(Tabella3[[#This Row],[Spain daily cases]]))</f>
        <v>2442</v>
      </c>
      <c r="G112" s="90">
        <f>IFERROR(Kf*_xlfn.LOGNORM.DIST((Tabella3[[#This Row],[Day]]-pf),mu_f,sigma_f,FALSE),0)</f>
        <v>5559.8186031841678</v>
      </c>
      <c r="H112" s="90">
        <f>Tabella3[[#This Row],[Spain daily cases fit]]/y_f_peak</f>
        <v>0.83297332804866908</v>
      </c>
      <c r="I112" s="90">
        <f>Tabella3[[#This Row],[Spain daily cases fit]]*NOT(ISBLANK(Tabella3[[#This Row],[Spain daily cases]]))</f>
        <v>5559.8186031841678</v>
      </c>
      <c r="J112" s="90">
        <f>Tabella3[[#This Row],[Spain daily cases fit]]+CIf</f>
        <v>7902.5070208652605</v>
      </c>
      <c r="K112" s="90">
        <f>MAX(Tabella3[[#This Row],[Spain daily cases fit]]-CIf,0)</f>
        <v>3217.1301855030752</v>
      </c>
      <c r="L112" s="4">
        <f>Tabella8[[#This Row],[Lombardy]]</f>
        <v>0</v>
      </c>
      <c r="M112" s="90">
        <f>(Tabella3[[#This Row],[Lombardy cumul. Data]]-L111)</f>
        <v>0</v>
      </c>
      <c r="N112" s="90">
        <f>Tabella3[[#This Row],[Lombardy data]]*NOT(ISBLANK(Tabella3[[#This Row],[Lombardy data]]))</f>
        <v>0</v>
      </c>
      <c r="O112" s="95">
        <f>Tabella8[[#This Row],[Lombardy fit]]</f>
        <v>61273.720002643167</v>
      </c>
      <c r="P112" s="90">
        <f>Tabella3[[#This Row],[Lombardy cumul. Fit]]/Kl</f>
        <v>0.70429563221428926</v>
      </c>
      <c r="Q112" s="90">
        <f>IFERROR(Kl*_xlfn.LOGNORM.DIST((Tabella3[[#This Row],[Day]]-pl),mu_l,sigma_l,FALSE),0)</f>
        <v>1196.4882383786437</v>
      </c>
      <c r="R112" s="90">
        <f>Tabella3[[#This Row],[Lombardy fit]]/y_l_peak</f>
        <v>0.68061389379604398</v>
      </c>
      <c r="S112" s="90">
        <f>Tabella3[[#This Row],[Lombardy fit]]*NOT(ISBLANK(Tabella3[[#This Row],[Lombardy data]]))</f>
        <v>1196.4882383786437</v>
      </c>
      <c r="T112" s="90">
        <f>Tabella3[[#This Row],[Lombardy fit]]+CIl</f>
        <v>3766.8705612950525</v>
      </c>
      <c r="U112" s="90">
        <f>MAX(Tabella3[[#This Row],[Lombardy fit]]-CIl,0)</f>
        <v>0</v>
      </c>
      <c r="V112" s="10">
        <f>Tabella8[[#This Row],[rest of Italy ]]</f>
        <v>172541</v>
      </c>
      <c r="W112" s="10">
        <f>(Tabella3[[#This Row],[rest of Italy cum. Data]]-V111)</f>
        <v>2442</v>
      </c>
      <c r="X112" s="90">
        <f>Tabella3[[#This Row],[rest of Italy data]]*NOT(ISBLANK(Tabella3[[#This Row],[rest of Italy data]]))</f>
        <v>2442</v>
      </c>
      <c r="Y112" s="95">
        <f>Tabella8[[#This Row],[rest of Italy fit]]</f>
        <v>102503.49296044245</v>
      </c>
      <c r="Z112" s="90">
        <f>Tabella3[[#This Row],[rest of Italy cumul. Fit]]/Ka</f>
        <v>0.69259124927722804</v>
      </c>
      <c r="AA112" s="90">
        <f>IFERROR(Ka*_xlfn.LOGNORM.DIST((Tabella3[[#This Row],[Day]]-pa),mu_a,sigma_a,FALSE),0)</f>
        <v>2405.0312191711232</v>
      </c>
      <c r="AB112" s="90">
        <f>Tabella3[[#This Row],[rest of Italy fit]]/y_a_peak</f>
        <v>0.71172687045695016</v>
      </c>
      <c r="AC112" s="90">
        <f>Tabella3[[#This Row],[rest of Italy fit]]*NOT(ISBLANK(Tabella3[[#This Row],[rest of Italy data]]))</f>
        <v>2405.0312191711232</v>
      </c>
      <c r="AD112" s="90">
        <f>Tabella3[[#This Row],[rest of Italy fit]]+CIa</f>
        <v>7743.87065433114</v>
      </c>
      <c r="AE112" s="90">
        <f>MAX(Tabella3[[#This Row],[rest of Italy fit]]-CIa,0)</f>
        <v>0</v>
      </c>
      <c r="AG112"/>
      <c r="AH112"/>
    </row>
    <row r="113" spans="2:34" x14ac:dyDescent="0.3">
      <c r="B113" s="9">
        <v>43936</v>
      </c>
      <c r="C113" s="4">
        <v>106</v>
      </c>
      <c r="D113" s="10">
        <f>Tabella8[[#This Row],[Spain cum. Cases]]</f>
        <v>177644</v>
      </c>
      <c r="E113" s="90">
        <f>(Tabella3[[#This Row],[Spain cumul. Cases]]-D112)</f>
        <v>5103</v>
      </c>
      <c r="F113" s="90">
        <f>Tabella3[[#This Row],[Spain daily cases]]*NOT(ISBLANK(Tabella3[[#This Row],[Spain daily cases]]))</f>
        <v>5103</v>
      </c>
      <c r="G113" s="90">
        <f>IFERROR(Kf*_xlfn.LOGNORM.DIST((Tabella3[[#This Row],[Day]]-pf),mu_f,sigma_f,FALSE),0)</f>
        <v>5379.440040265582</v>
      </c>
      <c r="H113" s="90">
        <f>Tabella3[[#This Row],[Spain daily cases fit]]/y_f_peak</f>
        <v>0.80594896941637839</v>
      </c>
      <c r="I113" s="90">
        <f>Tabella3[[#This Row],[Spain daily cases fit]]*NOT(ISBLANK(Tabella3[[#This Row],[Spain daily cases]]))</f>
        <v>5379.440040265582</v>
      </c>
      <c r="J113" s="90">
        <f>Tabella3[[#This Row],[Spain daily cases fit]]+CIf</f>
        <v>7722.1284579466746</v>
      </c>
      <c r="K113" s="90">
        <f>MAX(Tabella3[[#This Row],[Spain daily cases fit]]-CIf,0)</f>
        <v>3036.7516225844893</v>
      </c>
      <c r="L113" s="4">
        <f>Tabella8[[#This Row],[Lombardy]]</f>
        <v>0</v>
      </c>
      <c r="M113" s="90">
        <f>(Tabella3[[#This Row],[Lombardy cumul. Data]]-L112)</f>
        <v>0</v>
      </c>
      <c r="N113" s="90">
        <f>Tabella3[[#This Row],[Lombardy data]]*NOT(ISBLANK(Tabella3[[#This Row],[Lombardy data]]))</f>
        <v>0</v>
      </c>
      <c r="O113" s="95">
        <f>Tabella8[[#This Row],[Lombardy fit]]</f>
        <v>62449.3411037525</v>
      </c>
      <c r="P113" s="90">
        <f>Tabella3[[#This Row],[Lombardy cumul. Fit]]/Kl</f>
        <v>0.71780851843393678</v>
      </c>
      <c r="Q113" s="90">
        <f>IFERROR(Kl*_xlfn.LOGNORM.DIST((Tabella3[[#This Row],[Day]]-pl),mu_l,sigma_l,FALSE),0)</f>
        <v>1154.7876425778054</v>
      </c>
      <c r="R113" s="90">
        <f>Tabella3[[#This Row],[Lombardy fit]]/y_l_peak</f>
        <v>0.65689280405087114</v>
      </c>
      <c r="S113" s="90">
        <f>Tabella3[[#This Row],[Lombardy fit]]*NOT(ISBLANK(Tabella3[[#This Row],[Lombardy data]]))</f>
        <v>1154.7876425778054</v>
      </c>
      <c r="T113" s="90">
        <f>Tabella3[[#This Row],[Lombardy fit]]+CIl</f>
        <v>3725.169965494214</v>
      </c>
      <c r="U113" s="90">
        <f>MAX(Tabella3[[#This Row],[Lombardy fit]]-CIl,0)</f>
        <v>0</v>
      </c>
      <c r="V113" s="10">
        <f>Tabella8[[#This Row],[rest of Italy ]]</f>
        <v>177644</v>
      </c>
      <c r="W113" s="10">
        <f>(Tabella3[[#This Row],[rest of Italy cum. Data]]-V112)</f>
        <v>5103</v>
      </c>
      <c r="X113" s="90">
        <f>Tabella3[[#This Row],[rest of Italy data]]*NOT(ISBLANK(Tabella3[[#This Row],[rest of Italy data]]))</f>
        <v>5103</v>
      </c>
      <c r="Y113" s="95">
        <f>Tabella8[[#This Row],[rest of Italy fit]]</f>
        <v>104862.64932420803</v>
      </c>
      <c r="Z113" s="90">
        <f>Tabella3[[#This Row],[rest of Italy cumul. Fit]]/Ka</f>
        <v>0.70853149683397509</v>
      </c>
      <c r="AA113" s="90">
        <f>IFERROR(Ka*_xlfn.LOGNORM.DIST((Tabella3[[#This Row],[Day]]-pa),mu_a,sigma_a,FALSE),0)</f>
        <v>2313.2739932466784</v>
      </c>
      <c r="AB113" s="90">
        <f>Tabella3[[#This Row],[rest of Italy fit]]/y_a_peak</f>
        <v>0.68457292637154921</v>
      </c>
      <c r="AC113" s="90">
        <f>Tabella3[[#This Row],[rest of Italy fit]]*NOT(ISBLANK(Tabella3[[#This Row],[rest of Italy data]]))</f>
        <v>2313.2739932466784</v>
      </c>
      <c r="AD113" s="90">
        <f>Tabella3[[#This Row],[rest of Italy fit]]+CIa</f>
        <v>7652.1134284066957</v>
      </c>
      <c r="AE113" s="90">
        <f>MAX(Tabella3[[#This Row],[rest of Italy fit]]-CIa,0)</f>
        <v>0</v>
      </c>
      <c r="AG113"/>
      <c r="AH113"/>
    </row>
    <row r="114" spans="2:34" x14ac:dyDescent="0.3">
      <c r="B114" s="9">
        <v>43937</v>
      </c>
      <c r="C114" s="4">
        <v>107</v>
      </c>
      <c r="D114" s="10">
        <f>Tabella8[[#This Row],[Spain cum. Cases]]</f>
        <v>184948</v>
      </c>
      <c r="E114" s="90">
        <f>(Tabella3[[#This Row],[Spain cumul. Cases]]-D113)</f>
        <v>7304</v>
      </c>
      <c r="F114" s="90">
        <f>Tabella3[[#This Row],[Spain daily cases]]*NOT(ISBLANK(Tabella3[[#This Row],[Spain daily cases]]))</f>
        <v>7304</v>
      </c>
      <c r="G114" s="90">
        <f>IFERROR(Kf*_xlfn.LOGNORM.DIST((Tabella3[[#This Row],[Day]]-pf),mu_f,sigma_f,FALSE),0)</f>
        <v>5193.3672970394437</v>
      </c>
      <c r="H114" s="90">
        <f>Tabella3[[#This Row],[Spain daily cases fit]]/y_f_peak</f>
        <v>0.77807150735395514</v>
      </c>
      <c r="I114" s="90">
        <f>Tabella3[[#This Row],[Spain daily cases fit]]*NOT(ISBLANK(Tabella3[[#This Row],[Spain daily cases]]))</f>
        <v>5193.3672970394437</v>
      </c>
      <c r="J114" s="90">
        <f>Tabella3[[#This Row],[Spain daily cases fit]]+CIf</f>
        <v>7536.0557147205363</v>
      </c>
      <c r="K114" s="90">
        <f>MAX(Tabella3[[#This Row],[Spain daily cases fit]]-CIf,0)</f>
        <v>2850.678879358351</v>
      </c>
      <c r="L114" s="4">
        <f>Tabella8[[#This Row],[Lombardy]]</f>
        <v>0</v>
      </c>
      <c r="M114" s="90">
        <f>(Tabella3[[#This Row],[Lombardy cumul. Data]]-L113)</f>
        <v>0</v>
      </c>
      <c r="N114" s="90">
        <f>Tabella3[[#This Row],[Lombardy data]]*NOT(ISBLANK(Tabella3[[#This Row],[Lombardy data]]))</f>
        <v>0</v>
      </c>
      <c r="O114" s="95">
        <f>Tabella8[[#This Row],[Lombardy fit]]</f>
        <v>63583.38566421374</v>
      </c>
      <c r="P114" s="90">
        <f>Tabella3[[#This Row],[Lombardy cumul. Fit]]/Kl</f>
        <v>0.73084351338176712</v>
      </c>
      <c r="Q114" s="90">
        <f>IFERROR(Kl*_xlfn.LOGNORM.DIST((Tabella3[[#This Row],[Day]]-pl),mu_l,sigma_l,FALSE),0)</f>
        <v>1113.3576842095831</v>
      </c>
      <c r="R114" s="90">
        <f>Tabella3[[#This Row],[Lombardy fit]]/y_l_peak</f>
        <v>0.63332566450003491</v>
      </c>
      <c r="S114" s="90">
        <f>Tabella3[[#This Row],[Lombardy fit]]*NOT(ISBLANK(Tabella3[[#This Row],[Lombardy data]]))</f>
        <v>1113.3576842095831</v>
      </c>
      <c r="T114" s="90">
        <f>Tabella3[[#This Row],[Lombardy fit]]+CIl</f>
        <v>3683.7400071259917</v>
      </c>
      <c r="U114" s="90">
        <f>MAX(Tabella3[[#This Row],[Lombardy fit]]-CIl,0)</f>
        <v>0</v>
      </c>
      <c r="V114" s="10">
        <f>Tabella8[[#This Row],[rest of Italy ]]</f>
        <v>184948</v>
      </c>
      <c r="W114" s="10">
        <f>(Tabella3[[#This Row],[rest of Italy cum. Data]]-V113)</f>
        <v>7304</v>
      </c>
      <c r="X114" s="90">
        <f>Tabella3[[#This Row],[rest of Italy data]]*NOT(ISBLANK(Tabella3[[#This Row],[rest of Italy data]]))</f>
        <v>7304</v>
      </c>
      <c r="Y114" s="95">
        <f>Tabella8[[#This Row],[rest of Italy fit]]</f>
        <v>107130.10063210889</v>
      </c>
      <c r="Z114" s="90">
        <f>Tabella3[[#This Row],[rest of Italy cumul. Fit]]/Ka</f>
        <v>0.72385211556274742</v>
      </c>
      <c r="AA114" s="90">
        <f>IFERROR(Ka*_xlfn.LOGNORM.DIST((Tabella3[[#This Row],[Day]]-pa),mu_a,sigma_a,FALSE),0)</f>
        <v>2221.6942164173033</v>
      </c>
      <c r="AB114" s="90">
        <f>Tabella3[[#This Row],[rest of Italy fit]]/y_a_peak</f>
        <v>0.6574714952382017</v>
      </c>
      <c r="AC114" s="90">
        <f>Tabella3[[#This Row],[rest of Italy fit]]*NOT(ISBLANK(Tabella3[[#This Row],[rest of Italy data]]))</f>
        <v>2221.6942164173033</v>
      </c>
      <c r="AD114" s="90">
        <f>Tabella3[[#This Row],[rest of Italy fit]]+CIa</f>
        <v>7560.5336515773206</v>
      </c>
      <c r="AE114" s="90">
        <f>MAX(Tabella3[[#This Row],[rest of Italy fit]]-CIa,0)</f>
        <v>0</v>
      </c>
    </row>
    <row r="115" spans="2:34" x14ac:dyDescent="0.3">
      <c r="B115" s="9">
        <v>43938</v>
      </c>
      <c r="C115" s="4">
        <v>108</v>
      </c>
      <c r="D115" s="10">
        <f>Tabella8[[#This Row],[Spain cum. Cases]]</f>
        <v>190839</v>
      </c>
      <c r="E115" s="90">
        <f>(Tabella3[[#This Row],[Spain cumul. Cases]]-D114)</f>
        <v>5891</v>
      </c>
      <c r="F115" s="90">
        <f>Tabella3[[#This Row],[Spain daily cases]]*NOT(ISBLANK(Tabella3[[#This Row],[Spain daily cases]]))</f>
        <v>5891</v>
      </c>
      <c r="G115" s="90">
        <f>IFERROR(Kf*_xlfn.LOGNORM.DIST((Tabella3[[#This Row],[Day]]-pf),mu_f,sigma_f,FALSE),0)</f>
        <v>5003.0941698685765</v>
      </c>
      <c r="H115" s="90">
        <f>Tabella3[[#This Row],[Spain daily cases fit]]/y_f_peak</f>
        <v>0.74956474278307961</v>
      </c>
      <c r="I115" s="90">
        <f>Tabella3[[#This Row],[Spain daily cases fit]]*NOT(ISBLANK(Tabella3[[#This Row],[Spain daily cases]]))</f>
        <v>5003.0941698685765</v>
      </c>
      <c r="J115" s="90">
        <f>Tabella3[[#This Row],[Spain daily cases fit]]+CIf</f>
        <v>7345.7825875496692</v>
      </c>
      <c r="K115" s="90">
        <f>MAX(Tabella3[[#This Row],[Spain daily cases fit]]-CIf,0)</f>
        <v>2660.4057521874838</v>
      </c>
      <c r="L115" s="4">
        <f>Tabella8[[#This Row],[Lombardy]]</f>
        <v>0</v>
      </c>
      <c r="M115" s="90">
        <f>(Tabella3[[#This Row],[Lombardy cumul. Data]]-L114)</f>
        <v>0</v>
      </c>
      <c r="N115" s="90">
        <f>Tabella3[[#This Row],[Lombardy data]]*NOT(ISBLANK(Tabella3[[#This Row],[Lombardy data]]))</f>
        <v>0</v>
      </c>
      <c r="O115" s="95">
        <f>Tabella8[[#This Row],[Lombardy fit]]</f>
        <v>64676.189476553751</v>
      </c>
      <c r="P115" s="90">
        <f>Tabella3[[#This Row],[Lombardy cumul. Fit]]/Kl</f>
        <v>0.74340447674199717</v>
      </c>
      <c r="Q115" s="90">
        <f>IFERROR(Kl*_xlfn.LOGNORM.DIST((Tabella3[[#This Row],[Day]]-pl),mu_l,sigma_l,FALSE),0)</f>
        <v>1072.3262694491302</v>
      </c>
      <c r="R115" s="90">
        <f>Tabella3[[#This Row],[Lombardy fit]]/y_l_peak</f>
        <v>0.60998523366895918</v>
      </c>
      <c r="S115" s="90">
        <f>Tabella3[[#This Row],[Lombardy fit]]*NOT(ISBLANK(Tabella3[[#This Row],[Lombardy data]]))</f>
        <v>1072.3262694491302</v>
      </c>
      <c r="T115" s="90">
        <f>Tabella3[[#This Row],[Lombardy fit]]+CIl</f>
        <v>3642.7085923655386</v>
      </c>
      <c r="U115" s="90">
        <f>MAX(Tabella3[[#This Row],[Lombardy fit]]-CIl,0)</f>
        <v>0</v>
      </c>
      <c r="V115" s="10">
        <f>Tabella8[[#This Row],[rest of Italy ]]</f>
        <v>190839</v>
      </c>
      <c r="W115" s="10">
        <f>(Tabella3[[#This Row],[rest of Italy cum. Data]]-V114)</f>
        <v>5891</v>
      </c>
      <c r="X115" s="90">
        <f>Tabella3[[#This Row],[rest of Italy data]]*NOT(ISBLANK(Tabella3[[#This Row],[rest of Italy data]]))</f>
        <v>5891</v>
      </c>
      <c r="Y115" s="95">
        <f>Tabella8[[#This Row],[rest of Italy fit]]</f>
        <v>109306.23571102909</v>
      </c>
      <c r="Z115" s="90">
        <f>Tabella3[[#This Row],[rest of Italy cumul. Fit]]/Ka</f>
        <v>0.73855573267252705</v>
      </c>
      <c r="AA115" s="90">
        <f>IFERROR(Ka*_xlfn.LOGNORM.DIST((Tabella3[[#This Row],[Day]]-pa),mu_a,sigma_a,FALSE),0)</f>
        <v>2130.7067531950643</v>
      </c>
      <c r="AB115" s="90">
        <f>Tabella3[[#This Row],[rest of Italy fit]]/y_a_peak</f>
        <v>0.63054534894380987</v>
      </c>
      <c r="AC115" s="90">
        <f>Tabella3[[#This Row],[rest of Italy fit]]*NOT(ISBLANK(Tabella3[[#This Row],[rest of Italy data]]))</f>
        <v>2130.7067531950643</v>
      </c>
      <c r="AD115" s="90">
        <f>Tabella3[[#This Row],[rest of Italy fit]]+CIa</f>
        <v>7469.5461883550815</v>
      </c>
      <c r="AE115" s="90">
        <f>MAX(Tabella3[[#This Row],[rest of Italy fit]]-CIa,0)</f>
        <v>0</v>
      </c>
    </row>
    <row r="116" spans="2:34" x14ac:dyDescent="0.3">
      <c r="B116" s="9">
        <v>43939</v>
      </c>
      <c r="C116" s="4">
        <v>109</v>
      </c>
      <c r="D116" s="10">
        <f>Tabella8[[#This Row],[Spain cum. Cases]]</f>
        <v>191726</v>
      </c>
      <c r="E116" s="90">
        <f>(Tabella3[[#This Row],[Spain cumul. Cases]]-D115)</f>
        <v>887</v>
      </c>
      <c r="F116" s="90">
        <f>Tabella3[[#This Row],[Spain daily cases]]*NOT(ISBLANK(Tabella3[[#This Row],[Spain daily cases]]))</f>
        <v>887</v>
      </c>
      <c r="G116" s="90">
        <f>IFERROR(Kf*_xlfn.LOGNORM.DIST((Tabella3[[#This Row],[Day]]-pf),mu_f,sigma_f,FALSE),0)</f>
        <v>4810.0103509165019</v>
      </c>
      <c r="H116" s="90">
        <f>Tabella3[[#This Row],[Spain daily cases fit]]/y_f_peak</f>
        <v>0.72063687970985901</v>
      </c>
      <c r="I116" s="90">
        <f>Tabella3[[#This Row],[Spain daily cases fit]]*NOT(ISBLANK(Tabella3[[#This Row],[Spain daily cases]]))</f>
        <v>4810.0103509165019</v>
      </c>
      <c r="J116" s="90">
        <f>Tabella3[[#This Row],[Spain daily cases fit]]+CIf</f>
        <v>7152.6987685975946</v>
      </c>
      <c r="K116" s="90">
        <f>MAX(Tabella3[[#This Row],[Spain daily cases fit]]-CIf,0)</f>
        <v>2467.3219332354092</v>
      </c>
      <c r="L116" s="4">
        <f>Tabella8[[#This Row],[Lombardy]]</f>
        <v>0</v>
      </c>
      <c r="M116" s="90">
        <f>(Tabella3[[#This Row],[Lombardy cumul. Data]]-L115)</f>
        <v>0</v>
      </c>
      <c r="N116" s="90">
        <f>Tabella3[[#This Row],[Lombardy data]]*NOT(ISBLANK(Tabella3[[#This Row],[Lombardy data]]))</f>
        <v>0</v>
      </c>
      <c r="O116" s="95">
        <f>Tabella8[[#This Row],[Lombardy fit]]</f>
        <v>65728.209141519241</v>
      </c>
      <c r="P116" s="90">
        <f>Tabella3[[#This Row],[Lombardy cumul. Fit]]/Kl</f>
        <v>0.75549665679907174</v>
      </c>
      <c r="Q116" s="90">
        <f>IFERROR(Kl*_xlfn.LOGNORM.DIST((Tabella3[[#This Row],[Day]]-pl),mu_l,sigma_l,FALSE),0)</f>
        <v>1031.8072243341942</v>
      </c>
      <c r="R116" s="90">
        <f>Tabella3[[#This Row],[Lombardy fit]]/y_l_peak</f>
        <v>0.58693626069623295</v>
      </c>
      <c r="S116" s="90">
        <f>Tabella3[[#This Row],[Lombardy fit]]*NOT(ISBLANK(Tabella3[[#This Row],[Lombardy data]]))</f>
        <v>1031.8072243341942</v>
      </c>
      <c r="T116" s="90">
        <f>Tabella3[[#This Row],[Lombardy fit]]+CIl</f>
        <v>3602.189547250603</v>
      </c>
      <c r="U116" s="90">
        <f>MAX(Tabella3[[#This Row],[Lombardy fit]]-CIl,0)</f>
        <v>0</v>
      </c>
      <c r="V116" s="10">
        <f>Tabella8[[#This Row],[rest of Italy ]]</f>
        <v>191726</v>
      </c>
      <c r="W116" s="10">
        <f>(Tabella3[[#This Row],[rest of Italy cum. Data]]-V115)</f>
        <v>887</v>
      </c>
      <c r="X116" s="90">
        <f>Tabella3[[#This Row],[rest of Italy data]]*NOT(ISBLANK(Tabella3[[#This Row],[rest of Italy data]]))</f>
        <v>887</v>
      </c>
      <c r="Y116" s="95">
        <f>Tabella8[[#This Row],[rest of Italy fit]]</f>
        <v>111391.83488743517</v>
      </c>
      <c r="Z116" s="90">
        <f>Tabella3[[#This Row],[rest of Italy cumul. Fit]]/Ka</f>
        <v>0.75264762064005308</v>
      </c>
      <c r="AA116" s="90">
        <f>IFERROR(Ka*_xlfn.LOGNORM.DIST((Tabella3[[#This Row],[Day]]-pa),mu_a,sigma_a,FALSE),0)</f>
        <v>2040.6800577859933</v>
      </c>
      <c r="AB116" s="90">
        <f>Tabella3[[#This Row],[rest of Italy fit]]/y_a_peak</f>
        <v>0.60390352505798028</v>
      </c>
      <c r="AC116" s="90">
        <f>Tabella3[[#This Row],[rest of Italy fit]]*NOT(ISBLANK(Tabella3[[#This Row],[rest of Italy data]]))</f>
        <v>2040.6800577859933</v>
      </c>
      <c r="AD116" s="90">
        <f>Tabella3[[#This Row],[rest of Italy fit]]+CIa</f>
        <v>7379.5194929460104</v>
      </c>
      <c r="AE116" s="90">
        <f>MAX(Tabella3[[#This Row],[rest of Italy fit]]-CIa,0)</f>
        <v>0</v>
      </c>
    </row>
    <row r="117" spans="2:34" x14ac:dyDescent="0.3">
      <c r="B117" s="9">
        <v>43940</v>
      </c>
      <c r="C117" s="4">
        <v>110</v>
      </c>
      <c r="D117" s="10">
        <f>Tabella8[[#This Row],[Spain cum. Cases]]</f>
        <v>198674</v>
      </c>
      <c r="E117" s="90">
        <f>(Tabella3[[#This Row],[Spain cumul. Cases]]-D116)</f>
        <v>6948</v>
      </c>
      <c r="F117" s="90">
        <f>Tabella3[[#This Row],[Spain daily cases]]*NOT(ISBLANK(Tabella3[[#This Row],[Spain daily cases]]))</f>
        <v>6948</v>
      </c>
      <c r="G117" s="90">
        <f>IFERROR(Kf*_xlfn.LOGNORM.DIST((Tabella3[[#This Row],[Day]]-pf),mu_f,sigma_f,FALSE),0)</f>
        <v>4615.3970233170312</v>
      </c>
      <c r="H117" s="90">
        <f>Tabella3[[#This Row],[Spain daily cases fit]]/y_f_peak</f>
        <v>0.69147986529210148</v>
      </c>
      <c r="I117" s="90">
        <f>Tabella3[[#This Row],[Spain daily cases fit]]*NOT(ISBLANK(Tabella3[[#This Row],[Spain daily cases]]))</f>
        <v>4615.3970233170312</v>
      </c>
      <c r="J117" s="90">
        <f>Tabella3[[#This Row],[Spain daily cases fit]]+CIf</f>
        <v>6958.0854409981239</v>
      </c>
      <c r="K117" s="90">
        <f>MAX(Tabella3[[#This Row],[Spain daily cases fit]]-CIf,0)</f>
        <v>2272.7086056359385</v>
      </c>
      <c r="L117" s="4">
        <f>Tabella8[[#This Row],[Lombardy]]</f>
        <v>0</v>
      </c>
      <c r="M117" s="90">
        <f>(Tabella3[[#This Row],[Lombardy cumul. Data]]-L116)</f>
        <v>0</v>
      </c>
      <c r="N117" s="90">
        <f>Tabella3[[#This Row],[Lombardy data]]*NOT(ISBLANK(Tabella3[[#This Row],[Lombardy data]]))</f>
        <v>0</v>
      </c>
      <c r="O117" s="95">
        <f>Tabella8[[#This Row],[Lombardy fit]]</f>
        <v>66740.0083428785</v>
      </c>
      <c r="P117" s="90">
        <f>Tabella3[[#This Row],[Lombardy cumul. Fit]]/Kl</f>
        <v>0.76712653267676434</v>
      </c>
      <c r="Q117" s="90">
        <f>IFERROR(Kl*_xlfn.LOGNORM.DIST((Tabella3[[#This Row],[Day]]-pl),mu_l,sigma_l,FALSE),0)</f>
        <v>991.90101172920083</v>
      </c>
      <c r="R117" s="90">
        <f>Tabella3[[#This Row],[Lombardy fit]]/y_l_peak</f>
        <v>0.56423589317357126</v>
      </c>
      <c r="S117" s="90">
        <f>Tabella3[[#This Row],[Lombardy fit]]*NOT(ISBLANK(Tabella3[[#This Row],[Lombardy data]]))</f>
        <v>991.90101172920083</v>
      </c>
      <c r="T117" s="90">
        <f>Tabella3[[#This Row],[Lombardy fit]]+CIl</f>
        <v>3562.2833346456096</v>
      </c>
      <c r="U117" s="90">
        <f>MAX(Tabella3[[#This Row],[Lombardy fit]]-CIl,0)</f>
        <v>0</v>
      </c>
      <c r="V117" s="10">
        <f>Tabella8[[#This Row],[rest of Italy ]]</f>
        <v>198674</v>
      </c>
      <c r="W117" s="10">
        <f>(Tabella3[[#This Row],[rest of Italy cum. Data]]-V116)</f>
        <v>6948</v>
      </c>
      <c r="X117" s="90">
        <f>Tabella3[[#This Row],[rest of Italy data]]*NOT(ISBLANK(Tabella3[[#This Row],[rest of Italy data]]))</f>
        <v>6948</v>
      </c>
      <c r="Y117" s="95">
        <f>Tabella8[[#This Row],[rest of Italy fit]]</f>
        <v>113388.02458773604</v>
      </c>
      <c r="Z117" s="90">
        <f>Tabella3[[#This Row],[rest of Italy cumul. Fit]]/Ka</f>
        <v>0.76613539045546086</v>
      </c>
      <c r="AA117" s="90">
        <f>IFERROR(Ka*_xlfn.LOGNORM.DIST((Tabella3[[#This Row],[Day]]-pa),mu_a,sigma_a,FALSE),0)</f>
        <v>1951.938244562695</v>
      </c>
      <c r="AB117" s="90">
        <f>Tabella3[[#This Row],[rest of Italy fit]]/y_a_peak</f>
        <v>0.57764193955313148</v>
      </c>
      <c r="AC117" s="90">
        <f>Tabella3[[#This Row],[rest of Italy fit]]*NOT(ISBLANK(Tabella3[[#This Row],[rest of Italy data]]))</f>
        <v>1951.938244562695</v>
      </c>
      <c r="AD117" s="90">
        <f>Tabella3[[#This Row],[rest of Italy fit]]+CIa</f>
        <v>7290.7776797227125</v>
      </c>
      <c r="AE117" s="90">
        <f>MAX(Tabella3[[#This Row],[rest of Italy fit]]-CIa,0)</f>
        <v>0</v>
      </c>
    </row>
    <row r="118" spans="2:34" x14ac:dyDescent="0.3">
      <c r="B118" s="9">
        <v>43941</v>
      </c>
      <c r="C118" s="4">
        <v>111</v>
      </c>
      <c r="D118" s="10">
        <f>Tabella8[[#This Row],[Spain cum. Cases]]</f>
        <v>200210</v>
      </c>
      <c r="E118" s="90">
        <f>(Tabella3[[#This Row],[Spain cumul. Cases]]-D117)</f>
        <v>1536</v>
      </c>
      <c r="F118" s="90">
        <f>Tabella3[[#This Row],[Spain daily cases]]*NOT(ISBLANK(Tabella3[[#This Row],[Spain daily cases]]))</f>
        <v>1536</v>
      </c>
      <c r="G118" s="90">
        <f>IFERROR(Kf*_xlfn.LOGNORM.DIST((Tabella3[[#This Row],[Day]]-pf),mu_f,sigma_f,FALSE),0)</f>
        <v>4420.424630412911</v>
      </c>
      <c r="H118" s="90">
        <f>Tabella3[[#This Row],[Spain daily cases fit]]/y_f_peak</f>
        <v>0.66226905562612692</v>
      </c>
      <c r="I118" s="90">
        <f>Tabella3[[#This Row],[Spain daily cases fit]]*NOT(ISBLANK(Tabella3[[#This Row],[Spain daily cases]]))</f>
        <v>4420.424630412911</v>
      </c>
      <c r="J118" s="90">
        <f>Tabella3[[#This Row],[Spain daily cases fit]]+CIf</f>
        <v>6763.1130480940037</v>
      </c>
      <c r="K118" s="90">
        <f>MAX(Tabella3[[#This Row],[Spain daily cases fit]]-CIf,0)</f>
        <v>2077.7362127318183</v>
      </c>
      <c r="L118" s="4">
        <f>Tabella8[[#This Row],[Lombardy]]</f>
        <v>0</v>
      </c>
      <c r="M118" s="90">
        <f>(Tabella3[[#This Row],[Lombardy cumul. Data]]-L117)</f>
        <v>0</v>
      </c>
      <c r="N118" s="90">
        <f>Tabella3[[#This Row],[Lombardy data]]*NOT(ISBLANK(Tabella3[[#This Row],[Lombardy data]]))</f>
        <v>0</v>
      </c>
      <c r="O118" s="95">
        <f>Tabella8[[#This Row],[Lombardy fit]]</f>
        <v>67712.244857883314</v>
      </c>
      <c r="P118" s="90">
        <f>Tabella3[[#This Row],[Lombardy cumul. Fit]]/Kl</f>
        <v>0.77830166503314158</v>
      </c>
      <c r="Q118" s="90">
        <f>IFERROR(Kl*_xlfn.LOGNORM.DIST((Tabella3[[#This Row],[Day]]-pl),mu_l,sigma_l,FALSE),0)</f>
        <v>952.6954831916421</v>
      </c>
      <c r="R118" s="90">
        <f>Tabella3[[#This Row],[Lombardy fit]]/y_l_peak</f>
        <v>0.54193410483970605</v>
      </c>
      <c r="S118" s="90">
        <f>Tabella3[[#This Row],[Lombardy fit]]*NOT(ISBLANK(Tabella3[[#This Row],[Lombardy data]]))</f>
        <v>952.6954831916421</v>
      </c>
      <c r="T118" s="90">
        <f>Tabella3[[#This Row],[Lombardy fit]]+CIl</f>
        <v>3523.0778061080509</v>
      </c>
      <c r="U118" s="90">
        <f>MAX(Tabella3[[#This Row],[Lombardy fit]]-CIl,0)</f>
        <v>0</v>
      </c>
      <c r="V118" s="10">
        <f>Tabella8[[#This Row],[rest of Italy ]]</f>
        <v>200210</v>
      </c>
      <c r="W118" s="10">
        <f>(Tabella3[[#This Row],[rest of Italy cum. Data]]-V117)</f>
        <v>1536</v>
      </c>
      <c r="X118" s="90">
        <f>Tabella3[[#This Row],[rest of Italy data]]*NOT(ISBLANK(Tabella3[[#This Row],[rest of Italy data]]))</f>
        <v>1536</v>
      </c>
      <c r="Y118" s="95">
        <f>Tabella8[[#This Row],[rest of Italy fit]]</f>
        <v>115296.23414275379</v>
      </c>
      <c r="Z118" s="90">
        <f>Tabella3[[#This Row],[rest of Italy cumul. Fit]]/Ka</f>
        <v>0.77902869976056432</v>
      </c>
      <c r="AA118" s="90">
        <f>IFERROR(Ka*_xlfn.LOGNORM.DIST((Tabella3[[#This Row],[Day]]-pa),mu_a,sigma_a,FALSE),0)</f>
        <v>1864.7634123870196</v>
      </c>
      <c r="AB118" s="90">
        <f>Tabella3[[#This Row],[rest of Italy fit]]/y_a_peak</f>
        <v>0.55184407464708396</v>
      </c>
      <c r="AC118" s="90">
        <f>Tabella3[[#This Row],[rest of Italy fit]]*NOT(ISBLANK(Tabella3[[#This Row],[rest of Italy data]]))</f>
        <v>1864.7634123870196</v>
      </c>
      <c r="AD118" s="90">
        <f>Tabella3[[#This Row],[rest of Italy fit]]+CIa</f>
        <v>7203.6028475470366</v>
      </c>
      <c r="AE118" s="90">
        <f>MAX(Tabella3[[#This Row],[rest of Italy fit]]-CIa,0)</f>
        <v>0</v>
      </c>
    </row>
    <row r="119" spans="2:34" x14ac:dyDescent="0.3">
      <c r="B119" s="9">
        <v>43942</v>
      </c>
      <c r="C119" s="4">
        <v>112</v>
      </c>
      <c r="D119" s="10">
        <f>Tabella8[[#This Row],[Spain cum. Cases]]</f>
        <v>204178</v>
      </c>
      <c r="E119" s="90">
        <f>(Tabella3[[#This Row],[Spain cumul. Cases]]-D118)</f>
        <v>3968</v>
      </c>
      <c r="F119" s="90">
        <f>Tabella3[[#This Row],[Spain daily cases]]*NOT(ISBLANK(Tabella3[[#This Row],[Spain daily cases]]))</f>
        <v>3968</v>
      </c>
      <c r="G119" s="90">
        <f>IFERROR(Kf*_xlfn.LOGNORM.DIST((Tabella3[[#This Row],[Day]]-pf),mu_f,sigma_f,FALSE),0)</f>
        <v>4226.1525320402661</v>
      </c>
      <c r="H119" s="90">
        <f>Tabella3[[#This Row],[Spain daily cases fit]]/y_f_peak</f>
        <v>0.63316316425122077</v>
      </c>
      <c r="I119" s="90">
        <f>Tabella3[[#This Row],[Spain daily cases fit]]*NOT(ISBLANK(Tabella3[[#This Row],[Spain daily cases]]))</f>
        <v>4226.1525320402661</v>
      </c>
      <c r="J119" s="90">
        <f>Tabella3[[#This Row],[Spain daily cases fit]]+CIf</f>
        <v>6568.8409497213588</v>
      </c>
      <c r="K119" s="90">
        <f>MAX(Tabella3[[#This Row],[Spain daily cases fit]]-CIf,0)</f>
        <v>1883.4641143591734</v>
      </c>
      <c r="L119" s="4">
        <f>Tabella8[[#This Row],[Lombardy]]</f>
        <v>0</v>
      </c>
      <c r="M119" s="90">
        <f>(Tabella3[[#This Row],[Lombardy cumul. Data]]-L118)</f>
        <v>0</v>
      </c>
      <c r="N119" s="90">
        <f>Tabella3[[#This Row],[Lombardy data]]*NOT(ISBLANK(Tabella3[[#This Row],[Lombardy data]]))</f>
        <v>0</v>
      </c>
      <c r="O119" s="95">
        <f>Tabella8[[#This Row],[Lombardy fit]]</f>
        <v>68645.658331171959</v>
      </c>
      <c r="P119" s="90">
        <f>Tabella3[[#This Row],[Lombardy cumul. Fit]]/Kl</f>
        <v>0.78903055553071222</v>
      </c>
      <c r="Q119" s="90">
        <f>IFERROR(Kl*_xlfn.LOGNORM.DIST((Tabella3[[#This Row],[Day]]-pl),mu_l,sigma_l,FALSE),0)</f>
        <v>914.26665184004321</v>
      </c>
      <c r="R119" s="90">
        <f>Tabella3[[#This Row],[Lombardy fit]]/y_l_peak</f>
        <v>0.5200741352208772</v>
      </c>
      <c r="S119" s="90">
        <f>Tabella3[[#This Row],[Lombardy fit]]*NOT(ISBLANK(Tabella3[[#This Row],[Lombardy data]]))</f>
        <v>914.26665184004321</v>
      </c>
      <c r="T119" s="90">
        <f>Tabella3[[#This Row],[Lombardy fit]]+CIl</f>
        <v>3484.6489747564519</v>
      </c>
      <c r="U119" s="90">
        <f>MAX(Tabella3[[#This Row],[Lombardy fit]]-CIl,0)</f>
        <v>0</v>
      </c>
      <c r="V119" s="10">
        <f>Tabella8[[#This Row],[rest of Italy ]]</f>
        <v>204178</v>
      </c>
      <c r="W119" s="10">
        <f>(Tabella3[[#This Row],[rest of Italy cum. Data]]-V118)</f>
        <v>3968</v>
      </c>
      <c r="X119" s="90">
        <f>Tabella3[[#This Row],[rest of Italy data]]*NOT(ISBLANK(Tabella3[[#This Row],[rest of Italy data]]))</f>
        <v>3968</v>
      </c>
      <c r="Y119" s="95">
        <f>Tabella8[[#This Row],[rest of Italy fit]]</f>
        <v>117118.15501163721</v>
      </c>
      <c r="Z119" s="90">
        <f>Tabella3[[#This Row],[rest of Italy cumul. Fit]]/Ka</f>
        <v>0.79133897733472647</v>
      </c>
      <c r="AA119" s="90">
        <f>IFERROR(Ka*_xlfn.LOGNORM.DIST((Tabella3[[#This Row],[Day]]-pa),mu_a,sigma_a,FALSE),0)</f>
        <v>1779.3981474922105</v>
      </c>
      <c r="AB119" s="90">
        <f>Tabella3[[#This Row],[rest of Italy fit]]/y_a_peak</f>
        <v>0.52658171948719934</v>
      </c>
      <c r="AC119" s="90">
        <f>Tabella3[[#This Row],[rest of Italy fit]]*NOT(ISBLANK(Tabella3[[#This Row],[rest of Italy data]]))</f>
        <v>1779.3981474922105</v>
      </c>
      <c r="AD119" s="90">
        <f>Tabella3[[#This Row],[rest of Italy fit]]+CIa</f>
        <v>7118.2375826522275</v>
      </c>
      <c r="AE119" s="90">
        <f>MAX(Tabella3[[#This Row],[rest of Italy fit]]-CIa,0)</f>
        <v>0</v>
      </c>
    </row>
    <row r="120" spans="2:34" x14ac:dyDescent="0.3">
      <c r="B120" s="9">
        <v>43943</v>
      </c>
      <c r="C120" s="4">
        <v>113</v>
      </c>
      <c r="D120" s="10">
        <f>Tabella8[[#This Row],[Spain cum. Cases]]</f>
        <v>208389</v>
      </c>
      <c r="E120" s="90">
        <f>(Tabella3[[#This Row],[Spain cumul. Cases]]-D119)</f>
        <v>4211</v>
      </c>
      <c r="F120" s="90">
        <f>Tabella3[[#This Row],[Spain daily cases]]*NOT(ISBLANK(Tabella3[[#This Row],[Spain daily cases]]))</f>
        <v>4211</v>
      </c>
      <c r="G120" s="90">
        <f>IFERROR(Kf*_xlfn.LOGNORM.DIST((Tabella3[[#This Row],[Day]]-pf),mu_f,sigma_f,FALSE),0)</f>
        <v>4033.5302697535976</v>
      </c>
      <c r="H120" s="90">
        <f>Tabella3[[#This Row],[Spain daily cases fit]]/y_f_peak</f>
        <v>0.60430445170594116</v>
      </c>
      <c r="I120" s="90">
        <f>Tabella3[[#This Row],[Spain daily cases fit]]*NOT(ISBLANK(Tabella3[[#This Row],[Spain daily cases]]))</f>
        <v>4033.5302697535976</v>
      </c>
      <c r="J120" s="90">
        <f>Tabella3[[#This Row],[Spain daily cases fit]]+CIf</f>
        <v>6376.2186874346899</v>
      </c>
      <c r="K120" s="90">
        <f>MAX(Tabella3[[#This Row],[Spain daily cases fit]]-CIf,0)</f>
        <v>1690.8418520725049</v>
      </c>
      <c r="L120" s="4">
        <f>Tabella8[[#This Row],[Lombardy]]</f>
        <v>0</v>
      </c>
      <c r="M120" s="90">
        <f>(Tabella3[[#This Row],[Lombardy cumul. Data]]-L119)</f>
        <v>0</v>
      </c>
      <c r="N120" s="90">
        <f>Tabella3[[#This Row],[Lombardy data]]*NOT(ISBLANK(Tabella3[[#This Row],[Lombardy data]]))</f>
        <v>0</v>
      </c>
      <c r="O120" s="95">
        <f>Tabella8[[#This Row],[Lombardy fit]]</f>
        <v>69541.058826994791</v>
      </c>
      <c r="P120" s="90">
        <f>Tabella3[[#This Row],[Lombardy cumul. Fit]]/Kl</f>
        <v>0.79932251525281373</v>
      </c>
      <c r="Q120" s="90">
        <f>IFERROR(Kl*_xlfn.LOGNORM.DIST((Tabella3[[#This Row],[Day]]-pl),mu_l,sigma_l,FALSE),0)</f>
        <v>876.67947430216725</v>
      </c>
      <c r="R120" s="90">
        <f>Tabella3[[#This Row],[Lombardy fit]]/y_l_peak</f>
        <v>0.49869293443655227</v>
      </c>
      <c r="S120" s="90">
        <f>Tabella3[[#This Row],[Lombardy fit]]*NOT(ISBLANK(Tabella3[[#This Row],[Lombardy data]]))</f>
        <v>876.67947430216725</v>
      </c>
      <c r="T120" s="90">
        <f>Tabella3[[#This Row],[Lombardy fit]]+CIl</f>
        <v>3447.061797218576</v>
      </c>
      <c r="U120" s="90">
        <f>MAX(Tabella3[[#This Row],[Lombardy fit]]-CIl,0)</f>
        <v>0</v>
      </c>
      <c r="V120" s="10">
        <f>Tabella8[[#This Row],[rest of Italy ]]</f>
        <v>208389</v>
      </c>
      <c r="W120" s="10">
        <f>(Tabella3[[#This Row],[rest of Italy cum. Data]]-V119)</f>
        <v>4211</v>
      </c>
      <c r="X120" s="90">
        <f>Tabella3[[#This Row],[rest of Italy data]]*NOT(ISBLANK(Tabella3[[#This Row],[rest of Italy data]]))</f>
        <v>4211</v>
      </c>
      <c r="Y120" s="95">
        <f>Tabella8[[#This Row],[rest of Italy fit]]</f>
        <v>118855.70257040823</v>
      </c>
      <c r="Z120" s="90">
        <f>Tabella3[[#This Row],[rest of Italy cumul. Fit]]/Ka</f>
        <v>0.80307916490933173</v>
      </c>
      <c r="AA120" s="90">
        <f>IFERROR(Ka*_xlfn.LOGNORM.DIST((Tabella3[[#This Row],[Day]]-pa),mu_a,sigma_a,FALSE),0)</f>
        <v>1696.0481398345469</v>
      </c>
      <c r="AB120" s="90">
        <f>Tabella3[[#This Row],[rest of Italy fit]]/y_a_peak</f>
        <v>0.50191574441382936</v>
      </c>
      <c r="AC120" s="90">
        <f>Tabella3[[#This Row],[rest of Italy fit]]*NOT(ISBLANK(Tabella3[[#This Row],[rest of Italy data]]))</f>
        <v>1696.0481398345469</v>
      </c>
      <c r="AD120" s="90">
        <f>Tabella3[[#This Row],[rest of Italy fit]]+CIa</f>
        <v>7034.8875749945637</v>
      </c>
      <c r="AE120" s="90">
        <f>MAX(Tabella3[[#This Row],[rest of Italy fit]]-CIa,0)</f>
        <v>0</v>
      </c>
    </row>
    <row r="121" spans="2:34" x14ac:dyDescent="0.3">
      <c r="B121" s="9">
        <v>43944</v>
      </c>
      <c r="C121" s="4">
        <v>114</v>
      </c>
      <c r="D121" s="10">
        <f>Tabella8[[#This Row],[Spain cum. Cases]]</f>
        <v>213024</v>
      </c>
      <c r="E121" s="90">
        <f>(Tabella3[[#This Row],[Spain cumul. Cases]]-D120)</f>
        <v>4635</v>
      </c>
      <c r="F121" s="90">
        <f>Tabella3[[#This Row],[Spain daily cases]]*NOT(ISBLANK(Tabella3[[#This Row],[Spain daily cases]]))</f>
        <v>4635</v>
      </c>
      <c r="G121" s="90">
        <f>IFERROR(Kf*_xlfn.LOGNORM.DIST((Tabella3[[#This Row],[Day]]-pf),mu_f,sigma_f,FALSE),0)</f>
        <v>3843.4001768018152</v>
      </c>
      <c r="H121" s="90">
        <f>Tabella3[[#This Row],[Spain daily cases fit]]/y_f_peak</f>
        <v>0.5758191165553399</v>
      </c>
      <c r="I121" s="90">
        <f>Tabella3[[#This Row],[Spain daily cases fit]]*NOT(ISBLANK(Tabella3[[#This Row],[Spain daily cases]]))</f>
        <v>3843.4001768018152</v>
      </c>
      <c r="J121" s="90">
        <f>Tabella3[[#This Row],[Spain daily cases fit]]+CIf</f>
        <v>6186.0885944829079</v>
      </c>
      <c r="K121" s="90">
        <f>MAX(Tabella3[[#This Row],[Spain daily cases fit]]-CIf,0)</f>
        <v>1500.7117591207225</v>
      </c>
      <c r="L121" s="4">
        <f>Tabella8[[#This Row],[Lombardy]]</f>
        <v>0</v>
      </c>
      <c r="M121" s="90">
        <f>(Tabella3[[#This Row],[Lombardy cumul. Data]]-L120)</f>
        <v>0</v>
      </c>
      <c r="N121" s="90">
        <f>Tabella3[[#This Row],[Lombardy data]]*NOT(ISBLANK(Tabella3[[#This Row],[Lombardy data]]))</f>
        <v>0</v>
      </c>
      <c r="O121" s="95">
        <f>Tabella8[[#This Row],[Lombardy fit]]</f>
        <v>70399.316163647018</v>
      </c>
      <c r="P121" s="90">
        <f>Tabella3[[#This Row],[Lombardy cumul. Fit]]/Kl</f>
        <v>0.80918754211088528</v>
      </c>
      <c r="Q121" s="90">
        <f>IFERROR(Kl*_xlfn.LOGNORM.DIST((Tabella3[[#This Row],[Day]]-pl),mu_l,sigma_l,FALSE),0)</f>
        <v>839.98863163849398</v>
      </c>
      <c r="R121" s="90">
        <f>Tabella3[[#This Row],[Lombardy fit]]/y_l_peak</f>
        <v>0.47782160742223873</v>
      </c>
      <c r="S121" s="90">
        <f>Tabella3[[#This Row],[Lombardy fit]]*NOT(ISBLANK(Tabella3[[#This Row],[Lombardy data]]))</f>
        <v>839.98863163849398</v>
      </c>
      <c r="T121" s="90">
        <f>Tabella3[[#This Row],[Lombardy fit]]+CIl</f>
        <v>3410.3709545549027</v>
      </c>
      <c r="U121" s="90">
        <f>MAX(Tabella3[[#This Row],[Lombardy fit]]-CIl,0)</f>
        <v>0</v>
      </c>
      <c r="V121" s="10">
        <f>Tabella8[[#This Row],[rest of Italy ]]</f>
        <v>213024</v>
      </c>
      <c r="W121" s="10">
        <f>(Tabella3[[#This Row],[rest of Italy cum. Data]]-V120)</f>
        <v>4635</v>
      </c>
      <c r="X121" s="90">
        <f>Tabella3[[#This Row],[rest of Italy data]]*NOT(ISBLANK(Tabella3[[#This Row],[rest of Italy data]]))</f>
        <v>4635</v>
      </c>
      <c r="Y121" s="95">
        <f>Tabella8[[#This Row],[rest of Italy fit]]</f>
        <v>120510.9805500728</v>
      </c>
      <c r="Z121" s="90">
        <f>Tabella3[[#This Row],[rest of Italy cumul. Fit]]/Ka</f>
        <v>0.81426347688472356</v>
      </c>
      <c r="AA121" s="90">
        <f>IFERROR(Ka*_xlfn.LOGNORM.DIST((Tabella3[[#This Row],[Day]]-pa),mu_a,sigma_a,FALSE),0)</f>
        <v>1614.8848573725725</v>
      </c>
      <c r="AB121" s="90">
        <f>Tabella3[[#This Row],[rest of Italy fit]]/y_a_peak</f>
        <v>0.47789689236641886</v>
      </c>
      <c r="AC121" s="90">
        <f>Tabella3[[#This Row],[rest of Italy fit]]*NOT(ISBLANK(Tabella3[[#This Row],[rest of Italy data]]))</f>
        <v>1614.8848573725725</v>
      </c>
      <c r="AD121" s="90">
        <f>Tabella3[[#This Row],[rest of Italy fit]]+CIa</f>
        <v>6953.72429253259</v>
      </c>
      <c r="AE121" s="90">
        <f>MAX(Tabella3[[#This Row],[rest of Italy fit]]-CIa,0)</f>
        <v>0</v>
      </c>
    </row>
    <row r="122" spans="2:34" x14ac:dyDescent="0.3">
      <c r="B122" s="9">
        <v>43945</v>
      </c>
      <c r="C122" s="4">
        <v>115</v>
      </c>
      <c r="D122" s="10">
        <f>Tabella8[[#This Row],[Spain cum. Cases]]</f>
        <v>219764</v>
      </c>
      <c r="E122" s="90">
        <f>(Tabella3[[#This Row],[Spain cumul. Cases]]-D121)</f>
        <v>6740</v>
      </c>
      <c r="F122" s="90">
        <f>Tabella3[[#This Row],[Spain daily cases]]*NOT(ISBLANK(Tabella3[[#This Row],[Spain daily cases]]))</f>
        <v>6740</v>
      </c>
      <c r="G122" s="90">
        <f>IFERROR(Kf*_xlfn.LOGNORM.DIST((Tabella3[[#This Row],[Day]]-pf),mu_f,sigma_f,FALSE),0)</f>
        <v>3656.5010861965984</v>
      </c>
      <c r="H122" s="90">
        <f>Tabella3[[#This Row],[Spain daily cases fit]]/y_f_peak</f>
        <v>0.54781785093463486</v>
      </c>
      <c r="I122" s="90">
        <f>Tabella3[[#This Row],[Spain daily cases fit]]*NOT(ISBLANK(Tabella3[[#This Row],[Spain daily cases]]))</f>
        <v>3656.5010861965984</v>
      </c>
      <c r="J122" s="90">
        <f>Tabella3[[#This Row],[Spain daily cases fit]]+CIf</f>
        <v>5999.1895038776911</v>
      </c>
      <c r="K122" s="90">
        <f>MAX(Tabella3[[#This Row],[Spain daily cases fit]]-CIf,0)</f>
        <v>1313.8126685155057</v>
      </c>
      <c r="L122" s="4">
        <f>Tabella8[[#This Row],[Lombardy]]</f>
        <v>0</v>
      </c>
      <c r="M122" s="90">
        <f>(Tabella3[[#This Row],[Lombardy cumul. Data]]-L121)</f>
        <v>0</v>
      </c>
      <c r="N122" s="90">
        <f>Tabella3[[#This Row],[Lombardy data]]*NOT(ISBLANK(Tabella3[[#This Row],[Lombardy data]]))</f>
        <v>0</v>
      </c>
      <c r="O122" s="95">
        <f>Tabella8[[#This Row],[Lombardy fit]]</f>
        <v>71221.350024725776</v>
      </c>
      <c r="P122" s="90">
        <f>Tabella3[[#This Row],[Lombardy cumul. Fit]]/Kl</f>
        <v>0.81863620718075603</v>
      </c>
      <c r="Q122" s="90">
        <f>IFERROR(Kl*_xlfn.LOGNORM.DIST((Tabella3[[#This Row],[Day]]-pl),mu_l,sigma_l,FALSE),0)</f>
        <v>804.23930078788555</v>
      </c>
      <c r="R122" s="90">
        <f>Tabella3[[#This Row],[Lombardy fit]]/y_l_peak</f>
        <v>0.4574858527609082</v>
      </c>
      <c r="S122" s="90">
        <f>Tabella3[[#This Row],[Lombardy fit]]*NOT(ISBLANK(Tabella3[[#This Row],[Lombardy data]]))</f>
        <v>804.23930078788555</v>
      </c>
      <c r="T122" s="90">
        <f>Tabella3[[#This Row],[Lombardy fit]]+CIl</f>
        <v>3374.6216237042941</v>
      </c>
      <c r="U122" s="90">
        <f>MAX(Tabella3[[#This Row],[Lombardy fit]]-CIl,0)</f>
        <v>0</v>
      </c>
      <c r="V122" s="10">
        <f>Tabella8[[#This Row],[rest of Italy ]]</f>
        <v>219764</v>
      </c>
      <c r="W122" s="10">
        <f>(Tabella3[[#This Row],[rest of Italy cum. Data]]-V121)</f>
        <v>6740</v>
      </c>
      <c r="X122" s="90">
        <f>Tabella3[[#This Row],[rest of Italy data]]*NOT(ISBLANK(Tabella3[[#This Row],[rest of Italy data]]))</f>
        <v>6740</v>
      </c>
      <c r="Y122" s="95">
        <f>Tabella8[[#This Row],[rest of Italy fit]]</f>
        <v>122086.24815815724</v>
      </c>
      <c r="Z122" s="90">
        <f>Tabella3[[#This Row],[rest of Italy cumul. Fit]]/Ka</f>
        <v>0.82490717817839743</v>
      </c>
      <c r="AA122" s="90">
        <f>IFERROR(Ka*_xlfn.LOGNORM.DIST((Tabella3[[#This Row],[Day]]-pa),mu_a,sigma_a,FALSE),0)</f>
        <v>1536.0482315417205</v>
      </c>
      <c r="AB122" s="90">
        <f>Tabella3[[#This Row],[rest of Italy fit]]/y_a_peak</f>
        <v>0.45456657360269159</v>
      </c>
      <c r="AC122" s="90">
        <f>Tabella3[[#This Row],[rest of Italy fit]]*NOT(ISBLANK(Tabella3[[#This Row],[rest of Italy data]]))</f>
        <v>1536.0482315417205</v>
      </c>
      <c r="AD122" s="90">
        <f>Tabella3[[#This Row],[rest of Italy fit]]+CIa</f>
        <v>6874.8876667017375</v>
      </c>
      <c r="AE122" s="90">
        <f>MAX(Tabella3[[#This Row],[rest of Italy fit]]-CIa,0)</f>
        <v>0</v>
      </c>
    </row>
    <row r="123" spans="2:34" x14ac:dyDescent="0.3">
      <c r="B123" s="9">
        <v>43946</v>
      </c>
      <c r="C123" s="4">
        <v>116</v>
      </c>
      <c r="D123" s="10">
        <f>Tabella8[[#This Row],[Spain cum. Cases]]</f>
        <v>223759</v>
      </c>
      <c r="E123" s="90">
        <f>(Tabella3[[#This Row],[Spain cumul. Cases]]-D122)</f>
        <v>3995</v>
      </c>
      <c r="F123" s="90">
        <f>Tabella3[[#This Row],[Spain daily cases]]*NOT(ISBLANK(Tabella3[[#This Row],[Spain daily cases]]))</f>
        <v>3995</v>
      </c>
      <c r="G123" s="90">
        <f>IFERROR(Kf*_xlfn.LOGNORM.DIST((Tabella3[[#This Row],[Day]]-pf),mu_f,sigma_f,FALSE),0)</f>
        <v>3473.472910170015</v>
      </c>
      <c r="H123" s="90">
        <f>Tabella3[[#This Row],[Spain daily cases fit]]/y_f_peak</f>
        <v>0.52039652664462532</v>
      </c>
      <c r="I123" s="90">
        <f>Tabella3[[#This Row],[Spain daily cases fit]]*NOT(ISBLANK(Tabella3[[#This Row],[Spain daily cases]]))</f>
        <v>3473.472910170015</v>
      </c>
      <c r="J123" s="90">
        <f>Tabella3[[#This Row],[Spain daily cases fit]]+CIf</f>
        <v>5816.1613278511077</v>
      </c>
      <c r="K123" s="90">
        <f>MAX(Tabella3[[#This Row],[Spain daily cases fit]]-CIf,0)</f>
        <v>1130.7844924889223</v>
      </c>
      <c r="L123" s="4">
        <f>Tabella8[[#This Row],[Lombardy]]</f>
        <v>0</v>
      </c>
      <c r="M123" s="90">
        <f>(Tabella3[[#This Row],[Lombardy cumul. Data]]-L122)</f>
        <v>0</v>
      </c>
      <c r="N123" s="90">
        <f>Tabella3[[#This Row],[Lombardy data]]*NOT(ISBLANK(Tabella3[[#This Row],[Lombardy data]]))</f>
        <v>0</v>
      </c>
      <c r="O123" s="95">
        <f>Tabella8[[#This Row],[Lombardy fit]]</f>
        <v>72008.120834134315</v>
      </c>
      <c r="P123" s="90">
        <f>Tabella3[[#This Row],[Lombardy cumul. Fit]]/Kl</f>
        <v>0.82767954981763581</v>
      </c>
      <c r="Q123" s="90">
        <f>IFERROR(Kl*_xlfn.LOGNORM.DIST((Tabella3[[#This Row],[Day]]-pl),mu_l,sigma_l,FALSE),0)</f>
        <v>769.46790957141582</v>
      </c>
      <c r="R123" s="90">
        <f>Tabella3[[#This Row],[Lombardy fit]]/y_l_peak</f>
        <v>0.43770639216159918</v>
      </c>
      <c r="S123" s="90">
        <f>Tabella3[[#This Row],[Lombardy fit]]*NOT(ISBLANK(Tabella3[[#This Row],[Lombardy data]]))</f>
        <v>769.46790957141582</v>
      </c>
      <c r="T123" s="90">
        <f>Tabella3[[#This Row],[Lombardy fit]]+CIl</f>
        <v>3339.8502324878245</v>
      </c>
      <c r="U123" s="90">
        <f>MAX(Tabella3[[#This Row],[Lombardy fit]]-CIl,0)</f>
        <v>0</v>
      </c>
      <c r="V123" s="10">
        <f>Tabella8[[#This Row],[rest of Italy ]]</f>
        <v>223759</v>
      </c>
      <c r="W123" s="10">
        <f>(Tabella3[[#This Row],[rest of Italy cum. Data]]-V122)</f>
        <v>3995</v>
      </c>
      <c r="X123" s="90">
        <f>Tabella3[[#This Row],[rest of Italy data]]*NOT(ISBLANK(Tabella3[[#This Row],[rest of Italy data]]))</f>
        <v>3995</v>
      </c>
      <c r="Y123" s="95">
        <f>Tabella8[[#This Row],[rest of Italy fit]]</f>
        <v>123583.88987487515</v>
      </c>
      <c r="Z123" s="90">
        <f>Tabella3[[#This Row],[rest of Italy cumul. Fit]]/Ka</f>
        <v>0.83502638014502351</v>
      </c>
      <c r="AA123" s="90">
        <f>IFERROR(Ka*_xlfn.LOGNORM.DIST((Tabella3[[#This Row],[Day]]-pa),mu_a,sigma_a,FALSE),0)</f>
        <v>1459.6493152180863</v>
      </c>
      <c r="AB123" s="90">
        <f>Tabella3[[#This Row],[rest of Italy fit]]/y_a_peak</f>
        <v>0.43195765227648003</v>
      </c>
      <c r="AC123" s="90">
        <f>Tabella3[[#This Row],[rest of Italy fit]]*NOT(ISBLANK(Tabella3[[#This Row],[rest of Italy data]]))</f>
        <v>1459.6493152180863</v>
      </c>
      <c r="AD123" s="90">
        <f>Tabella3[[#This Row],[rest of Italy fit]]+CIa</f>
        <v>6798.4887503781038</v>
      </c>
      <c r="AE123" s="90">
        <f>MAX(Tabella3[[#This Row],[rest of Italy fit]]-CIa,0)</f>
        <v>0</v>
      </c>
    </row>
    <row r="124" spans="2:34" x14ac:dyDescent="0.3">
      <c r="B124" s="9">
        <v>43947</v>
      </c>
      <c r="C124" s="4">
        <v>117</v>
      </c>
      <c r="D124" s="10">
        <f>Tabella8[[#This Row],[Spain cum. Cases]]</f>
        <v>226629</v>
      </c>
      <c r="E124" s="90">
        <f>(Tabella3[[#This Row],[Spain cumul. Cases]]-D123)</f>
        <v>2870</v>
      </c>
      <c r="F124" s="90">
        <f>Tabella3[[#This Row],[Spain daily cases]]*NOT(ISBLANK(Tabella3[[#This Row],[Spain daily cases]]))</f>
        <v>2870</v>
      </c>
      <c r="G124" s="90">
        <f>IFERROR(Kf*_xlfn.LOGNORM.DIST((Tabella3[[#This Row],[Day]]-pf),mu_f,sigma_f,FALSE),0)</f>
        <v>3294.8618856933795</v>
      </c>
      <c r="H124" s="90">
        <f>Tabella3[[#This Row],[Spain daily cases fit]]/y_f_peak</f>
        <v>0.49363698103655845</v>
      </c>
      <c r="I124" s="90">
        <f>Tabella3[[#This Row],[Spain daily cases fit]]*NOT(ISBLANK(Tabella3[[#This Row],[Spain daily cases]]))</f>
        <v>3294.8618856933795</v>
      </c>
      <c r="J124" s="90">
        <f>Tabella3[[#This Row],[Spain daily cases fit]]+CIf</f>
        <v>5637.5503033744717</v>
      </c>
      <c r="K124" s="90">
        <f>MAX(Tabella3[[#This Row],[Spain daily cases fit]]-CIf,0)</f>
        <v>952.17346801228678</v>
      </c>
      <c r="L124" s="4">
        <f>Tabella8[[#This Row],[Lombardy]]</f>
        <v>0</v>
      </c>
      <c r="M124" s="90">
        <f>(Tabella3[[#This Row],[Lombardy cumul. Data]]-L123)</f>
        <v>0</v>
      </c>
      <c r="N124" s="90">
        <f>Tabella3[[#This Row],[Lombardy data]]*NOT(ISBLANK(Tabella3[[#This Row],[Lombardy data]]))</f>
        <v>0</v>
      </c>
      <c r="O124" s="95">
        <f>Tabella8[[#This Row],[Lombardy fit]]</f>
        <v>72760.621375470975</v>
      </c>
      <c r="P124" s="90">
        <f>Tabella3[[#This Row],[Lombardy cumul. Fit]]/Kl</f>
        <v>0.83632898132725264</v>
      </c>
      <c r="Q124" s="90">
        <f>IFERROR(Kl*_xlfn.LOGNORM.DIST((Tabella3[[#This Row],[Day]]-pl),mu_l,sigma_l,FALSE),0)</f>
        <v>735.70286962182229</v>
      </c>
      <c r="R124" s="90">
        <f>Tabella3[[#This Row],[Lombardy fit]]/y_l_peak</f>
        <v>0.41849938738116504</v>
      </c>
      <c r="S124" s="90">
        <f>Tabella3[[#This Row],[Lombardy fit]]*NOT(ISBLANK(Tabella3[[#This Row],[Lombardy data]]))</f>
        <v>735.70286962182229</v>
      </c>
      <c r="T124" s="90">
        <f>Tabella3[[#This Row],[Lombardy fit]]+CIl</f>
        <v>3306.0851925382308</v>
      </c>
      <c r="U124" s="90">
        <f>MAX(Tabella3[[#This Row],[Lombardy fit]]-CIl,0)</f>
        <v>0</v>
      </c>
      <c r="V124" s="10">
        <f>Tabella8[[#This Row],[rest of Italy ]]</f>
        <v>226629</v>
      </c>
      <c r="W124" s="10">
        <f>(Tabella3[[#This Row],[rest of Italy cum. Data]]-V123)</f>
        <v>2870</v>
      </c>
      <c r="X124" s="90">
        <f>Tabella3[[#This Row],[rest of Italy data]]*NOT(ISBLANK(Tabella3[[#This Row],[rest of Italy data]]))</f>
        <v>2870</v>
      </c>
      <c r="Y124" s="95">
        <f>Tabella8[[#This Row],[rest of Italy fit]]</f>
        <v>125006.38788010621</v>
      </c>
      <c r="Z124" s="90">
        <f>Tabella3[[#This Row],[rest of Italy cumul. Fit]]/Ka</f>
        <v>0.8446378542722276</v>
      </c>
      <c r="AA124" s="90">
        <f>IFERROR(Ka*_xlfn.LOGNORM.DIST((Tabella3[[#This Row],[Day]]-pa),mu_a,sigma_a,FALSE),0)</f>
        <v>1385.7728816909639</v>
      </c>
      <c r="AB124" s="90">
        <f>Tabella3[[#This Row],[rest of Italy fit]]/y_a_peak</f>
        <v>0.41009521555813216</v>
      </c>
      <c r="AC124" s="90">
        <f>Tabella3[[#This Row],[rest of Italy fit]]*NOT(ISBLANK(Tabella3[[#This Row],[rest of Italy data]]))</f>
        <v>1385.7728816909639</v>
      </c>
      <c r="AD124" s="90">
        <f>Tabella3[[#This Row],[rest of Italy fit]]+CIa</f>
        <v>6724.6123168509812</v>
      </c>
      <c r="AE124" s="90">
        <f>MAX(Tabella3[[#This Row],[rest of Italy fit]]-CIa,0)</f>
        <v>0</v>
      </c>
    </row>
    <row r="125" spans="2:34" x14ac:dyDescent="0.3">
      <c r="B125" s="9">
        <v>43948</v>
      </c>
      <c r="C125" s="4">
        <v>118</v>
      </c>
      <c r="D125" s="10">
        <f>Tabella8[[#This Row],[Spain cum. Cases]]</f>
        <v>229422</v>
      </c>
      <c r="E125" s="90">
        <f>(Tabella3[[#This Row],[Spain cumul. Cases]]-D124)</f>
        <v>2793</v>
      </c>
      <c r="F125" s="90">
        <f>Tabella3[[#This Row],[Spain daily cases]]*NOT(ISBLANK(Tabella3[[#This Row],[Spain daily cases]]))</f>
        <v>2793</v>
      </c>
      <c r="G125" s="90">
        <f>IFERROR(Kf*_xlfn.LOGNORM.DIST((Tabella3[[#This Row],[Day]]-pf),mu_f,sigma_f,FALSE),0)</f>
        <v>3121.1263026961396</v>
      </c>
      <c r="H125" s="90">
        <f>Tabella3[[#This Row],[Spain daily cases fit]]/y_f_peak</f>
        <v>0.46760787521522723</v>
      </c>
      <c r="I125" s="90">
        <f>Tabella3[[#This Row],[Spain daily cases fit]]*NOT(ISBLANK(Tabella3[[#This Row],[Spain daily cases]]))</f>
        <v>3121.1263026961396</v>
      </c>
      <c r="J125" s="90">
        <f>Tabella3[[#This Row],[Spain daily cases fit]]+CIf</f>
        <v>5463.8147203772323</v>
      </c>
      <c r="K125" s="90">
        <f>MAX(Tabella3[[#This Row],[Spain daily cases fit]]-CIf,0)</f>
        <v>778.43788501504696</v>
      </c>
      <c r="L125" s="4">
        <f>Tabella8[[#This Row],[Lombardy]]</f>
        <v>0</v>
      </c>
      <c r="M125" s="90">
        <f>(Tabella3[[#This Row],[Lombardy cumul. Data]]-L124)</f>
        <v>0</v>
      </c>
      <c r="N125" s="90">
        <f>Tabella3[[#This Row],[Lombardy data]]*NOT(ISBLANK(Tabella3[[#This Row],[Lombardy data]]))</f>
        <v>0</v>
      </c>
      <c r="O125" s="95">
        <f>Tabella8[[#This Row],[Lombardy fit]]</f>
        <v>73479.869131409956</v>
      </c>
      <c r="P125" s="90">
        <f>Tabella3[[#This Row],[Lombardy cumul. Fit]]/Kl</f>
        <v>0.84459619691275811</v>
      </c>
      <c r="Q125" s="90">
        <f>IFERROR(Kl*_xlfn.LOGNORM.DIST((Tabella3[[#This Row],[Day]]-pl),mu_l,sigma_l,FALSE),0)</f>
        <v>702.96528278682194</v>
      </c>
      <c r="R125" s="90">
        <f>Tabella3[[#This Row],[Lombardy fit]]/y_l_peak</f>
        <v>0.39987684205681695</v>
      </c>
      <c r="S125" s="90">
        <f>Tabella3[[#This Row],[Lombardy fit]]*NOT(ISBLANK(Tabella3[[#This Row],[Lombardy data]]))</f>
        <v>702.96528278682194</v>
      </c>
      <c r="T125" s="90">
        <f>Tabella3[[#This Row],[Lombardy fit]]+CIl</f>
        <v>3273.3476057032303</v>
      </c>
      <c r="U125" s="90">
        <f>MAX(Tabella3[[#This Row],[Lombardy fit]]-CIl,0)</f>
        <v>0</v>
      </c>
      <c r="V125" s="10">
        <f>Tabella8[[#This Row],[rest of Italy ]]</f>
        <v>229422</v>
      </c>
      <c r="W125" s="10">
        <f>(Tabella3[[#This Row],[rest of Italy cum. Data]]-V124)</f>
        <v>2793</v>
      </c>
      <c r="X125" s="90">
        <f>Tabella3[[#This Row],[rest of Italy data]]*NOT(ISBLANK(Tabella3[[#This Row],[rest of Italy data]]))</f>
        <v>2793</v>
      </c>
      <c r="Y125" s="95">
        <f>Tabella8[[#This Row],[rest of Italy fit]]</f>
        <v>126356.29703916883</v>
      </c>
      <c r="Z125" s="90">
        <f>Tabella3[[#This Row],[rest of Italy cumul. Fit]]/Ka</f>
        <v>0.85375886316552219</v>
      </c>
      <c r="AA125" s="90">
        <f>IFERROR(Ka*_xlfn.LOGNORM.DIST((Tabella3[[#This Row],[Day]]-pa),mu_a,sigma_a,FALSE),0)</f>
        <v>1314.4799395985358</v>
      </c>
      <c r="AB125" s="90">
        <f>Tabella3[[#This Row],[rest of Italy fit]]/y_a_peak</f>
        <v>0.38899731788568531</v>
      </c>
      <c r="AC125" s="90">
        <f>Tabella3[[#This Row],[rest of Italy fit]]*NOT(ISBLANK(Tabella3[[#This Row],[rest of Italy data]]))</f>
        <v>1314.4799395985358</v>
      </c>
      <c r="AD125" s="90">
        <f>Tabella3[[#This Row],[rest of Italy fit]]+CIa</f>
        <v>6653.3193747585528</v>
      </c>
      <c r="AE125" s="90">
        <f>MAX(Tabella3[[#This Row],[rest of Italy fit]]-CIa,0)</f>
        <v>0</v>
      </c>
    </row>
    <row r="126" spans="2:34" x14ac:dyDescent="0.3">
      <c r="B126" s="9">
        <v>43949</v>
      </c>
      <c r="C126" s="4">
        <v>119</v>
      </c>
      <c r="D126" s="10">
        <f>Tabella8[[#This Row],[Spain cum. Cases]]</f>
        <v>232128</v>
      </c>
      <c r="E126" s="90">
        <f>(Tabella3[[#This Row],[Spain cumul. Cases]]-D125)</f>
        <v>2706</v>
      </c>
      <c r="F126" s="90">
        <f>Tabella3[[#This Row],[Spain daily cases]]*NOT(ISBLANK(Tabella3[[#This Row],[Spain daily cases]]))</f>
        <v>2706</v>
      </c>
      <c r="G126" s="90">
        <f>IFERROR(Kf*_xlfn.LOGNORM.DIST((Tabella3[[#This Row],[Day]]-pf),mu_f,sigma_f,FALSE),0)</f>
        <v>2952.6425535153221</v>
      </c>
      <c r="H126" s="90">
        <f>Tabella3[[#This Row],[Spain daily cases fit]]/y_f_peak</f>
        <v>0.44236560036890632</v>
      </c>
      <c r="I126" s="90">
        <f>Tabella3[[#This Row],[Spain daily cases fit]]*NOT(ISBLANK(Tabella3[[#This Row],[Spain daily cases]]))</f>
        <v>2952.6425535153221</v>
      </c>
      <c r="J126" s="90">
        <f>Tabella3[[#This Row],[Spain daily cases fit]]+CIf</f>
        <v>5295.3309711964148</v>
      </c>
      <c r="K126" s="90">
        <f>MAX(Tabella3[[#This Row],[Spain daily cases fit]]-CIf,0)</f>
        <v>609.95413583422942</v>
      </c>
      <c r="L126" s="4">
        <f>Tabella8[[#This Row],[Lombardy]]</f>
        <v>0</v>
      </c>
      <c r="M126" s="90">
        <f>(Tabella3[[#This Row],[Lombardy cumul. Data]]-L125)</f>
        <v>0</v>
      </c>
      <c r="N126" s="90">
        <f>Tabella3[[#This Row],[Lombardy data]]*NOT(ISBLANK(Tabella3[[#This Row],[Lombardy data]]))</f>
        <v>0</v>
      </c>
      <c r="O126" s="95">
        <f>Tabella8[[#This Row],[Lombardy fit]]</f>
        <v>74166.8993147609</v>
      </c>
      <c r="P126" s="90">
        <f>Tabella3[[#This Row],[Lombardy cumul. Fit]]/Kl</f>
        <v>0.8524930955719644</v>
      </c>
      <c r="Q126" s="90">
        <f>IFERROR(Kl*_xlfn.LOGNORM.DIST((Tabella3[[#This Row],[Day]]-pl),mu_l,sigma_l,FALSE),0)</f>
        <v>671.26961759335336</v>
      </c>
      <c r="R126" s="90">
        <f>Tabella3[[#This Row],[Lombardy fit]]/y_l_peak</f>
        <v>0.38184698650803595</v>
      </c>
      <c r="S126" s="90">
        <f>Tabella3[[#This Row],[Lombardy fit]]*NOT(ISBLANK(Tabella3[[#This Row],[Lombardy data]]))</f>
        <v>671.26961759335336</v>
      </c>
      <c r="T126" s="90">
        <f>Tabella3[[#This Row],[Lombardy fit]]+CIl</f>
        <v>3241.651940509762</v>
      </c>
      <c r="U126" s="90">
        <f>MAX(Tabella3[[#This Row],[Lombardy fit]]-CIl,0)</f>
        <v>0</v>
      </c>
      <c r="V126" s="10">
        <f>Tabella8[[#This Row],[rest of Italy ]]</f>
        <v>232128</v>
      </c>
      <c r="W126" s="10">
        <f>(Tabella3[[#This Row],[rest of Italy cum. Data]]-V125)</f>
        <v>2706</v>
      </c>
      <c r="X126" s="90">
        <f>Tabella3[[#This Row],[rest of Italy data]]*NOT(ISBLANK(Tabella3[[#This Row],[rest of Italy data]]))</f>
        <v>2706</v>
      </c>
      <c r="Y126" s="95">
        <f>Tabella8[[#This Row],[rest of Italy fit]]</f>
        <v>127636.22235321964</v>
      </c>
      <c r="Z126" s="90">
        <f>Tabella3[[#This Row],[rest of Italy cumul. Fit]]/Ka</f>
        <v>0.86240700818612259</v>
      </c>
      <c r="AA126" s="90">
        <f>IFERROR(Ka*_xlfn.LOGNORM.DIST((Tabella3[[#This Row],[Day]]-pa),mu_a,sigma_a,FALSE),0)</f>
        <v>1245.8101444502865</v>
      </c>
      <c r="AB126" s="90">
        <f>Tabella3[[#This Row],[rest of Italy fit]]/y_a_peak</f>
        <v>0.36867569461269206</v>
      </c>
      <c r="AC126" s="90">
        <f>Tabella3[[#This Row],[rest of Italy fit]]*NOT(ISBLANK(Tabella3[[#This Row],[rest of Italy data]]))</f>
        <v>1245.8101444502865</v>
      </c>
      <c r="AD126" s="90">
        <f>Tabella3[[#This Row],[rest of Italy fit]]+CIa</f>
        <v>6584.6495796103036</v>
      </c>
      <c r="AE126" s="90">
        <f>MAX(Tabella3[[#This Row],[rest of Italy fit]]-CIa,0)</f>
        <v>0</v>
      </c>
    </row>
    <row r="127" spans="2:34" x14ac:dyDescent="0.3">
      <c r="B127" s="9">
        <v>43950</v>
      </c>
      <c r="C127" s="4">
        <v>120</v>
      </c>
      <c r="D127" s="90"/>
      <c r="E127" s="10"/>
      <c r="F127" s="90">
        <f>Tabella3[[#This Row],[Spain daily cases]]*NOT(ISBLANK(Tabella3[[#This Row],[Spain daily cases]]))</f>
        <v>0</v>
      </c>
      <c r="G127" s="90">
        <f>IFERROR(Kf*_xlfn.LOGNORM.DIST((Tabella3[[#This Row],[Day]]-pf),mu_f,sigma_f,FALSE),0)</f>
        <v>2789.7113634011248</v>
      </c>
      <c r="H127" s="90">
        <f>Tabella3[[#This Row],[Spain daily cases fit]]/y_f_peak</f>
        <v>0.41795521122516222</v>
      </c>
      <c r="I127" s="90">
        <f>Tabella3[[#This Row],[Spain daily cases fit]]*NOT(ISBLANK(Tabella3[[#This Row],[Spain daily cases]]))</f>
        <v>0</v>
      </c>
      <c r="M127" s="10"/>
      <c r="N127" s="90">
        <f>Tabella3[[#This Row],[Lombardy data]]*NOT(ISBLANK(Tabella3[[#This Row],[Lombardy data]]))</f>
        <v>0</v>
      </c>
      <c r="O127" s="95">
        <f>Tabella8[[#This Row],[Lombardy fit]]</f>
        <v>74822.758559943803</v>
      </c>
      <c r="P127" s="90">
        <f>Tabella3[[#This Row],[Lombardy cumul. Fit]]/Kl</f>
        <v>0.86003170758556091</v>
      </c>
      <c r="Q127" s="90">
        <f>IFERROR(Kl*_xlfn.LOGNORM.DIST((Tabella3[[#This Row],[Day]]-pl),mu_l,sigma_l,FALSE),0)</f>
        <v>640.62435326623688</v>
      </c>
      <c r="R127" s="90">
        <f>Tabella3[[#This Row],[Lombardy fit]]/y_l_peak</f>
        <v>0.36441464408204455</v>
      </c>
      <c r="S127" s="90">
        <f>Tabella3[[#This Row],[Lombardy fit]]*NOT(ISBLANK(Tabella3[[#This Row],[Lombardy data]]))</f>
        <v>0</v>
      </c>
      <c r="W127" s="10"/>
      <c r="X127" s="90">
        <f>Tabella3[[#This Row],[rest of Italy data]]*NOT(ISBLANK(Tabella3[[#This Row],[rest of Italy data]]))</f>
        <v>0</v>
      </c>
      <c r="Y127" s="95">
        <f>Tabella8[[#This Row],[rest of Italy fit]]</f>
        <v>128848.7987632664</v>
      </c>
      <c r="Z127" s="90">
        <f>Tabella3[[#This Row],[rest of Italy cumul. Fit]]/Ka</f>
        <v>0.87060009299155927</v>
      </c>
      <c r="AA127" s="90">
        <f>IFERROR(Ka*_xlfn.LOGNORM.DIST((Tabella3[[#This Row],[Day]]-pa),mu_a,sigma_a,FALSE),0)</f>
        <v>1179.7840923022191</v>
      </c>
      <c r="AB127" s="90">
        <f>Tabella3[[#This Row],[rest of Italy fit]]/y_a_peak</f>
        <v>0.34913644078123157</v>
      </c>
      <c r="AC127" s="90">
        <f>Tabella3[[#This Row],[rest of Italy fit]]*NOT(ISBLANK(Tabella3[[#This Row],[rest of Italy data]]))</f>
        <v>0</v>
      </c>
    </row>
    <row r="128" spans="2:34" x14ac:dyDescent="0.3">
      <c r="B128" s="9">
        <v>43951</v>
      </c>
      <c r="C128" s="4">
        <v>121</v>
      </c>
      <c r="E128" s="10"/>
      <c r="F128" s="90">
        <f>Tabella3[[#This Row],[Spain daily cases]]*NOT(ISBLANK(Tabella3[[#This Row],[Spain daily cases]]))</f>
        <v>0</v>
      </c>
      <c r="G128" s="90">
        <f>IFERROR(Kf*_xlfn.LOGNORM.DIST((Tabella3[[#This Row],[Day]]-pf),mu_f,sigma_f,FALSE),0)</f>
        <v>2632.5640822113255</v>
      </c>
      <c r="H128" s="90">
        <f>Tabella3[[#This Row],[Spain daily cases fit]]/y_f_peak</f>
        <v>0.39441136867398624</v>
      </c>
      <c r="I128" s="90">
        <f>Tabella3[[#This Row],[Spain daily cases fit]]*NOT(ISBLANK(Tabella3[[#This Row],[Spain daily cases]]))</f>
        <v>0</v>
      </c>
      <c r="M128" s="10"/>
      <c r="N128" s="90">
        <f>Tabella3[[#This Row],[Lombardy data]]*NOT(ISBLANK(Tabella3[[#This Row],[Lombardy data]]))</f>
        <v>0</v>
      </c>
      <c r="O128" s="95">
        <f>Tabella8[[#This Row],[Lombardy fit]]</f>
        <v>75448.499241512851</v>
      </c>
      <c r="P128" s="90">
        <f>Tabella3[[#This Row],[Lombardy cumul. Fit]]/Kl</f>
        <v>0.86722412921279135</v>
      </c>
      <c r="Q128" s="90">
        <f>IFERROR(Kl*_xlfn.LOGNORM.DIST((Tabella3[[#This Row],[Day]]-pl),mu_l,sigma_l,FALSE),0)</f>
        <v>611.03258957880848</v>
      </c>
      <c r="R128" s="90">
        <f>Tabella3[[#This Row],[Lombardy fit]]/y_l_peak</f>
        <v>0.34758157806303758</v>
      </c>
      <c r="S128" s="90">
        <f>Tabella3[[#This Row],[Lombardy fit]]*NOT(ISBLANK(Tabella3[[#This Row],[Lombardy data]]))</f>
        <v>0</v>
      </c>
      <c r="W128" s="10"/>
      <c r="X128" s="90">
        <f>Tabella3[[#This Row],[rest of Italy data]]*NOT(ISBLANK(Tabella3[[#This Row],[rest of Italy data]]))</f>
        <v>0</v>
      </c>
      <c r="Y128" s="95">
        <f>Tabella8[[#This Row],[rest of Italy fit]]</f>
        <v>129996.67318453532</v>
      </c>
      <c r="Z128" s="90">
        <f>Tabella3[[#This Row],[rest of Italy cumul. Fit]]/Ka</f>
        <v>0.87835600214625331</v>
      </c>
      <c r="AA128" s="90">
        <f>IFERROR(Ka*_xlfn.LOGNORM.DIST((Tabella3[[#This Row],[Day]]-pa),mu_a,sigma_a,FALSE),0)</f>
        <v>1116.4054854142355</v>
      </c>
      <c r="AB128" s="90">
        <f>Tabella3[[#This Row],[rest of Italy fit]]/y_a_peak</f>
        <v>0.33038065201028494</v>
      </c>
      <c r="AC128" s="90">
        <f>Tabella3[[#This Row],[rest of Italy fit]]*NOT(ISBLANK(Tabella3[[#This Row],[rest of Italy data]]))</f>
        <v>0</v>
      </c>
    </row>
    <row r="129" spans="2:29" x14ac:dyDescent="0.3">
      <c r="B129" s="9">
        <v>43952</v>
      </c>
      <c r="C129" s="4">
        <v>122</v>
      </c>
      <c r="E129" s="10"/>
      <c r="F129" s="90">
        <f>Tabella3[[#This Row],[Spain daily cases]]*NOT(ISBLANK(Tabella3[[#This Row],[Spain daily cases]]))</f>
        <v>0</v>
      </c>
      <c r="G129" s="90">
        <f>IFERROR(Kf*_xlfn.LOGNORM.DIST((Tabella3[[#This Row],[Day]]-pf),mu_f,sigma_f,FALSE),0)</f>
        <v>2481.3689364615088</v>
      </c>
      <c r="H129" s="90">
        <f>Tabella3[[#This Row],[Spain daily cases fit]]/y_f_peak</f>
        <v>0.37175927645142698</v>
      </c>
      <c r="I129" s="90">
        <f>Tabella3[[#This Row],[Spain daily cases fit]]*NOT(ISBLANK(Tabella3[[#This Row],[Spain daily cases]]))</f>
        <v>0</v>
      </c>
      <c r="M129" s="10"/>
      <c r="N129" s="90">
        <f>Tabella3[[#This Row],[Lombardy data]]*NOT(ISBLANK(Tabella3[[#This Row],[Lombardy data]]))</f>
        <v>0</v>
      </c>
      <c r="O129" s="95">
        <f>Tabella8[[#This Row],[Lombardy fit]]</f>
        <v>76045.1743849841</v>
      </c>
      <c r="P129" s="90">
        <f>Tabella3[[#This Row],[Lombardy cumul. Fit]]/Kl</f>
        <v>0.87408246419521951</v>
      </c>
      <c r="Q129" s="90">
        <f>IFERROR(Kl*_xlfn.LOGNORM.DIST((Tabella3[[#This Row],[Day]]-pl),mu_l,sigma_l,FALSE),0)</f>
        <v>582.49262148530897</v>
      </c>
      <c r="R129" s="90">
        <f>Tabella3[[#This Row],[Lombardy fit]]/y_l_peak</f>
        <v>0.33134681854776321</v>
      </c>
      <c r="S129" s="90">
        <f>Tabella3[[#This Row],[Lombardy fit]]*NOT(ISBLANK(Tabella3[[#This Row],[Lombardy data]]))</f>
        <v>0</v>
      </c>
      <c r="W129" s="10"/>
      <c r="X129" s="90">
        <f>Tabella3[[#This Row],[rest of Italy data]]*NOT(ISBLANK(Tabella3[[#This Row],[rest of Italy data]]))</f>
        <v>0</v>
      </c>
      <c r="Y129" s="95">
        <f>Tabella8[[#This Row],[rest of Italy fit]]</f>
        <v>131082.48863962723</v>
      </c>
      <c r="Z129" s="90">
        <f>Tabella3[[#This Row],[rest of Italy cumul. Fit]]/Ka</f>
        <v>0.88569259391310018</v>
      </c>
      <c r="AA129" s="90">
        <f>IFERROR(Ka*_xlfn.LOGNORM.DIST((Tabella3[[#This Row],[Day]]-pa),mu_a,sigma_a,FALSE),0)</f>
        <v>1055.6631633557765</v>
      </c>
      <c r="AB129" s="90">
        <f>Tabella3[[#This Row],[rest of Italy fit]]/y_a_peak</f>
        <v>0.31240502556587862</v>
      </c>
      <c r="AC129" s="90">
        <f>Tabella3[[#This Row],[rest of Italy fit]]*NOT(ISBLANK(Tabella3[[#This Row],[rest of Italy data]]))</f>
        <v>0</v>
      </c>
    </row>
    <row r="130" spans="2:29" x14ac:dyDescent="0.3">
      <c r="B130" s="9">
        <v>43953</v>
      </c>
      <c r="C130" s="4">
        <v>123</v>
      </c>
      <c r="E130" s="10"/>
      <c r="F130" s="90">
        <f>Tabella3[[#This Row],[Spain daily cases]]*NOT(ISBLANK(Tabella3[[#This Row],[Spain daily cases]]))</f>
        <v>0</v>
      </c>
      <c r="G130" s="90">
        <f>IFERROR(Kf*_xlfn.LOGNORM.DIST((Tabella3[[#This Row],[Day]]-pf),mu_f,sigma_f,FALSE),0)</f>
        <v>2336.2371584737839</v>
      </c>
      <c r="H130" s="90">
        <f>Tabella3[[#This Row],[Spain daily cases fit]]/y_f_peak</f>
        <v>0.35001559941008964</v>
      </c>
      <c r="I130" s="90">
        <f>Tabella3[[#This Row],[Spain daily cases fit]]*NOT(ISBLANK(Tabella3[[#This Row],[Spain daily cases]]))</f>
        <v>0</v>
      </c>
      <c r="M130" s="10"/>
      <c r="N130" s="90">
        <f>Tabella3[[#This Row],[Lombardy data]]*NOT(ISBLANK(Tabella3[[#This Row],[Lombardy data]]))</f>
        <v>0</v>
      </c>
      <c r="O130" s="95">
        <f>Tabella8[[#This Row],[Lombardy fit]]</f>
        <v>76613.833134465094</v>
      </c>
      <c r="P130" s="90">
        <f>Tabella3[[#This Row],[Lombardy cumul. Fit]]/Kl</f>
        <v>0.88061877166051827</v>
      </c>
      <c r="Q130" s="90">
        <f>IFERROR(Kl*_xlfn.LOGNORM.DIST((Tabella3[[#This Row],[Day]]-pl),mu_l,sigma_l,FALSE),0)</f>
        <v>554.99847805544789</v>
      </c>
      <c r="R130" s="90">
        <f>Tabella3[[#This Row],[Lombardy fit]]/y_l_peak</f>
        <v>0.31570696901464751</v>
      </c>
      <c r="S130" s="90">
        <f>Tabella3[[#This Row],[Lombardy fit]]*NOT(ISBLANK(Tabella3[[#This Row],[Lombardy data]]))</f>
        <v>0</v>
      </c>
      <c r="W130" s="10"/>
      <c r="X130" s="90">
        <f>Tabella3[[#This Row],[rest of Italy data]]*NOT(ISBLANK(Tabella3[[#This Row],[rest of Italy data]]))</f>
        <v>0</v>
      </c>
      <c r="Y130" s="95">
        <f>Tabella8[[#This Row],[rest of Italy fit]]</f>
        <v>132108.87035394527</v>
      </c>
      <c r="Z130" s="90">
        <f>Tabella3[[#This Row],[rest of Italy cumul. Fit]]/Ka</f>
        <v>0.89262760630364535</v>
      </c>
      <c r="AA130" s="90">
        <f>IFERROR(Ka*_xlfn.LOGNORM.DIST((Tabella3[[#This Row],[Day]]-pa),mu_a,sigma_a,FALSE),0)</f>
        <v>997.53299609153396</v>
      </c>
      <c r="AB130" s="90">
        <f>Tabella3[[#This Row],[rest of Italy fit]]/y_a_peak</f>
        <v>0.29520242058664792</v>
      </c>
      <c r="AC130" s="90">
        <f>Tabella3[[#This Row],[rest of Italy fit]]*NOT(ISBLANK(Tabella3[[#This Row],[rest of Italy data]]))</f>
        <v>0</v>
      </c>
    </row>
    <row r="131" spans="2:29" x14ac:dyDescent="0.3">
      <c r="B131" s="9">
        <v>43954</v>
      </c>
      <c r="C131" s="4">
        <v>124</v>
      </c>
      <c r="E131" s="10"/>
      <c r="F131" s="90">
        <f>Tabella3[[#This Row],[Spain daily cases]]*NOT(ISBLANK(Tabella3[[#This Row],[Spain daily cases]]))</f>
        <v>0</v>
      </c>
      <c r="G131" s="90">
        <f>IFERROR(Kf*_xlfn.LOGNORM.DIST((Tabella3[[#This Row],[Day]]-pf),mu_f,sigma_f,FALSE),0)</f>
        <v>2197.228925371332</v>
      </c>
      <c r="H131" s="90">
        <f>Tabella3[[#This Row],[Spain daily cases fit]]/y_f_peak</f>
        <v>0.32918935330069315</v>
      </c>
      <c r="I131" s="90">
        <f>Tabella3[[#This Row],[Spain daily cases fit]]*NOT(ISBLANK(Tabella3[[#This Row],[Spain daily cases]]))</f>
        <v>0</v>
      </c>
      <c r="M131" s="10"/>
      <c r="N131" s="90">
        <f>Tabella3[[#This Row],[Lombardy data]]*NOT(ISBLANK(Tabella3[[#This Row],[Lombardy data]]))</f>
        <v>0</v>
      </c>
      <c r="O131" s="95">
        <f>Tabella8[[#This Row],[Lombardy fit]]</f>
        <v>77155.516741352141</v>
      </c>
      <c r="P131" s="90">
        <f>Tabella3[[#This Row],[Lombardy cumul. Fit]]/Kl</f>
        <v>0.88684502001554188</v>
      </c>
      <c r="Q131" s="90">
        <f>IFERROR(Kl*_xlfn.LOGNORM.DIST((Tabella3[[#This Row],[Day]]-pl),mu_l,sigma_l,FALSE),0)</f>
        <v>528.54042571051821</v>
      </c>
      <c r="R131" s="90">
        <f>Tabella3[[#This Row],[Lombardy fit]]/y_l_peak</f>
        <v>0.30065649258610833</v>
      </c>
      <c r="S131" s="90">
        <f>Tabella3[[#This Row],[Lombardy fit]]*NOT(ISBLANK(Tabella3[[#This Row],[Lombardy data]]))</f>
        <v>0</v>
      </c>
      <c r="W131" s="10"/>
      <c r="X131" s="90">
        <f>Tabella3[[#This Row],[rest of Italy data]]*NOT(ISBLANK(Tabella3[[#This Row],[rest of Italy data]]))</f>
        <v>0</v>
      </c>
      <c r="Y131" s="95">
        <f>Tabella8[[#This Row],[rest of Italy fit]]</f>
        <v>133078.41367472205</v>
      </c>
      <c r="Z131" s="90">
        <f>Tabella3[[#This Row],[rest of Italy cumul. Fit]]/Ka</f>
        <v>0.89917857544988045</v>
      </c>
      <c r="AA131" s="90">
        <f>IFERROR(Ka*_xlfn.LOGNORM.DIST((Tabella3[[#This Row],[Day]]-pa),mu_a,sigma_a,FALSE),0)</f>
        <v>941.97963812968112</v>
      </c>
      <c r="AB131" s="90">
        <f>Tabella3[[#This Row],[rest of Italy fit]]/y_a_peak</f>
        <v>0.27876237719328567</v>
      </c>
      <c r="AC131" s="90">
        <f>Tabella3[[#This Row],[rest of Italy fit]]*NOT(ISBLANK(Tabella3[[#This Row],[rest of Italy data]]))</f>
        <v>0</v>
      </c>
    </row>
    <row r="132" spans="2:29" x14ac:dyDescent="0.3">
      <c r="B132" s="9">
        <v>43955</v>
      </c>
      <c r="C132" s="4">
        <v>125</v>
      </c>
      <c r="E132" s="10"/>
      <c r="F132" s="90">
        <f>Tabella3[[#This Row],[Spain daily cases]]*NOT(ISBLANK(Tabella3[[#This Row],[Spain daily cases]]))</f>
        <v>0</v>
      </c>
      <c r="G132" s="90">
        <f>IFERROR(Kf*_xlfn.LOGNORM.DIST((Tabella3[[#This Row],[Day]]-pf),mu_f,sigma_f,FALSE),0)</f>
        <v>2064.359055053093</v>
      </c>
      <c r="H132" s="90">
        <f>Tabella3[[#This Row],[Spain daily cases fit]]/y_f_peak</f>
        <v>0.30928275814433448</v>
      </c>
      <c r="I132" s="90">
        <f>Tabella3[[#This Row],[Spain daily cases fit]]*NOT(ISBLANK(Tabella3[[#This Row],[Spain daily cases]]))</f>
        <v>0</v>
      </c>
      <c r="M132" s="10"/>
      <c r="N132" s="90">
        <f>Tabella3[[#This Row],[Lombardy data]]*NOT(ISBLANK(Tabella3[[#This Row],[Lombardy data]]))</f>
        <v>0</v>
      </c>
      <c r="O132" s="95">
        <f>Tabella8[[#This Row],[Lombardy fit]]</f>
        <v>77671.255038565258</v>
      </c>
      <c r="P132" s="90">
        <f>Tabella3[[#This Row],[Lombardy cumul. Fit]]/Kl</f>
        <v>0.89277304642029032</v>
      </c>
      <c r="Q132" s="90">
        <f>IFERROR(Kl*_xlfn.LOGNORM.DIST((Tabella3[[#This Row],[Day]]-pl),mu_l,sigma_l,FALSE),0)</f>
        <v>503.10543615765926</v>
      </c>
      <c r="R132" s="90">
        <f>Tabella3[[#This Row],[Lombardy fit]]/y_l_peak</f>
        <v>0.28618797820965974</v>
      </c>
      <c r="S132" s="90">
        <f>Tabella3[[#This Row],[Lombardy fit]]*NOT(ISBLANK(Tabella3[[#This Row],[Lombardy data]]))</f>
        <v>0</v>
      </c>
      <c r="W132" s="10"/>
      <c r="X132" s="90">
        <f>Tabella3[[#This Row],[rest of Italy data]]*NOT(ISBLANK(Tabella3[[#This Row],[rest of Italy data]]))</f>
        <v>0</v>
      </c>
      <c r="Y132" s="95">
        <f>Tabella8[[#This Row],[rest of Italy fit]]</f>
        <v>133993.67367513973</v>
      </c>
      <c r="Z132" s="90">
        <f>Tabella3[[#This Row],[rest of Italy cumul. Fit]]/Ka</f>
        <v>0.90536276536180271</v>
      </c>
      <c r="AA132" s="90">
        <f>IFERROR(Ka*_xlfn.LOGNORM.DIST((Tabella3[[#This Row],[Day]]-pa),mu_a,sigma_a,FALSE),0)</f>
        <v>888.95814490617602</v>
      </c>
      <c r="AB132" s="90">
        <f>Tabella3[[#This Row],[rest of Italy fit]]/y_a_peak</f>
        <v>0.26307159482916925</v>
      </c>
      <c r="AC132" s="90">
        <f>Tabella3[[#This Row],[rest of Italy fit]]*NOT(ISBLANK(Tabella3[[#This Row],[rest of Italy data]]))</f>
        <v>0</v>
      </c>
    </row>
    <row r="133" spans="2:29" x14ac:dyDescent="0.3">
      <c r="B133" s="9">
        <v>43956</v>
      </c>
      <c r="C133" s="4">
        <v>126</v>
      </c>
      <c r="E133" s="10"/>
      <c r="F133" s="10">
        <f>Tabella3[[#This Row],[Spain daily cases]]*NOT(ISBLANK(Tabella3[[#This Row],[Spain daily cases]]))</f>
        <v>0</v>
      </c>
      <c r="G133" s="90">
        <f>IFERROR(Kf*_xlfn.LOGNORM.DIST((Tabella3[[#This Row],[Day]]-pf),mu_f,sigma_f,FALSE),0)</f>
        <v>1937.6024190554631</v>
      </c>
      <c r="H133" s="90">
        <f>Tabella3[[#This Row],[Spain daily cases fit]]/y_f_peak</f>
        <v>0.29029204918869883</v>
      </c>
      <c r="I133" s="10">
        <f>Tabella3[[#This Row],[Spain daily cases fit]]*NOT(ISBLANK(Tabella3[[#This Row],[Spain daily cases]]))</f>
        <v>0</v>
      </c>
      <c r="M133" s="10"/>
      <c r="N133" s="10">
        <f>Tabella3[[#This Row],[Lombardy data]]*NOT(ISBLANK(Tabella3[[#This Row],[Lombardy data]]))</f>
        <v>0</v>
      </c>
      <c r="O133" s="95">
        <f>Tabella8[[#This Row],[Lombardy fit]]</f>
        <v>78162.063365355221</v>
      </c>
      <c r="P133" s="90">
        <f>Tabella3[[#This Row],[Lombardy cumul. Fit]]/Kl</f>
        <v>0.89841452144086464</v>
      </c>
      <c r="Q133" s="90">
        <f>IFERROR(Kl*_xlfn.LOGNORM.DIST((Tabella3[[#This Row],[Day]]-pl),mu_l,sigma_l,FALSE),0)</f>
        <v>478.67761974325276</v>
      </c>
      <c r="R133" s="90">
        <f>Tabella3[[#This Row],[Lombardy fit]]/y_l_peak</f>
        <v>0.27229238716793436</v>
      </c>
      <c r="S133" s="10">
        <f>Tabella3[[#This Row],[Lombardy fit]]*NOT(ISBLANK(Tabella3[[#This Row],[Lombardy data]]))</f>
        <v>0</v>
      </c>
      <c r="W133" s="10"/>
      <c r="X133" s="10">
        <f>Tabella3[[#This Row],[rest of Italy data]]*NOT(ISBLANK(Tabella3[[#This Row],[rest of Italy data]]))</f>
        <v>0</v>
      </c>
      <c r="Y133" s="95">
        <f>Tabella8[[#This Row],[rest of Italy fit]]</f>
        <v>134857.15630708213</v>
      </c>
      <c r="Z133" s="90">
        <f>Tabella3[[#This Row],[rest of Italy cumul. Fit]]/Ka</f>
        <v>0.91119710814870625</v>
      </c>
      <c r="AA133" s="90">
        <f>IFERROR(Ka*_xlfn.LOGNORM.DIST((Tabella3[[#This Row],[Day]]-pa),mu_a,sigma_a,FALSE),0)</f>
        <v>838.41545426304185</v>
      </c>
      <c r="AB133" s="90">
        <f>Tabella3[[#This Row],[rest of Italy fit]]/y_a_peak</f>
        <v>0.24811437067791298</v>
      </c>
      <c r="AC133" s="10">
        <f>Tabella3[[#This Row],[rest of Italy fit]]*NOT(ISBLANK(Tabella3[[#This Row],[rest of Italy data]]))</f>
        <v>0</v>
      </c>
    </row>
    <row r="134" spans="2:29" x14ac:dyDescent="0.3">
      <c r="B134" s="9">
        <v>43957</v>
      </c>
      <c r="C134" s="4">
        <v>127</v>
      </c>
      <c r="E134" s="10"/>
      <c r="F134" s="10">
        <f>Tabella3[[#This Row],[Spain daily cases]]*NOT(ISBLANK(Tabella3[[#This Row],[Spain daily cases]]))</f>
        <v>0</v>
      </c>
      <c r="G134" s="90">
        <f>IFERROR(Kf*_xlfn.LOGNORM.DIST((Tabella3[[#This Row],[Day]]-pf),mu_f,sigma_f,FALSE),0)</f>
        <v>1816.8990434080113</v>
      </c>
      <c r="H134" s="90">
        <f>Tabella3[[#This Row],[Spain daily cases fit]]/y_f_peak</f>
        <v>0.27220824111945985</v>
      </c>
      <c r="I134" s="10">
        <f>Tabella3[[#This Row],[Spain daily cases fit]]*NOT(ISBLANK(Tabella3[[#This Row],[Spain daily cases]]))</f>
        <v>0</v>
      </c>
      <c r="M134" s="10"/>
      <c r="N134" s="10">
        <f>Tabella3[[#This Row],[Lombardy data]]*NOT(ISBLANK(Tabella3[[#This Row],[Lombardy data]]))</f>
        <v>0</v>
      </c>
      <c r="O134" s="95">
        <f>Tabella8[[#This Row],[Lombardy fit]]</f>
        <v>78628.939908572895</v>
      </c>
      <c r="P134" s="90">
        <f>Tabella3[[#This Row],[Lombardy cumul. Fit]]/Kl</f>
        <v>0.90378091848934361</v>
      </c>
      <c r="Q134" s="90">
        <f>IFERROR(Kl*_xlfn.LOGNORM.DIST((Tabella3[[#This Row],[Day]]-pl),mu_l,sigma_l,FALSE),0)</f>
        <v>455.23862520672765</v>
      </c>
      <c r="R134" s="90">
        <f>Tabella3[[#This Row],[Lombardy fit]]/y_l_peak</f>
        <v>0.25895928047581485</v>
      </c>
      <c r="S134" s="10">
        <f>Tabella3[[#This Row],[Lombardy fit]]*NOT(ISBLANK(Tabella3[[#This Row],[Lombardy data]]))</f>
        <v>0</v>
      </c>
      <c r="W134" s="10"/>
      <c r="X134" s="10">
        <f>Tabella3[[#This Row],[rest of Italy data]]*NOT(ISBLANK(Tabella3[[#This Row],[rest of Italy data]]))</f>
        <v>0</v>
      </c>
      <c r="Y134" s="95">
        <f>Tabella8[[#This Row],[rest of Italy fit]]</f>
        <v>135671.31096960977</v>
      </c>
      <c r="Z134" s="90">
        <f>Tabella3[[#This Row],[rest of Italy cumul. Fit]]/Ka</f>
        <v>0.91669815380616992</v>
      </c>
      <c r="AA134" s="90">
        <f>IFERROR(Ka*_xlfn.LOGNORM.DIST((Tabella3[[#This Row],[Day]]-pa),mu_a,sigma_a,FALSE),0)</f>
        <v>790.29173720672065</v>
      </c>
      <c r="AB134" s="90">
        <f>Tabella3[[#This Row],[rest of Italy fit]]/y_a_peak</f>
        <v>0.23387299939664719</v>
      </c>
      <c r="AC134" s="10">
        <f>Tabella3[[#This Row],[rest of Italy fit]]*NOT(ISBLANK(Tabella3[[#This Row],[rest of Italy data]]))</f>
        <v>0</v>
      </c>
    </row>
    <row r="135" spans="2:29" x14ac:dyDescent="0.3">
      <c r="B135" s="9">
        <v>43958</v>
      </c>
      <c r="C135" s="4">
        <v>128</v>
      </c>
      <c r="E135" s="10"/>
      <c r="F135" s="10">
        <f>Tabella3[[#This Row],[Spain daily cases]]*NOT(ISBLANK(Tabella3[[#This Row],[Spain daily cases]]))</f>
        <v>0</v>
      </c>
      <c r="G135" s="90">
        <f>IFERROR(Kf*_xlfn.LOGNORM.DIST((Tabella3[[#This Row],[Day]]-pf),mu_f,sigma_f,FALSE),0)</f>
        <v>1702.1588782887195</v>
      </c>
      <c r="H135" s="90">
        <f>Tabella3[[#This Row],[Spain daily cases fit]]/y_f_peak</f>
        <v>0.25501784265114774</v>
      </c>
      <c r="I135" s="10">
        <f>Tabella3[[#This Row],[Spain daily cases fit]]*NOT(ISBLANK(Tabella3[[#This Row],[Spain daily cases]]))</f>
        <v>0</v>
      </c>
      <c r="M135" s="10"/>
      <c r="N135" s="10">
        <f>Tabella3[[#This Row],[Lombardy data]]*NOT(ISBLANK(Tabella3[[#This Row],[Lombardy data]]))</f>
        <v>0</v>
      </c>
      <c r="O135" s="95">
        <f>Tabella8[[#This Row],[Lombardy fit]]</f>
        <v>79072.86342737946</v>
      </c>
      <c r="P135" s="90">
        <f>Tabella3[[#This Row],[Lombardy cumul. Fit]]/Kl</f>
        <v>0.90888348767102822</v>
      </c>
      <c r="Q135" s="90">
        <f>IFERROR(Kl*_xlfn.LOGNORM.DIST((Tabella3[[#This Row],[Day]]-pl),mu_l,sigma_l,FALSE),0)</f>
        <v>432.76800702007944</v>
      </c>
      <c r="R135" s="90">
        <f>Tabella3[[#This Row],[Lombardy fit]]/y_l_peak</f>
        <v>0.24617702783892856</v>
      </c>
      <c r="S135" s="10">
        <f>Tabella3[[#This Row],[Lombardy fit]]*NOT(ISBLANK(Tabella3[[#This Row],[Lombardy data]]))</f>
        <v>0</v>
      </c>
      <c r="W135" s="10"/>
      <c r="X135" s="10">
        <f>Tabella3[[#This Row],[rest of Italy data]]*NOT(ISBLANK(Tabella3[[#This Row],[rest of Italy data]]))</f>
        <v>0</v>
      </c>
      <c r="Y135" s="95">
        <f>Tabella8[[#This Row],[rest of Italy fit]]</f>
        <v>136438.52436496739</v>
      </c>
      <c r="Z135" s="90">
        <f>Tabella3[[#This Row],[rest of Italy cumul. Fit]]/Ka</f>
        <v>0.92188202870258951</v>
      </c>
      <c r="AA135" s="90">
        <f>IFERROR(Ka*_xlfn.LOGNORM.DIST((Tabella3[[#This Row],[Day]]-pa),mu_a,sigma_a,FALSE),0)</f>
        <v>744.52162315135365</v>
      </c>
      <c r="AB135" s="90">
        <f>Tabella3[[#This Row],[rest of Italy fit]]/y_a_peak</f>
        <v>0.22032813570530974</v>
      </c>
      <c r="AC135" s="10">
        <f>Tabella3[[#This Row],[rest of Italy fit]]*NOT(ISBLANK(Tabella3[[#This Row],[rest of Italy data]]))</f>
        <v>0</v>
      </c>
    </row>
    <row r="136" spans="2:29" x14ac:dyDescent="0.3">
      <c r="B136" s="9">
        <v>43959</v>
      </c>
      <c r="C136" s="4">
        <v>129</v>
      </c>
      <c r="E136" s="10"/>
      <c r="F136" s="10">
        <f>Tabella3[[#This Row],[Spain daily cases]]*NOT(ISBLANK(Tabella3[[#This Row],[Spain daily cases]]))</f>
        <v>0</v>
      </c>
      <c r="G136" s="90">
        <f>IFERROR(Kf*_xlfn.LOGNORM.DIST((Tabella3[[#This Row],[Day]]-pf),mu_f,sigma_f,FALSE),0)</f>
        <v>1593.2662255735843</v>
      </c>
      <c r="H136" s="90">
        <f>Tabella3[[#This Row],[Spain daily cases fit]]/y_f_peak</f>
        <v>0.23870351986366931</v>
      </c>
      <c r="I136" s="10">
        <f>Tabella3[[#This Row],[Spain daily cases fit]]*NOT(ISBLANK(Tabella3[[#This Row],[Spain daily cases]]))</f>
        <v>0</v>
      </c>
      <c r="M136" s="10"/>
      <c r="N136" s="10">
        <f>Tabella3[[#This Row],[Lombardy data]]*NOT(ISBLANK(Tabella3[[#This Row],[Lombardy data]]))</f>
        <v>0</v>
      </c>
      <c r="O136" s="95">
        <f>Tabella8[[#This Row],[Lombardy fit]]</f>
        <v>79494.791329642132</v>
      </c>
      <c r="P136" s="90">
        <f>Tabella3[[#This Row],[Lombardy cumul. Fit]]/Kl</f>
        <v>0.91373323367404746</v>
      </c>
      <c r="Q136" s="90">
        <f>IFERROR(Kl*_xlfn.LOGNORM.DIST((Tabella3[[#This Row],[Day]]-pl),mu_l,sigma_l,FALSE),0)</f>
        <v>411.24356165364134</v>
      </c>
      <c r="R136" s="90">
        <f>Tabella3[[#This Row],[Lombardy fit]]/y_l_peak</f>
        <v>0.23393299893605896</v>
      </c>
      <c r="S136" s="10">
        <f>Tabella3[[#This Row],[Lombardy fit]]*NOT(ISBLANK(Tabella3[[#This Row],[Lombardy data]]))</f>
        <v>0</v>
      </c>
      <c r="W136" s="10"/>
      <c r="X136" s="10">
        <f>Tabella3[[#This Row],[rest of Italy data]]*NOT(ISBLANK(Tabella3[[#This Row],[rest of Italy data]]))</f>
        <v>0</v>
      </c>
      <c r="Y136" s="95">
        <f>Tabella8[[#This Row],[rest of Italy fit]]</f>
        <v>137161.11551953363</v>
      </c>
      <c r="Z136" s="90">
        <f>Tabella3[[#This Row],[rest of Italy cumul. Fit]]/Ka</f>
        <v>0.92676440193694198</v>
      </c>
      <c r="AA136" s="90">
        <f>IFERROR(Ka*_xlfn.LOGNORM.DIST((Tabella3[[#This Row],[Day]]-pa),mu_a,sigma_a,FALSE),0)</f>
        <v>701.03530560469312</v>
      </c>
      <c r="AB136" s="90">
        <f>Tabella3[[#This Row],[rest of Italy fit]]/y_a_peak</f>
        <v>0.20745912159502775</v>
      </c>
      <c r="AC136" s="10">
        <f>Tabella3[[#This Row],[rest of Italy fit]]*NOT(ISBLANK(Tabella3[[#This Row],[rest of Italy data]]))</f>
        <v>0</v>
      </c>
    </row>
    <row r="137" spans="2:29" x14ac:dyDescent="0.3">
      <c r="B137" s="9">
        <v>43960</v>
      </c>
      <c r="C137" s="4">
        <v>130</v>
      </c>
      <c r="E137" s="10"/>
      <c r="F137" s="10">
        <f>Tabella3[[#This Row],[Spain daily cases]]*NOT(ISBLANK(Tabella3[[#This Row],[Spain daily cases]]))</f>
        <v>0</v>
      </c>
      <c r="G137" s="90">
        <f>IFERROR(Kf*_xlfn.LOGNORM.DIST((Tabella3[[#This Row],[Day]]-pf),mu_f,sigma_f,FALSE),0)</f>
        <v>1490.0838203600817</v>
      </c>
      <c r="H137" s="90">
        <f>Tabella3[[#This Row],[Spain daily cases fit]]/y_f_peak</f>
        <v>0.22324470769711155</v>
      </c>
      <c r="I137" s="10">
        <f>Tabella3[[#This Row],[Spain daily cases fit]]*NOT(ISBLANK(Tabella3[[#This Row],[Spain daily cases]]))</f>
        <v>0</v>
      </c>
      <c r="M137" s="10"/>
      <c r="N137" s="10">
        <f>Tabella3[[#This Row],[Lombardy data]]*NOT(ISBLANK(Tabella3[[#This Row],[Lombardy data]]))</f>
        <v>0</v>
      </c>
      <c r="O137" s="95">
        <f>Tabella8[[#This Row],[Lombardy fit]]</f>
        <v>79895.658069660931</v>
      </c>
      <c r="P137" s="90">
        <f>Tabella3[[#This Row],[Lombardy cumul. Fit]]/Kl</f>
        <v>0.91834089735242452</v>
      </c>
      <c r="Q137" s="90">
        <f>IFERROR(Kl*_xlfn.LOGNORM.DIST((Tabella3[[#This Row],[Day]]-pl),mu_l,sigma_l,FALSE),0)</f>
        <v>390.64163422160391</v>
      </c>
      <c r="R137" s="90">
        <f>Tabella3[[#This Row],[Lombardy fit]]/y_l_peak</f>
        <v>0.22221373785228632</v>
      </c>
      <c r="S137" s="10">
        <f>Tabella3[[#This Row],[Lombardy fit]]*NOT(ISBLANK(Tabella3[[#This Row],[Lombardy data]]))</f>
        <v>0</v>
      </c>
      <c r="W137" s="10"/>
      <c r="X137" s="10">
        <f>Tabella3[[#This Row],[rest of Italy data]]*NOT(ISBLANK(Tabella3[[#This Row],[rest of Italy data]]))</f>
        <v>0</v>
      </c>
      <c r="Y137" s="95">
        <f>Tabella8[[#This Row],[rest of Italy fit]]</f>
        <v>137841.33185336328</v>
      </c>
      <c r="Z137" s="90">
        <f>Tabella3[[#This Row],[rest of Italy cumul. Fit]]/Ka</f>
        <v>0.93136045878163576</v>
      </c>
      <c r="AA137" s="90">
        <f>IFERROR(Ka*_xlfn.LOGNORM.DIST((Tabella3[[#This Row],[Day]]-pa),mu_a,sigma_a,FALSE),0)</f>
        <v>659.75953478016152</v>
      </c>
      <c r="AB137" s="90">
        <f>Tabella3[[#This Row],[rest of Italy fit]]/y_a_peak</f>
        <v>0.19524428007427327</v>
      </c>
      <c r="AC137" s="10">
        <f>Tabella3[[#This Row],[rest of Italy fit]]*NOT(ISBLANK(Tabella3[[#This Row],[rest of Italy data]]))</f>
        <v>0</v>
      </c>
    </row>
    <row r="138" spans="2:29" x14ac:dyDescent="0.3">
      <c r="B138" s="9">
        <v>43961</v>
      </c>
      <c r="C138" s="4">
        <v>131</v>
      </c>
      <c r="E138" s="10"/>
      <c r="F138" s="10">
        <f>Tabella3[[#This Row],[Spain daily cases]]*NOT(ISBLANK(Tabella3[[#This Row],[Spain daily cases]]))</f>
        <v>0</v>
      </c>
      <c r="G138" s="90">
        <f>IFERROR(Kf*_xlfn.LOGNORM.DIST((Tabella3[[#This Row],[Day]]-pf),mu_f,sigma_f,FALSE),0)</f>
        <v>1392.4565683377853</v>
      </c>
      <c r="H138" s="90">
        <f>Tabella3[[#This Row],[Spain daily cases fit]]/y_f_peak</f>
        <v>0.2086181698854849</v>
      </c>
      <c r="I138" s="10">
        <f>Tabella3[[#This Row],[Spain daily cases fit]]*NOT(ISBLANK(Tabella3[[#This Row],[Spain daily cases]]))</f>
        <v>0</v>
      </c>
      <c r="M138" s="10"/>
      <c r="N138" s="10">
        <f>Tabella3[[#This Row],[Lombardy data]]*NOT(ISBLANK(Tabella3[[#This Row],[Lombardy data]]))</f>
        <v>0</v>
      </c>
      <c r="O138" s="95">
        <f>Tabella8[[#This Row],[Lombardy fit]]</f>
        <v>80276.373838365733</v>
      </c>
      <c r="P138" s="90">
        <f>Tabella3[[#This Row],[Lombardy cumul. Fit]]/Kl</f>
        <v>0.92271694067087051</v>
      </c>
      <c r="Q138" s="90">
        <f>IFERROR(Kl*_xlfn.LOGNORM.DIST((Tabella3[[#This Row],[Day]]-pl),mu_l,sigma_l,FALSE),0)</f>
        <v>370.93739703769523</v>
      </c>
      <c r="R138" s="90">
        <f>Tabella3[[#This Row],[Lombardy fit]]/y_l_peak</f>
        <v>0.21100512153342132</v>
      </c>
      <c r="S138" s="10">
        <f>Tabella3[[#This Row],[Lombardy fit]]*NOT(ISBLANK(Tabella3[[#This Row],[Lombardy data]]))</f>
        <v>0</v>
      </c>
      <c r="W138" s="10"/>
      <c r="X138" s="10">
        <f>Tabella3[[#This Row],[rest of Italy data]]*NOT(ISBLANK(Tabella3[[#This Row],[rest of Italy data]]))</f>
        <v>0</v>
      </c>
      <c r="Y138" s="95">
        <f>Tabella8[[#This Row],[rest of Italy fit]]</f>
        <v>138481.34618863615</v>
      </c>
      <c r="Z138" s="90">
        <f>Tabella3[[#This Row],[rest of Italy cumul. Fit]]/Ka</f>
        <v>0.9356848804693243</v>
      </c>
      <c r="AA138" s="90">
        <f>IFERROR(Ka*_xlfn.LOGNORM.DIST((Tabella3[[#This Row],[Day]]-pa),mu_a,sigma_a,FALSE),0)</f>
        <v>620.61850395336728</v>
      </c>
      <c r="AB138" s="90">
        <f>Tabella3[[#This Row],[rest of Italy fit]]/y_a_peak</f>
        <v>0.18366117747055147</v>
      </c>
      <c r="AC138" s="10">
        <f>Tabella3[[#This Row],[rest of Italy fit]]*NOT(ISBLANK(Tabella3[[#This Row],[rest of Italy data]]))</f>
        <v>0</v>
      </c>
    </row>
    <row r="139" spans="2:29" x14ac:dyDescent="0.3">
      <c r="B139" s="9">
        <v>43962</v>
      </c>
      <c r="C139" s="4">
        <v>132</v>
      </c>
      <c r="E139" s="10"/>
      <c r="F139" s="10">
        <f>Tabella3[[#This Row],[Spain daily cases]]*NOT(ISBLANK(Tabella3[[#This Row],[Spain daily cases]]))</f>
        <v>0</v>
      </c>
      <c r="G139" s="90">
        <f>IFERROR(Kf*_xlfn.LOGNORM.DIST((Tabella3[[#This Row],[Day]]-pf),mu_f,sigma_f,FALSE),0)</f>
        <v>1300.2149455988288</v>
      </c>
      <c r="H139" s="90">
        <f>Tabella3[[#This Row],[Spain daily cases fit]]/y_f_peak</f>
        <v>0.1947985083171247</v>
      </c>
      <c r="I139" s="10">
        <f>Tabella3[[#This Row],[Spain daily cases fit]]*NOT(ISBLANK(Tabella3[[#This Row],[Spain daily cases]]))</f>
        <v>0</v>
      </c>
      <c r="M139" s="10"/>
      <c r="N139" s="10">
        <f>Tabella3[[#This Row],[Lombardy data]]*NOT(ISBLANK(Tabella3[[#This Row],[Lombardy data]]))</f>
        <v>0</v>
      </c>
      <c r="O139" s="95">
        <f>Tabella8[[#This Row],[Lombardy fit]]</f>
        <v>80637.823518680394</v>
      </c>
      <c r="P139" s="90">
        <f>Tabella3[[#This Row],[Lombardy cumul. Fit]]/Kl</f>
        <v>0.92687153469747574</v>
      </c>
      <c r="Q139" s="90">
        <f>IFERROR(Kl*_xlfn.LOGNORM.DIST((Tabella3[[#This Row],[Day]]-pl),mu_l,sigma_l,FALSE),0)</f>
        <v>352.10510165754272</v>
      </c>
      <c r="R139" s="90">
        <f>Tabella3[[#This Row],[Lombardy fit]]/y_l_peak</f>
        <v>0.20029250315852462</v>
      </c>
      <c r="S139" s="10">
        <f>Tabella3[[#This Row],[Lombardy fit]]*NOT(ISBLANK(Tabella3[[#This Row],[Lombardy data]]))</f>
        <v>0</v>
      </c>
      <c r="W139" s="10"/>
      <c r="X139" s="10">
        <f>Tabella3[[#This Row],[rest of Italy data]]*NOT(ISBLANK(Tabella3[[#This Row],[rest of Italy data]]))</f>
        <v>0</v>
      </c>
      <c r="Y139" s="95">
        <f>Tabella8[[#This Row],[rest of Italy fit]]</f>
        <v>139083.25459424485</v>
      </c>
      <c r="Z139" s="90">
        <f>Tabella3[[#This Row],[rest of Italy cumul. Fit]]/Ka</f>
        <v>0.93975182962930925</v>
      </c>
      <c r="AA139" s="90">
        <f>IFERROR(Ka*_xlfn.LOGNORM.DIST((Tabella3[[#This Row],[Day]]-pa),mu_a,sigma_a,FALSE),0)</f>
        <v>583.53463655676308</v>
      </c>
      <c r="AB139" s="90">
        <f>Tabella3[[#This Row],[rest of Italy fit]]/y_a_peak</f>
        <v>0.17268685635728045</v>
      </c>
      <c r="AC139" s="10">
        <f>Tabella3[[#This Row],[rest of Italy fit]]*NOT(ISBLANK(Tabella3[[#This Row],[rest of Italy data]]))</f>
        <v>0</v>
      </c>
    </row>
    <row r="140" spans="2:29" x14ac:dyDescent="0.3">
      <c r="B140" s="9">
        <v>43963</v>
      </c>
      <c r="C140" s="4">
        <v>133</v>
      </c>
      <c r="E140" s="10"/>
      <c r="F140" s="10">
        <f>Tabella3[[#This Row],[Spain daily cases]]*NOT(ISBLANK(Tabella3[[#This Row],[Spain daily cases]]))</f>
        <v>0</v>
      </c>
      <c r="G140" s="90">
        <f>IFERROR(Kf*_xlfn.LOGNORM.DIST((Tabella3[[#This Row],[Day]]-pf),mu_f,sigma_f,FALSE),0)</f>
        <v>1213.178071241771</v>
      </c>
      <c r="H140" s="90">
        <f>Tabella3[[#This Row],[Spain daily cases fit]]/y_f_peak</f>
        <v>0.18175862337292326</v>
      </c>
      <c r="I140" s="10">
        <f>Tabella3[[#This Row],[Spain daily cases fit]]*NOT(ISBLANK(Tabella3[[#This Row],[Spain daily cases]]))</f>
        <v>0</v>
      </c>
      <c r="M140" s="10"/>
      <c r="N140" s="10">
        <f>Tabella3[[#This Row],[Lombardy data]]*NOT(ISBLANK(Tabella3[[#This Row],[Lombardy data]]))</f>
        <v>0</v>
      </c>
      <c r="O140" s="95">
        <f>Tabella8[[#This Row],[Lombardy fit]]</f>
        <v>80980.86588033702</v>
      </c>
      <c r="P140" s="90">
        <f>Tabella3[[#This Row],[Lombardy cumul. Fit]]/Kl</f>
        <v>0.93081455034870142</v>
      </c>
      <c r="Q140" s="90">
        <f>IFERROR(Kl*_xlfn.LOGNORM.DIST((Tabella3[[#This Row],[Day]]-pl),mu_l,sigma_l,FALSE),0)</f>
        <v>334.1183060046618</v>
      </c>
      <c r="R140" s="90">
        <f>Tabella3[[#This Row],[Lombardy fit]]/y_l_peak</f>
        <v>0.19006084133892312</v>
      </c>
      <c r="S140" s="10">
        <f>Tabella3[[#This Row],[Lombardy fit]]*NOT(ISBLANK(Tabella3[[#This Row],[Lombardy data]]))</f>
        <v>0</v>
      </c>
      <c r="W140" s="10"/>
      <c r="X140" s="10">
        <f>Tabella3[[#This Row],[rest of Italy data]]*NOT(ISBLANK(Tabella3[[#This Row],[rest of Italy data]]))</f>
        <v>0</v>
      </c>
      <c r="Y140" s="95">
        <f>Tabella8[[#This Row],[rest of Italy fit]]</f>
        <v>139649.07497077979</v>
      </c>
      <c r="Z140" s="90">
        <f>Tabella3[[#This Row],[rest of Italy cumul. Fit]]/Ka</f>
        <v>0.94357494072662651</v>
      </c>
      <c r="AA140" s="90">
        <f>IFERROR(Ka*_xlfn.LOGNORM.DIST((Tabella3[[#This Row],[Day]]-pa),mu_a,sigma_a,FALSE),0)</f>
        <v>548.42928104988653</v>
      </c>
      <c r="AB140" s="90">
        <f>Tabella3[[#This Row],[rest of Italy fit]]/y_a_peak</f>
        <v>0.16229804118846988</v>
      </c>
      <c r="AC140" s="10">
        <f>Tabella3[[#This Row],[rest of Italy fit]]*NOT(ISBLANK(Tabella3[[#This Row],[rest of Italy data]]))</f>
        <v>0</v>
      </c>
    </row>
    <row r="141" spans="2:29" x14ac:dyDescent="0.3">
      <c r="B141" s="9">
        <v>43964</v>
      </c>
      <c r="C141" s="4">
        <v>134</v>
      </c>
      <c r="E141" s="10"/>
      <c r="F141" s="10">
        <f>Tabella3[[#This Row],[Spain daily cases]]*NOT(ISBLANK(Tabella3[[#This Row],[Spain daily cases]]))</f>
        <v>0</v>
      </c>
      <c r="G141" s="90">
        <f>IFERROR(Kf*_xlfn.LOGNORM.DIST((Tabella3[[#This Row],[Day]]-pf),mu_f,sigma_f,FALSE),0)</f>
        <v>1131.1564660377999</v>
      </c>
      <c r="H141" s="90">
        <f>Tabella3[[#This Row],[Spain daily cases fit]]/y_f_peak</f>
        <v>0.16947012723034816</v>
      </c>
      <c r="I141" s="10">
        <f>Tabella3[[#This Row],[Spain daily cases fit]]*NOT(ISBLANK(Tabella3[[#This Row],[Spain daily cases]]))</f>
        <v>0</v>
      </c>
      <c r="M141" s="10"/>
      <c r="N141" s="10">
        <f>Tabella3[[#This Row],[Lombardy data]]*NOT(ISBLANK(Tabella3[[#This Row],[Lombardy data]]))</f>
        <v>0</v>
      </c>
      <c r="O141" s="95">
        <f>Tabella8[[#This Row],[Lombardy fit]]</f>
        <v>81306.332990023977</v>
      </c>
      <c r="P141" s="90">
        <f>Tabella3[[#This Row],[Lombardy cumul. Fit]]/Kl</f>
        <v>0.93455555160947101</v>
      </c>
      <c r="Q141" s="90">
        <f>IFERROR(Kl*_xlfn.LOGNORM.DIST((Tabella3[[#This Row],[Day]]-pl),mu_l,sigma_l,FALSE),0)</f>
        <v>316.95007817583087</v>
      </c>
      <c r="R141" s="90">
        <f>Tabella3[[#This Row],[Lombardy fit]]/y_l_peak</f>
        <v>0.18029481605145983</v>
      </c>
      <c r="S141" s="10">
        <f>Tabella3[[#This Row],[Lombardy fit]]*NOT(ISBLANK(Tabella3[[#This Row],[Lombardy data]]))</f>
        <v>0</v>
      </c>
      <c r="W141" s="10"/>
      <c r="X141" s="10">
        <f>Tabella3[[#This Row],[rest of Italy data]]*NOT(ISBLANK(Tabella3[[#This Row],[rest of Italy data]]))</f>
        <v>0</v>
      </c>
      <c r="Y141" s="95">
        <f>Tabella8[[#This Row],[rest of Italy fit]]</f>
        <v>140180.74628718375</v>
      </c>
      <c r="Z141" s="90">
        <f>Tabella3[[#This Row],[rest of Italy cumul. Fit]]/Ka</f>
        <v>0.94716731490430628</v>
      </c>
      <c r="AA141" s="90">
        <f>IFERROR(Ka*_xlfn.LOGNORM.DIST((Tabella3[[#This Row],[Day]]-pa),mu_a,sigma_a,FALSE),0)</f>
        <v>515.22332054014612</v>
      </c>
      <c r="AB141" s="90">
        <f>Tabella3[[#This Row],[rest of Italy fit]]/y_a_peak</f>
        <v>0.15247131870531652</v>
      </c>
      <c r="AC141" s="10">
        <f>Tabella3[[#This Row],[rest of Italy fit]]*NOT(ISBLANK(Tabella3[[#This Row],[rest of Italy data]]))</f>
        <v>0</v>
      </c>
    </row>
    <row r="142" spans="2:29" x14ac:dyDescent="0.3">
      <c r="B142" s="9">
        <v>43965</v>
      </c>
      <c r="C142" s="4">
        <v>135</v>
      </c>
      <c r="E142" s="10"/>
      <c r="F142" s="10">
        <f>Tabella3[[#This Row],[Spain daily cases]]*NOT(ISBLANK(Tabella3[[#This Row],[Spain daily cases]]))</f>
        <v>0</v>
      </c>
      <c r="G142" s="90">
        <f>IFERROR(Kf*_xlfn.LOGNORM.DIST((Tabella3[[#This Row],[Day]]-pf),mu_f,sigma_f,FALSE),0)</f>
        <v>1053.954512606248</v>
      </c>
      <c r="H142" s="90">
        <f>Tabella3[[#This Row],[Spain daily cases fit]]/y_f_peak</f>
        <v>0.15790371244751539</v>
      </c>
      <c r="I142" s="10">
        <f>Tabella3[[#This Row],[Spain daily cases fit]]*NOT(ISBLANK(Tabella3[[#This Row],[Spain daily cases]]))</f>
        <v>0</v>
      </c>
      <c r="M142" s="10"/>
      <c r="N142" s="10">
        <f>Tabella3[[#This Row],[Lombardy data]]*NOT(ISBLANK(Tabella3[[#This Row],[Lombardy data]]))</f>
        <v>0</v>
      </c>
      <c r="O142" s="95">
        <f>Tabella8[[#This Row],[Lombardy fit]]</f>
        <v>81615.02981433706</v>
      </c>
      <c r="P142" s="90">
        <f>Tabella3[[#This Row],[Lombardy cumul. Fit]]/Kl</f>
        <v>0.93810379096939145</v>
      </c>
      <c r="Q142" s="90">
        <f>IFERROR(Kl*_xlfn.LOGNORM.DIST((Tabella3[[#This Row],[Day]]-pl),mu_l,sigma_l,FALSE),0)</f>
        <v>300.57317850286819</v>
      </c>
      <c r="R142" s="90">
        <f>Tabella3[[#This Row],[Lombardy fit]]/y_l_peak</f>
        <v>0.17097893220305138</v>
      </c>
      <c r="S142" s="10">
        <f>Tabella3[[#This Row],[Lombardy fit]]*NOT(ISBLANK(Tabella3[[#This Row],[Lombardy data]]))</f>
        <v>0</v>
      </c>
      <c r="W142" s="10"/>
      <c r="X142" s="10">
        <f>Tabella3[[#This Row],[rest of Italy data]]*NOT(ISBLANK(Tabella3[[#This Row],[rest of Italy data]]))</f>
        <v>0</v>
      </c>
      <c r="Y142" s="95">
        <f>Tabella8[[#This Row],[rest of Italy fit]]</f>
        <v>140680.12838725458</v>
      </c>
      <c r="Z142" s="90">
        <f>Tabella3[[#This Row],[rest of Italy cumul. Fit]]/Ka</f>
        <v>0.95054151867595937</v>
      </c>
      <c r="AA142" s="90">
        <f>IFERROR(Ka*_xlfn.LOGNORM.DIST((Tabella3[[#This Row],[Day]]-pa),mu_a,sigma_a,FALSE),0)</f>
        <v>483.83770398131725</v>
      </c>
      <c r="AB142" s="90">
        <f>Tabella3[[#This Row],[rest of Italy fit]]/y_a_peak</f>
        <v>0.1431832951350962</v>
      </c>
      <c r="AC142" s="10">
        <f>Tabella3[[#This Row],[rest of Italy fit]]*NOT(ISBLANK(Tabella3[[#This Row],[rest of Italy data]]))</f>
        <v>0</v>
      </c>
    </row>
    <row r="143" spans="2:29" x14ac:dyDescent="0.3">
      <c r="B143" s="9">
        <v>43966</v>
      </c>
      <c r="C143" s="4">
        <v>136</v>
      </c>
      <c r="E143" s="10"/>
      <c r="F143" s="10">
        <f>Tabella3[[#This Row],[Spain daily cases]]*NOT(ISBLANK(Tabella3[[#This Row],[Spain daily cases]]))</f>
        <v>0</v>
      </c>
      <c r="G143" s="90">
        <f>IFERROR(Kf*_xlfn.LOGNORM.DIST((Tabella3[[#This Row],[Day]]-pf),mu_f,sigma_f,FALSE),0)</f>
        <v>981.37263408792944</v>
      </c>
      <c r="H143" s="90">
        <f>Tabella3[[#This Row],[Spain daily cases fit]]/y_f_peak</f>
        <v>0.14702947837253985</v>
      </c>
      <c r="I143" s="10">
        <f>Tabella3[[#This Row],[Spain daily cases fit]]*NOT(ISBLANK(Tabella3[[#This Row],[Spain daily cases]]))</f>
        <v>0</v>
      </c>
      <c r="M143" s="10"/>
      <c r="N143" s="10">
        <f>Tabella3[[#This Row],[Lombardy data]]*NOT(ISBLANK(Tabella3[[#This Row],[Lombardy data]]))</f>
        <v>0</v>
      </c>
      <c r="O143" s="95">
        <f>Tabella8[[#This Row],[Lombardy fit]]</f>
        <v>81907.733994565613</v>
      </c>
      <c r="P143" s="90">
        <f>Tabella3[[#This Row],[Lombardy cumul. Fit]]/Kl</f>
        <v>0.9414682068340875</v>
      </c>
      <c r="Q143" s="90">
        <f>IFERROR(Kl*_xlfn.LOGNORM.DIST((Tabella3[[#This Row],[Day]]-pl),mu_l,sigma_l,FALSE),0)</f>
        <v>284.96022141471974</v>
      </c>
      <c r="R143" s="90">
        <f>Tabella3[[#This Row],[Lombardy fit]]/y_l_peak</f>
        <v>0.1620976117047947</v>
      </c>
      <c r="S143" s="10">
        <f>Tabella3[[#This Row],[Lombardy fit]]*NOT(ISBLANK(Tabella3[[#This Row],[Lombardy data]]))</f>
        <v>0</v>
      </c>
      <c r="W143" s="10"/>
      <c r="X143" s="10">
        <f>Tabella3[[#This Row],[rest of Italy data]]*NOT(ISBLANK(Tabella3[[#This Row],[rest of Italy data]]))</f>
        <v>0</v>
      </c>
      <c r="Y143" s="95">
        <f>Tabella8[[#This Row],[rest of Italy fit]]</f>
        <v>141149.00229090173</v>
      </c>
      <c r="Z143" s="90">
        <f>Tabella3[[#This Row],[rest of Italy cumul. Fit]]/Ka</f>
        <v>0.95370958596129374</v>
      </c>
      <c r="AA143" s="90">
        <f>IFERROR(Ka*_xlfn.LOGNORM.DIST((Tabella3[[#This Row],[Day]]-pa),mu_a,sigma_a,FALSE),0)</f>
        <v>454.19390556290517</v>
      </c>
      <c r="AB143" s="90">
        <f>Tabella3[[#This Row],[rest of Italy fit]]/y_a_peak</f>
        <v>0.13441073213940066</v>
      </c>
      <c r="AC143" s="10">
        <f>Tabella3[[#This Row],[rest of Italy fit]]*NOT(ISBLANK(Tabella3[[#This Row],[rest of Italy data]]))</f>
        <v>0</v>
      </c>
    </row>
    <row r="144" spans="2:29" x14ac:dyDescent="0.3">
      <c r="B144" s="9">
        <v>43967</v>
      </c>
      <c r="C144" s="4">
        <v>137</v>
      </c>
      <c r="E144" s="10"/>
      <c r="F144" s="10">
        <f>Tabella3[[#This Row],[Spain daily cases]]*NOT(ISBLANK(Tabella3[[#This Row],[Spain daily cases]]))</f>
        <v>0</v>
      </c>
      <c r="G144" s="90">
        <f>IFERROR(Kf*_xlfn.LOGNORM.DIST((Tabella3[[#This Row],[Day]]-pf),mu_f,sigma_f,FALSE),0)</f>
        <v>913.20920930354146</v>
      </c>
      <c r="H144" s="90">
        <f>Tabella3[[#This Row],[Spain daily cases fit]]/y_f_peak</f>
        <v>0.13681721807301692</v>
      </c>
      <c r="I144" s="10">
        <f>Tabella3[[#This Row],[Spain daily cases fit]]*NOT(ISBLANK(Tabella3[[#This Row],[Spain daily cases]]))</f>
        <v>0</v>
      </c>
      <c r="M144" s="10"/>
      <c r="N144" s="10">
        <f>Tabella3[[#This Row],[Lombardy data]]*NOT(ISBLANK(Tabella3[[#This Row],[Lombardy data]]))</f>
        <v>0</v>
      </c>
      <c r="O144" s="95">
        <f>Tabella8[[#This Row],[Lombardy fit]]</f>
        <v>82185.195773867905</v>
      </c>
      <c r="P144" s="90">
        <f>Tabella3[[#This Row],[Lombardy cumul. Fit]]/Kl</f>
        <v>0.94465742268813679</v>
      </c>
      <c r="Q144" s="90">
        <f>IFERROR(Kl*_xlfn.LOGNORM.DIST((Tabella3[[#This Row],[Day]]-pl),mu_l,sigma_l,FALSE),0)</f>
        <v>270.08381859928841</v>
      </c>
      <c r="R144" s="90">
        <f>Tabella3[[#This Row],[Lombardy fit]]/y_l_peak</f>
        <v>0.15363527490856374</v>
      </c>
      <c r="S144" s="10">
        <f>Tabella3[[#This Row],[Lombardy fit]]*NOT(ISBLANK(Tabella3[[#This Row],[Lombardy data]]))</f>
        <v>0</v>
      </c>
      <c r="W144" s="10"/>
      <c r="X144" s="10">
        <f>Tabella3[[#This Row],[rest of Italy data]]*NOT(ISBLANK(Tabella3[[#This Row],[rest of Italy data]]))</f>
        <v>0</v>
      </c>
      <c r="Y144" s="95">
        <f>Tabella8[[#This Row],[rest of Italy fit]]</f>
        <v>141589.07092154451</v>
      </c>
      <c r="Z144" s="90">
        <f>Tabella3[[#This Row],[rest of Italy cumul. Fit]]/Ka</f>
        <v>0.9566830230009683</v>
      </c>
      <c r="AA144" s="90">
        <f>IFERROR(Ka*_xlfn.LOGNORM.DIST((Tabella3[[#This Row],[Day]]-pa),mu_a,sigma_a,FALSE),0)</f>
        <v>426.21431863905917</v>
      </c>
      <c r="AB144" s="90">
        <f>Tabella3[[#This Row],[rest of Italy fit]]/y_a_peak</f>
        <v>0.12613066339050091</v>
      </c>
      <c r="AC144" s="10">
        <f>Tabella3[[#This Row],[rest of Italy fit]]*NOT(ISBLANK(Tabella3[[#This Row],[rest of Italy data]]))</f>
        <v>0</v>
      </c>
    </row>
    <row r="145" spans="2:29" x14ac:dyDescent="0.3">
      <c r="B145" s="9">
        <v>43968</v>
      </c>
      <c r="C145" s="4">
        <v>138</v>
      </c>
      <c r="E145" s="10"/>
      <c r="F145" s="10">
        <f>Tabella3[[#This Row],[Spain daily cases]]*NOT(ISBLANK(Tabella3[[#This Row],[Spain daily cases]]))</f>
        <v>0</v>
      </c>
      <c r="G145" s="90">
        <f>IFERROR(Kf*_xlfn.LOGNORM.DIST((Tabella3[[#This Row],[Day]]-pf),mu_f,sigma_f,FALSE),0)</f>
        <v>849.26224292655047</v>
      </c>
      <c r="H145" s="90">
        <f>Tabella3[[#This Row],[Spain daily cases fit]]/y_f_peak</f>
        <v>0.12723666856171587</v>
      </c>
      <c r="I145" s="10">
        <f>Tabella3[[#This Row],[Spain daily cases fit]]*NOT(ISBLANK(Tabella3[[#This Row],[Spain daily cases]]))</f>
        <v>0</v>
      </c>
      <c r="M145" s="10"/>
      <c r="N145" s="10">
        <f>Tabella3[[#This Row],[Lombardy data]]*NOT(ISBLANK(Tabella3[[#This Row],[Lombardy data]]))</f>
        <v>0</v>
      </c>
      <c r="O145" s="95">
        <f>Tabella8[[#This Row],[Lombardy fit]]</f>
        <v>82448.138058862911</v>
      </c>
      <c r="P145" s="90">
        <f>Tabella3[[#This Row],[Lombardy cumul. Fit]]/Kl</f>
        <v>0.947679747803022</v>
      </c>
      <c r="Q145" s="90">
        <f>IFERROR(Kl*_xlfn.LOGNORM.DIST((Tabella3[[#This Row],[Day]]-pl),mu_l,sigma_l,FALSE),0)</f>
        <v>255.91670491119669</v>
      </c>
      <c r="R145" s="90">
        <f>Tabella3[[#This Row],[Lombardy fit]]/y_l_peak</f>
        <v>0.14557641222875201</v>
      </c>
      <c r="S145" s="10">
        <f>Tabella3[[#This Row],[Lombardy fit]]*NOT(ISBLANK(Tabella3[[#This Row],[Lombardy data]]))</f>
        <v>0</v>
      </c>
      <c r="W145" s="10"/>
      <c r="X145" s="10">
        <f>Tabella3[[#This Row],[rest of Italy data]]*NOT(ISBLANK(Tabella3[[#This Row],[rest of Italy data]]))</f>
        <v>0</v>
      </c>
      <c r="Y145" s="95">
        <f>Tabella8[[#This Row],[rest of Italy fit]]</f>
        <v>142001.96019724241</v>
      </c>
      <c r="Z145" s="90">
        <f>Tabella3[[#This Row],[rest of Italy cumul. Fit]]/Ka</f>
        <v>0.95947281572909648</v>
      </c>
      <c r="AA145" s="90">
        <f>IFERROR(Ka*_xlfn.LOGNORM.DIST((Tabella3[[#This Row],[Day]]-pa),mu_a,sigma_a,FALSE),0)</f>
        <v>399.82259024460336</v>
      </c>
      <c r="AB145" s="90">
        <f>Tabella3[[#This Row],[rest of Italy fit]]/y_a_peak</f>
        <v>0.11832049356550814</v>
      </c>
      <c r="AC145" s="10">
        <f>Tabella3[[#This Row],[rest of Italy fit]]*NOT(ISBLANK(Tabella3[[#This Row],[rest of Italy data]]))</f>
        <v>0</v>
      </c>
    </row>
    <row r="146" spans="2:29" x14ac:dyDescent="0.3">
      <c r="B146" s="9">
        <v>43969</v>
      </c>
      <c r="C146" s="4">
        <v>139</v>
      </c>
      <c r="E146" s="10"/>
      <c r="F146" s="10">
        <f>Tabella3[[#This Row],[Spain daily cases]]*NOT(ISBLANK(Tabella3[[#This Row],[Spain daily cases]]))</f>
        <v>0</v>
      </c>
      <c r="G146" s="90">
        <f>IFERROR(Kf*_xlfn.LOGNORM.DIST((Tabella3[[#This Row],[Day]]-pf),mu_f,sigma_f,FALSE),0)</f>
        <v>789.33080936189947</v>
      </c>
      <c r="H146" s="90">
        <f>Tabella3[[#This Row],[Spain daily cases fit]]/y_f_peak</f>
        <v>0.11825772711882696</v>
      </c>
      <c r="I146" s="10">
        <f>Tabella3[[#This Row],[Spain daily cases fit]]*NOT(ISBLANK(Tabella3[[#This Row],[Spain daily cases]]))</f>
        <v>0</v>
      </c>
      <c r="M146" s="10"/>
      <c r="N146" s="10">
        <f>Tabella3[[#This Row],[Lombardy data]]*NOT(ISBLANK(Tabella3[[#This Row],[Lombardy data]]))</f>
        <v>0</v>
      </c>
      <c r="O146" s="95">
        <f>Tabella8[[#This Row],[Lombardy fit]]</f>
        <v>82697.256599083383</v>
      </c>
      <c r="P146" s="90">
        <f>Tabella3[[#This Row],[Lombardy cumul. Fit]]/Kl</f>
        <v>0.95054317929980903</v>
      </c>
      <c r="Q146" s="90">
        <f>IFERROR(Kl*_xlfn.LOGNORM.DIST((Tabella3[[#This Row],[Day]]-pl),mu_l,sigma_l,FALSE),0)</f>
        <v>242.43184841168704</v>
      </c>
      <c r="R146" s="90">
        <f>Tabella3[[#This Row],[Lombardy fit]]/y_l_peak</f>
        <v>0.13790564673769362</v>
      </c>
      <c r="S146" s="10">
        <f>Tabella3[[#This Row],[Lombardy fit]]*NOT(ISBLANK(Tabella3[[#This Row],[Lombardy data]]))</f>
        <v>0</v>
      </c>
      <c r="W146" s="10"/>
      <c r="X146" s="10">
        <f>Tabella3[[#This Row],[rest of Italy data]]*NOT(ISBLANK(Tabella3[[#This Row],[rest of Italy data]]))</f>
        <v>0</v>
      </c>
      <c r="Y146" s="95">
        <f>Tabella8[[#This Row],[rest of Italy fit]]</f>
        <v>142389.22042903272</v>
      </c>
      <c r="Z146" s="90">
        <f>Tabella3[[#This Row],[rest of Italy cumul. Fit]]/Ka</f>
        <v>0.96208943922147394</v>
      </c>
      <c r="AA146" s="90">
        <f>IFERROR(Ka*_xlfn.LOGNORM.DIST((Tabella3[[#This Row],[Day]]-pa),mu_a,sigma_a,FALSE),0)</f>
        <v>374.94390191921877</v>
      </c>
      <c r="AB146" s="90">
        <f>Tabella3[[#This Row],[rest of Italy fit]]/y_a_peak</f>
        <v>0.11095808145137252</v>
      </c>
      <c r="AC146" s="10">
        <f>Tabella3[[#This Row],[rest of Italy fit]]*NOT(ISBLANK(Tabella3[[#This Row],[rest of Italy data]]))</f>
        <v>0</v>
      </c>
    </row>
    <row r="147" spans="2:29" x14ac:dyDescent="0.3">
      <c r="B147" s="9">
        <v>43970</v>
      </c>
      <c r="C147" s="4">
        <v>140</v>
      </c>
      <c r="E147" s="10"/>
      <c r="F147" s="10">
        <f>Tabella3[[#This Row],[Spain daily cases]]*NOT(ISBLANK(Tabella3[[#This Row],[Spain daily cases]]))</f>
        <v>0</v>
      </c>
      <c r="G147" s="90">
        <f>IFERROR(Kf*_xlfn.LOGNORM.DIST((Tabella3[[#This Row],[Day]]-pf),mu_f,sigma_f,FALSE),0)</f>
        <v>733.21628887403631</v>
      </c>
      <c r="H147" s="90">
        <f>Tabella3[[#This Row],[Spain daily cases fit]]/y_f_peak</f>
        <v>0.10985063648895263</v>
      </c>
      <c r="I147" s="10">
        <f>Tabella3[[#This Row],[Spain daily cases fit]]*NOT(ISBLANK(Tabella3[[#This Row],[Spain daily cases]]))</f>
        <v>0</v>
      </c>
      <c r="M147" s="10"/>
      <c r="N147" s="10">
        <f>Tabella3[[#This Row],[Lombardy data]]*NOT(ISBLANK(Tabella3[[#This Row],[Lombardy data]]))</f>
        <v>0</v>
      </c>
      <c r="O147" s="95">
        <f>Tabella8[[#This Row],[Lombardy fit]]</f>
        <v>82933.220269088051</v>
      </c>
      <c r="P147" s="90">
        <f>Tabella3[[#This Row],[Lombardy cumul. Fit]]/Kl</f>
        <v>0.95325540539181663</v>
      </c>
      <c r="Q147" s="90">
        <f>IFERROR(Kl*_xlfn.LOGNORM.DIST((Tabella3[[#This Row],[Day]]-pl),mu_l,sigma_l,FALSE),0)</f>
        <v>229.60254586220248</v>
      </c>
      <c r="R147" s="90">
        <f>Tabella3[[#This Row],[Lombardy fit]]/y_l_peak</f>
        <v>0.13060778848651294</v>
      </c>
      <c r="S147" s="10">
        <f>Tabella3[[#This Row],[Lombardy fit]]*NOT(ISBLANK(Tabella3[[#This Row],[Lombardy data]]))</f>
        <v>0</v>
      </c>
      <c r="W147" s="10"/>
      <c r="X147" s="10">
        <f>Tabella3[[#This Row],[rest of Italy data]]*NOT(ISBLANK(Tabella3[[#This Row],[rest of Italy data]]))</f>
        <v>0</v>
      </c>
      <c r="Y147" s="95">
        <f>Tabella8[[#This Row],[rest of Italy fit]]</f>
        <v>142752.32797550212</v>
      </c>
      <c r="Z147" s="90">
        <f>Tabella3[[#This Row],[rest of Italy cumul. Fit]]/Ka</f>
        <v>0.96454286887511786</v>
      </c>
      <c r="AA147" s="90">
        <f>IFERROR(Ka*_xlfn.LOGNORM.DIST((Tabella3[[#This Row],[Day]]-pa),mu_a,sigma_a,FALSE),0)</f>
        <v>351.50520221873751</v>
      </c>
      <c r="AB147" s="90">
        <f>Tabella3[[#This Row],[rest of Italy fit]]/y_a_peak</f>
        <v>0.10402180875252867</v>
      </c>
      <c r="AC147" s="10">
        <f>Tabella3[[#This Row],[rest of Italy fit]]*NOT(ISBLANK(Tabella3[[#This Row],[rest of Italy data]]))</f>
        <v>0</v>
      </c>
    </row>
    <row r="148" spans="2:29" x14ac:dyDescent="0.3">
      <c r="B148" s="9">
        <v>43971</v>
      </c>
      <c r="C148" s="4">
        <v>141</v>
      </c>
      <c r="E148" s="10"/>
      <c r="F148" s="10">
        <f>Tabella3[[#This Row],[Spain daily cases]]*NOT(ISBLANK(Tabella3[[#This Row],[Spain daily cases]]))</f>
        <v>0</v>
      </c>
      <c r="G148" s="90">
        <f>IFERROR(Kf*_xlfn.LOGNORM.DIST((Tabella3[[#This Row],[Day]]-pf),mu_f,sigma_f,FALSE),0)</f>
        <v>680.72341411044317</v>
      </c>
      <c r="H148" s="90">
        <f>Tabella3[[#This Row],[Spain daily cases fit]]/y_f_peak</f>
        <v>0.10198614167150835</v>
      </c>
      <c r="I148" s="10">
        <f>Tabella3[[#This Row],[Spain daily cases fit]]*NOT(ISBLANK(Tabella3[[#This Row],[Spain daily cases]]))</f>
        <v>0</v>
      </c>
      <c r="M148" s="10"/>
      <c r="N148" s="10">
        <f>Tabella3[[#This Row],[Lombardy data]]*NOT(ISBLANK(Tabella3[[#This Row],[Lombardy data]]))</f>
        <v>0</v>
      </c>
      <c r="O148" s="95">
        <f>Tabella8[[#This Row],[Lombardy fit]]</f>
        <v>83156.671439319733</v>
      </c>
      <c r="P148" s="90">
        <f>Tabella3[[#This Row],[Lombardy cumul. Fit]]/Kl</f>
        <v>0.95582380964735325</v>
      </c>
      <c r="Q148" s="90">
        <f>IFERROR(Kl*_xlfn.LOGNORM.DIST((Tabella3[[#This Row],[Day]]-pl),mu_l,sigma_l,FALSE),0)</f>
        <v>217.40250492532616</v>
      </c>
      <c r="R148" s="90">
        <f>Tabella3[[#This Row],[Lombardy fit]]/y_l_peak</f>
        <v>0.12366788126454929</v>
      </c>
      <c r="S148" s="10">
        <f>Tabella3[[#This Row],[Lombardy fit]]*NOT(ISBLANK(Tabella3[[#This Row],[Lombardy data]]))</f>
        <v>0</v>
      </c>
      <c r="W148" s="10"/>
      <c r="X148" s="10">
        <f>Tabella3[[#This Row],[rest of Italy data]]*NOT(ISBLANK(Tabella3[[#This Row],[rest of Italy data]]))</f>
        <v>0</v>
      </c>
      <c r="Y148" s="95">
        <f>Tabella8[[#This Row],[rest of Italy fit]]</f>
        <v>143092.68710782341</v>
      </c>
      <c r="Z148" s="90">
        <f>Tabella3[[#This Row],[rest of Italy cumul. Fit]]/Ka</f>
        <v>0.96684259300986797</v>
      </c>
      <c r="AA148" s="90">
        <f>IFERROR(Ka*_xlfn.LOGNORM.DIST((Tabella3[[#This Row],[Day]]-pa),mu_a,sigma_a,FALSE),0)</f>
        <v>329.43539594258692</v>
      </c>
      <c r="AB148" s="90">
        <f>Tabella3[[#This Row],[rest of Italy fit]]/y_a_peak</f>
        <v>9.749063608944393E-2</v>
      </c>
      <c r="AC148" s="10">
        <f>Tabella3[[#This Row],[rest of Italy fit]]*NOT(ISBLANK(Tabella3[[#This Row],[rest of Italy data]]))</f>
        <v>0</v>
      </c>
    </row>
    <row r="149" spans="2:29" x14ac:dyDescent="0.3">
      <c r="B149" s="9">
        <v>43972</v>
      </c>
      <c r="C149" s="4">
        <v>142</v>
      </c>
      <c r="E149" s="10"/>
      <c r="F149" s="10">
        <f>Tabella3[[#This Row],[Spain daily cases]]*NOT(ISBLANK(Tabella3[[#This Row],[Spain daily cases]]))</f>
        <v>0</v>
      </c>
      <c r="G149" s="90">
        <f>IFERROR(Kf*_xlfn.LOGNORM.DIST((Tabella3[[#This Row],[Day]]-pf),mu_f,sigma_f,FALSE),0)</f>
        <v>631.6611445741903</v>
      </c>
      <c r="H149" s="90">
        <f>Tabella3[[#This Row],[Spain daily cases fit]]/y_f_peak</f>
        <v>9.4635620934405876E-2</v>
      </c>
      <c r="I149" s="10">
        <f>Tabella3[[#This Row],[Spain daily cases fit]]*NOT(ISBLANK(Tabella3[[#This Row],[Spain daily cases]]))</f>
        <v>0</v>
      </c>
      <c r="M149" s="10"/>
      <c r="N149" s="10">
        <f>Tabella3[[#This Row],[Lombardy data]]*NOT(ISBLANK(Tabella3[[#This Row],[Lombardy data]]))</f>
        <v>0</v>
      </c>
      <c r="O149" s="95">
        <f>Tabella8[[#This Row],[Lombardy fit]]</f>
        <v>83368.226423014072</v>
      </c>
      <c r="P149" s="90">
        <f>Tabella3[[#This Row],[Lombardy cumul. Fit]]/Kl</f>
        <v>0.95825547612659856</v>
      </c>
      <c r="Q149" s="90">
        <f>IFERROR(Kl*_xlfn.LOGNORM.DIST((Tabella3[[#This Row],[Day]]-pl),mu_l,sigma_l,FALSE),0)</f>
        <v>205.8059142570437</v>
      </c>
      <c r="R149" s="90">
        <f>Tabella3[[#This Row],[Lombardy fit]]/y_l_peak</f>
        <v>0.11707124247084573</v>
      </c>
      <c r="S149" s="10">
        <f>Tabella3[[#This Row],[Lombardy fit]]*NOT(ISBLANK(Tabella3[[#This Row],[Lombardy data]]))</f>
        <v>0</v>
      </c>
      <c r="W149" s="10"/>
      <c r="X149" s="10">
        <f>Tabella3[[#This Row],[rest of Italy data]]*NOT(ISBLANK(Tabella3[[#This Row],[rest of Italy data]]))</f>
        <v>0</v>
      </c>
      <c r="Y149" s="95">
        <f>Tabella8[[#This Row],[rest of Italy fit]]</f>
        <v>143411.63204434121</v>
      </c>
      <c r="Z149" s="90">
        <f>Tabella3[[#This Row],[rest of Italy cumul. Fit]]/Ka</f>
        <v>0.96899762661558864</v>
      </c>
      <c r="AA149" s="90">
        <f>IFERROR(Ka*_xlfn.LOGNORM.DIST((Tabella3[[#This Row],[Day]]-pa),mu_a,sigma_a,FALSE),0)</f>
        <v>308.66549475520475</v>
      </c>
      <c r="AB149" s="90">
        <f>Tabella3[[#This Row],[rest of Italy fit]]/y_a_peak</f>
        <v>9.1344147572388304E-2</v>
      </c>
      <c r="AC149" s="10">
        <f>Tabella3[[#This Row],[rest of Italy fit]]*NOT(ISBLANK(Tabella3[[#This Row],[rest of Italy data]]))</f>
        <v>0</v>
      </c>
    </row>
    <row r="150" spans="2:29" x14ac:dyDescent="0.3">
      <c r="B150" s="9">
        <v>43973</v>
      </c>
      <c r="C150" s="4">
        <v>143</v>
      </c>
      <c r="E150" s="10"/>
      <c r="F150" s="10">
        <f>Tabella3[[#This Row],[Spain daily cases]]*NOT(ISBLANK(Tabella3[[#This Row],[Spain daily cases]]))</f>
        <v>0</v>
      </c>
      <c r="G150" s="90">
        <f>IFERROR(Kf*_xlfn.LOGNORM.DIST((Tabella3[[#This Row],[Day]]-pf),mu_f,sigma_f,FALSE),0)</f>
        <v>585.8433858577198</v>
      </c>
      <c r="H150" s="90">
        <f>Tabella3[[#This Row],[Spain daily cases fit]]/y_f_peak</f>
        <v>8.7771193569827488E-2</v>
      </c>
      <c r="I150" s="10">
        <f>Tabella3[[#This Row],[Spain daily cases fit]]*NOT(ISBLANK(Tabella3[[#This Row],[Spain daily cases]]))</f>
        <v>0</v>
      </c>
      <c r="M150" s="10"/>
      <c r="N150" s="10">
        <f>Tabella3[[#This Row],[Lombardy data]]*NOT(ISBLANK(Tabella3[[#This Row],[Lombardy data]]))</f>
        <v>0</v>
      </c>
      <c r="O150" s="95">
        <f>Tabella8[[#This Row],[Lombardy fit]]</f>
        <v>83568.475987613274</v>
      </c>
      <c r="P150" s="90">
        <f>Tabella3[[#This Row],[Lombardy cumul. Fit]]/Kl</f>
        <v>0.96055719525992267</v>
      </c>
      <c r="Q150" s="90">
        <f>IFERROR(Kl*_xlfn.LOGNORM.DIST((Tabella3[[#This Row],[Day]]-pl),mu_l,sigma_l,FALSE),0)</f>
        <v>194.78750260386664</v>
      </c>
      <c r="R150" s="90">
        <f>Tabella3[[#This Row],[Lombardy fit]]/y_l_peak</f>
        <v>0.11080349673113099</v>
      </c>
      <c r="S150" s="10">
        <f>Tabella3[[#This Row],[Lombardy fit]]*NOT(ISBLANK(Tabella3[[#This Row],[Lombardy data]]))</f>
        <v>0</v>
      </c>
      <c r="W150" s="10"/>
      <c r="X150" s="10">
        <f>Tabella3[[#This Row],[rest of Italy data]]*NOT(ISBLANK(Tabella3[[#This Row],[rest of Italy data]]))</f>
        <v>0</v>
      </c>
      <c r="Y150" s="95">
        <f>Tabella8[[#This Row],[rest of Italy fit]]</f>
        <v>143710.42911829479</v>
      </c>
      <c r="Z150" s="90">
        <f>Tabella3[[#This Row],[rest of Italy cumul. Fit]]/Ka</f>
        <v>0.97101652599894672</v>
      </c>
      <c r="AA150" s="90">
        <f>IFERROR(Ka*_xlfn.LOGNORM.DIST((Tabella3[[#This Row],[Day]]-pa),mu_a,sigma_a,FALSE),0)</f>
        <v>289.12873353190429</v>
      </c>
      <c r="AB150" s="90">
        <f>Tabella3[[#This Row],[rest of Italy fit]]/y_a_peak</f>
        <v>8.5562585231955757E-2</v>
      </c>
      <c r="AC150" s="10">
        <f>Tabella3[[#This Row],[rest of Italy fit]]*NOT(ISBLANK(Tabella3[[#This Row],[rest of Italy data]]))</f>
        <v>0</v>
      </c>
    </row>
    <row r="151" spans="2:29" x14ac:dyDescent="0.3">
      <c r="B151" s="9">
        <v>43974</v>
      </c>
      <c r="C151" s="4">
        <v>144</v>
      </c>
      <c r="E151" s="10"/>
      <c r="F151" s="10">
        <f>Tabella3[[#This Row],[Spain daily cases]]*NOT(ISBLANK(Tabella3[[#This Row],[Spain daily cases]]))</f>
        <v>0</v>
      </c>
      <c r="G151" s="90">
        <f>IFERROR(Kf*_xlfn.LOGNORM.DIST((Tabella3[[#This Row],[Day]]-pf),mu_f,sigma_f,FALSE),0)</f>
        <v>543.08956959988836</v>
      </c>
      <c r="H151" s="90">
        <f>Tabella3[[#This Row],[Spain daily cases fit]]/y_f_peak</f>
        <v>8.136580678352634E-2</v>
      </c>
      <c r="I151" s="10">
        <f>Tabella3[[#This Row],[Spain daily cases fit]]*NOT(ISBLANK(Tabella3[[#This Row],[Spain daily cases]]))</f>
        <v>0</v>
      </c>
      <c r="M151" s="10"/>
      <c r="N151" s="10">
        <f>Tabella3[[#This Row],[Lombardy data]]*NOT(ISBLANK(Tabella3[[#This Row],[Lombardy data]]))</f>
        <v>0</v>
      </c>
      <c r="O151" s="95">
        <f>Tabella8[[#This Row],[Lombardy fit]]</f>
        <v>83757.985920216946</v>
      </c>
      <c r="P151" s="90">
        <f>Tabella3[[#This Row],[Lombardy cumul. Fit]]/Kl</f>
        <v>0.96273547034732121</v>
      </c>
      <c r="Q151" s="90">
        <f>IFERROR(Kl*_xlfn.LOGNORM.DIST((Tabella3[[#This Row],[Day]]-pl),mu_l,sigma_l,FALSE),0)</f>
        <v>184.32258794816315</v>
      </c>
      <c r="R151" s="90">
        <f>Tabella3[[#This Row],[Lombardy fit]]/y_l_peak</f>
        <v>0.10485060385379406</v>
      </c>
      <c r="S151" s="10">
        <f>Tabella3[[#This Row],[Lombardy fit]]*NOT(ISBLANK(Tabella3[[#This Row],[Lombardy data]]))</f>
        <v>0</v>
      </c>
      <c r="W151" s="10"/>
      <c r="X151" s="10">
        <f>Tabella3[[#This Row],[rest of Italy data]]*NOT(ISBLANK(Tabella3[[#This Row],[rest of Italy data]]))</f>
        <v>0</v>
      </c>
      <c r="Y151" s="95">
        <f>Tabella8[[#This Row],[rest of Italy fit]]</f>
        <v>143990.27904642586</v>
      </c>
      <c r="Z151" s="90">
        <f>Tabella3[[#This Row],[rest of Italy cumul. Fit]]/Ka</f>
        <v>0.97290740411184418</v>
      </c>
      <c r="AA151" s="90">
        <f>IFERROR(Ka*_xlfn.LOGNORM.DIST((Tabella3[[#This Row],[Day]]-pa),mu_a,sigma_a,FALSE),0)</f>
        <v>270.76065642037685</v>
      </c>
      <c r="AB151" s="90">
        <f>Tabella3[[#This Row],[rest of Italy fit]]/y_a_peak</f>
        <v>8.0126874487458685E-2</v>
      </c>
      <c r="AC151" s="10">
        <f>Tabella3[[#This Row],[rest of Italy fit]]*NOT(ISBLANK(Tabella3[[#This Row],[rest of Italy data]]))</f>
        <v>0</v>
      </c>
    </row>
    <row r="152" spans="2:29" x14ac:dyDescent="0.3">
      <c r="B152" s="9">
        <v>43975</v>
      </c>
      <c r="C152" s="4">
        <v>145</v>
      </c>
      <c r="E152" s="10"/>
      <c r="F152" s="10">
        <f>Tabella3[[#This Row],[Spain daily cases]]*NOT(ISBLANK(Tabella3[[#This Row],[Spain daily cases]]))</f>
        <v>0</v>
      </c>
      <c r="G152" s="90">
        <f>IFERROR(Kf*_xlfn.LOGNORM.DIST((Tabella3[[#This Row],[Day]]-pf),mu_f,sigma_f,FALSE),0)</f>
        <v>503.2251092033336</v>
      </c>
      <c r="H152" s="90">
        <f>Tabella3[[#This Row],[Spain daily cases fit]]/y_f_peak</f>
        <v>7.5393303970509182E-2</v>
      </c>
      <c r="I152" s="10">
        <f>Tabella3[[#This Row],[Spain daily cases fit]]*NOT(ISBLANK(Tabella3[[#This Row],[Spain daily cases]]))</f>
        <v>0</v>
      </c>
      <c r="M152" s="10"/>
      <c r="N152" s="10">
        <f>Tabella3[[#This Row],[Lombardy data]]*NOT(ISBLANK(Tabella3[[#This Row],[Lombardy data]]))</f>
        <v>0</v>
      </c>
      <c r="O152" s="95">
        <f>Tabella8[[#This Row],[Lombardy fit]]</f>
        <v>83937.297637611147</v>
      </c>
      <c r="P152" s="90">
        <f>Tabella3[[#This Row],[Lombardy cumul. Fit]]/Kl</f>
        <v>0.96479652457024312</v>
      </c>
      <c r="Q152" s="90">
        <f>IFERROR(Kl*_xlfn.LOGNORM.DIST((Tabella3[[#This Row],[Day]]-pl),mu_l,sigma_l,FALSE),0)</f>
        <v>174.38711767577294</v>
      </c>
      <c r="R152" s="90">
        <f>Tabella3[[#This Row],[Lombardy fit]]/y_l_peak</f>
        <v>9.9198881678948622E-2</v>
      </c>
      <c r="S152" s="10">
        <f>Tabella3[[#This Row],[Lombardy fit]]*NOT(ISBLANK(Tabella3[[#This Row],[Lombardy data]]))</f>
        <v>0</v>
      </c>
      <c r="W152" s="10"/>
      <c r="X152" s="10">
        <f>Tabella3[[#This Row],[rest of Italy data]]*NOT(ISBLANK(Tabella3[[#This Row],[rest of Italy data]]))</f>
        <v>0</v>
      </c>
      <c r="Y152" s="95">
        <f>Tabella8[[#This Row],[rest of Italy fit]]</f>
        <v>144252.31927004526</v>
      </c>
      <c r="Z152" s="90">
        <f>Tabella3[[#This Row],[rest of Italy cumul. Fit]]/Ka</f>
        <v>0.97467794636943816</v>
      </c>
      <c r="AA152" s="90">
        <f>IFERROR(Ka*_xlfn.LOGNORM.DIST((Tabella3[[#This Row],[Day]]-pa),mu_a,sigma_a,FALSE),0)</f>
        <v>253.49917628072163</v>
      </c>
      <c r="AB152" s="90">
        <f>Tabella3[[#This Row],[rest of Italy fit]]/y_a_peak</f>
        <v>7.5018641737163785E-2</v>
      </c>
      <c r="AC152" s="10">
        <f>Tabella3[[#This Row],[rest of Italy fit]]*NOT(ISBLANK(Tabella3[[#This Row],[rest of Italy data]]))</f>
        <v>0</v>
      </c>
    </row>
    <row r="153" spans="2:29" x14ac:dyDescent="0.3">
      <c r="B153" s="9">
        <v>43976</v>
      </c>
      <c r="C153" s="4">
        <v>146</v>
      </c>
      <c r="E153" s="10"/>
      <c r="F153" s="10">
        <f>Tabella3[[#This Row],[Spain daily cases]]*NOT(ISBLANK(Tabella3[[#This Row],[Spain daily cases]]))</f>
        <v>0</v>
      </c>
      <c r="G153" s="90">
        <f>IFERROR(Kf*_xlfn.LOGNORM.DIST((Tabella3[[#This Row],[Day]]-pf),mu_f,sigma_f,FALSE),0)</f>
        <v>466.08174537853199</v>
      </c>
      <c r="H153" s="90">
        <f>Tabella3[[#This Row],[Spain daily cases fit]]/y_f_peak</f>
        <v>6.9828476484528224E-2</v>
      </c>
      <c r="I153" s="10">
        <f>Tabella3[[#This Row],[Spain daily cases fit]]*NOT(ISBLANK(Tabella3[[#This Row],[Spain daily cases]]))</f>
        <v>0</v>
      </c>
      <c r="M153" s="10"/>
      <c r="N153" s="10">
        <f>Tabella3[[#This Row],[Lombardy data]]*NOT(ISBLANK(Tabella3[[#This Row],[Lombardy data]]))</f>
        <v>0</v>
      </c>
      <c r="O153" s="95">
        <f>Tabella8[[#This Row],[Lombardy fit]]</f>
        <v>84106.928832356643</v>
      </c>
      <c r="P153" s="90">
        <f>Tabella3[[#This Row],[Lombardy cumul. Fit]]/Kl</f>
        <v>0.96674630841789244</v>
      </c>
      <c r="Q153" s="90">
        <f>IFERROR(Kl*_xlfn.LOGNORM.DIST((Tabella3[[#This Row],[Day]]-pl),mu_l,sigma_l,FALSE),0)</f>
        <v>164.95770067229864</v>
      </c>
      <c r="R153" s="90">
        <f>Tabella3[[#This Row],[Lombardy fit]]/y_l_peak</f>
        <v>9.3835024336181933E-2</v>
      </c>
      <c r="S153" s="10">
        <f>Tabella3[[#This Row],[Lombardy fit]]*NOT(ISBLANK(Tabella3[[#This Row],[Lombardy data]]))</f>
        <v>0</v>
      </c>
      <c r="W153" s="10"/>
      <c r="X153" s="10">
        <f>Tabella3[[#This Row],[rest of Italy data]]*NOT(ISBLANK(Tabella3[[#This Row],[rest of Italy data]]))</f>
        <v>0</v>
      </c>
      <c r="Y153" s="95">
        <f>Tabella8[[#This Row],[rest of Italy fit]]</f>
        <v>144497.62634363666</v>
      </c>
      <c r="Z153" s="90">
        <f>Tabella3[[#This Row],[rest of Italy cumul. Fit]]/Ka</f>
        <v>0.97633542678935681</v>
      </c>
      <c r="AA153" s="90">
        <f>IFERROR(Ka*_xlfn.LOGNORM.DIST((Tabella3[[#This Row],[Day]]-pa),mu_a,sigma_a,FALSE),0)</f>
        <v>237.28461085228838</v>
      </c>
      <c r="AB153" s="90">
        <f>Tabella3[[#This Row],[rest of Italy fit]]/y_a_peak</f>
        <v>7.022022506123575E-2</v>
      </c>
      <c r="AC153" s="10">
        <f>Tabella3[[#This Row],[rest of Italy fit]]*NOT(ISBLANK(Tabella3[[#This Row],[rest of Italy data]]))</f>
        <v>0</v>
      </c>
    </row>
    <row r="154" spans="2:29" x14ac:dyDescent="0.3">
      <c r="B154" s="9">
        <v>43977</v>
      </c>
      <c r="C154" s="4">
        <v>147</v>
      </c>
      <c r="E154" s="10"/>
      <c r="F154" s="10">
        <f>Tabella3[[#This Row],[Spain daily cases]]*NOT(ISBLANK(Tabella3[[#This Row],[Spain daily cases]]))</f>
        <v>0</v>
      </c>
      <c r="G154" s="90">
        <f>IFERROR(Kf*_xlfn.LOGNORM.DIST((Tabella3[[#This Row],[Day]]-pf),mu_f,sigma_f,FALSE),0)</f>
        <v>431.49779458743478</v>
      </c>
      <c r="H154" s="90">
        <f>Tabella3[[#This Row],[Spain daily cases fit]]/y_f_peak</f>
        <v>6.4647100859964987E-2</v>
      </c>
      <c r="I154" s="10">
        <f>Tabella3[[#This Row],[Spain daily cases fit]]*NOT(ISBLANK(Tabella3[[#This Row],[Spain daily cases]]))</f>
        <v>0</v>
      </c>
      <c r="M154" s="10"/>
      <c r="N154" s="10">
        <f>Tabella3[[#This Row],[Lombardy data]]*NOT(ISBLANK(Tabella3[[#This Row],[Lombardy data]]))</f>
        <v>0</v>
      </c>
      <c r="O154" s="95">
        <f>Tabella8[[#This Row],[Lombardy fit]]</f>
        <v>84267.37414729064</v>
      </c>
      <c r="P154" s="90">
        <f>Tabella3[[#This Row],[Lombardy cumul. Fit]]/Kl</f>
        <v>0.96859050744012232</v>
      </c>
      <c r="Q154" s="90">
        <f>IFERROR(Kl*_xlfn.LOGNORM.DIST((Tabella3[[#This Row],[Day]]-pl),mu_l,sigma_l,FALSE),0)</f>
        <v>156.01163218881777</v>
      </c>
      <c r="R154" s="90">
        <f>Tabella3[[#This Row],[Lombardy fit]]/y_l_peak</f>
        <v>8.874611638923971E-2</v>
      </c>
      <c r="S154" s="10">
        <f>Tabella3[[#This Row],[Lombardy fit]]*NOT(ISBLANK(Tabella3[[#This Row],[Lombardy data]]))</f>
        <v>0</v>
      </c>
      <c r="W154" s="10"/>
      <c r="X154" s="10">
        <f>Tabella3[[#This Row],[rest of Italy data]]*NOT(ISBLANK(Tabella3[[#This Row],[rest of Italy data]]))</f>
        <v>0</v>
      </c>
      <c r="Y154" s="95">
        <f>Tabella8[[#This Row],[rest of Italy fit]]</f>
        <v>144727.218349273</v>
      </c>
      <c r="Z154" s="90">
        <f>Tabella3[[#This Row],[rest of Italy cumul. Fit]]/Ka</f>
        <v>0.97788672430532642</v>
      </c>
      <c r="AA154" s="90">
        <f>IFERROR(Ka*_xlfn.LOGNORM.DIST((Tabella3[[#This Row],[Day]]-pa),mu_a,sigma_a,FALSE),0)</f>
        <v>222.05969869605568</v>
      </c>
      <c r="AB154" s="90">
        <f>Tabella3[[#This Row],[rest of Italy fit]]/y_a_peak</f>
        <v>6.5714678939604934E-2</v>
      </c>
      <c r="AC154" s="10">
        <f>Tabella3[[#This Row],[rest of Italy fit]]*NOT(ISBLANK(Tabella3[[#This Row],[rest of Italy data]]))</f>
        <v>0</v>
      </c>
    </row>
    <row r="155" spans="2:29" x14ac:dyDescent="0.3">
      <c r="B155" s="9">
        <v>43978</v>
      </c>
      <c r="C155" s="4">
        <v>148</v>
      </c>
      <c r="E155" s="10"/>
      <c r="F155" s="10">
        <f>Tabella3[[#This Row],[Spain daily cases]]*NOT(ISBLANK(Tabella3[[#This Row],[Spain daily cases]]))</f>
        <v>0</v>
      </c>
      <c r="G155" s="90">
        <f>IFERROR(Kf*_xlfn.LOGNORM.DIST((Tabella3[[#This Row],[Day]]-pf),mu_f,sigma_f,FALSE),0)</f>
        <v>399.31831246371695</v>
      </c>
      <c r="H155" s="90">
        <f>Tabella3[[#This Row],[Spain daily cases fit]]/y_f_peak</f>
        <v>5.9825963295490385E-2</v>
      </c>
      <c r="I155" s="10">
        <f>Tabella3[[#This Row],[Spain daily cases fit]]*NOT(ISBLANK(Tabella3[[#This Row],[Spain daily cases]]))</f>
        <v>0</v>
      </c>
      <c r="M155" s="10"/>
      <c r="N155" s="10">
        <f>Tabella3[[#This Row],[Lombardy data]]*NOT(ISBLANK(Tabella3[[#This Row],[Lombardy data]]))</f>
        <v>0</v>
      </c>
      <c r="O155" s="95">
        <f>Tabella8[[#This Row],[Lombardy fit]]</f>
        <v>84419.10587160557</v>
      </c>
      <c r="P155" s="90">
        <f>Tabella3[[#This Row],[Lombardy cumul. Fit]]/Kl</f>
        <v>0.97033455024833992</v>
      </c>
      <c r="Q155" s="90">
        <f>IFERROR(Kl*_xlfn.LOGNORM.DIST((Tabella3[[#This Row],[Day]]-pl),mu_l,sigma_l,FALSE),0)</f>
        <v>147.52691225449914</v>
      </c>
      <c r="R155" s="90">
        <f>Tabella3[[#This Row],[Lombardy fit]]/y_l_peak</f>
        <v>8.3919643309913028E-2</v>
      </c>
      <c r="S155" s="10">
        <f>Tabella3[[#This Row],[Lombardy fit]]*NOT(ISBLANK(Tabella3[[#This Row],[Lombardy data]]))</f>
        <v>0</v>
      </c>
      <c r="W155" s="10"/>
      <c r="X155" s="10">
        <f>Tabella3[[#This Row],[rest of Italy data]]*NOT(ISBLANK(Tabella3[[#This Row],[rest of Italy data]]))</f>
        <v>0</v>
      </c>
      <c r="Y155" s="95">
        <f>Tabella8[[#This Row],[rest of Italy fit]]</f>
        <v>144942.05731802669</v>
      </c>
      <c r="Z155" s="90">
        <f>Tabella3[[#This Row],[rest of Italy cumul. Fit]]/Ka</f>
        <v>0.97933833912805224</v>
      </c>
      <c r="AA155" s="90">
        <f>IFERROR(Ka*_xlfn.LOGNORM.DIST((Tabella3[[#This Row],[Day]]-pa),mu_a,sigma_a,FALSE),0)</f>
        <v>207.76959767821637</v>
      </c>
      <c r="AB155" s="90">
        <f>Tabella3[[#This Row],[rest of Italy fit]]/y_a_peak</f>
        <v>6.148577380321104E-2</v>
      </c>
      <c r="AC155" s="10">
        <f>Tabella3[[#This Row],[rest of Italy fit]]*NOT(ISBLANK(Tabella3[[#This Row],[rest of Italy data]]))</f>
        <v>0</v>
      </c>
    </row>
    <row r="156" spans="2:29" x14ac:dyDescent="0.3">
      <c r="B156" s="9">
        <v>43979</v>
      </c>
      <c r="C156" s="4">
        <v>149</v>
      </c>
      <c r="E156" s="10"/>
      <c r="F156" s="10">
        <f>Tabella3[[#This Row],[Spain daily cases]]*NOT(ISBLANK(Tabella3[[#This Row],[Spain daily cases]]))</f>
        <v>0</v>
      </c>
      <c r="G156" s="90">
        <f>IFERROR(Kf*_xlfn.LOGNORM.DIST((Tabella3[[#This Row],[Day]]-pf),mu_f,sigma_f,FALSE),0)</f>
        <v>369.39518330330452</v>
      </c>
      <c r="H156" s="90">
        <f>Tabella3[[#This Row],[Spain daily cases fit]]/y_f_peak</f>
        <v>5.5342873061556497E-2</v>
      </c>
      <c r="I156" s="10">
        <f>Tabella3[[#This Row],[Spain daily cases fit]]*NOT(ISBLANK(Tabella3[[#This Row],[Spain daily cases]]))</f>
        <v>0</v>
      </c>
      <c r="M156" s="10"/>
      <c r="N156" s="10">
        <f>Tabella3[[#This Row],[Lombardy data]]*NOT(ISBLANK(Tabella3[[#This Row],[Lombardy data]]))</f>
        <v>0</v>
      </c>
      <c r="O156" s="95">
        <f>Tabella8[[#This Row],[Lombardy fit]]</f>
        <v>84562.574652415191</v>
      </c>
      <c r="P156" s="90">
        <f>Tabella3[[#This Row],[Lombardy cumul. Fit]]/Kl</f>
        <v>0.97198361669442745</v>
      </c>
      <c r="Q156" s="90">
        <f>IFERROR(Kl*_xlfn.LOGNORM.DIST((Tabella3[[#This Row],[Day]]-pl),mu_l,sigma_l,FALSE),0)</f>
        <v>139.48225835302821</v>
      </c>
      <c r="R156" s="90">
        <f>Tabella3[[#This Row],[Lombardy fit]]/y_l_peak</f>
        <v>7.9343498688933534E-2</v>
      </c>
      <c r="S156" s="10">
        <f>Tabella3[[#This Row],[Lombardy fit]]*NOT(ISBLANK(Tabella3[[#This Row],[Lombardy data]]))</f>
        <v>0</v>
      </c>
      <c r="W156" s="10"/>
      <c r="X156" s="10">
        <f>Tabella3[[#This Row],[rest of Italy data]]*NOT(ISBLANK(Tabella3[[#This Row],[rest of Italy data]]))</f>
        <v>0</v>
      </c>
      <c r="Y156" s="95">
        <f>Tabella8[[#This Row],[rest of Italy fit]]</f>
        <v>145143.05164218618</v>
      </c>
      <c r="Z156" s="90">
        <f>Tabella3[[#This Row],[rest of Italy cumul. Fit]]/Ka</f>
        <v>0.98069640904398159</v>
      </c>
      <c r="AA156" s="90">
        <f>IFERROR(Ka*_xlfn.LOGNORM.DIST((Tabella3[[#This Row],[Day]]-pa),mu_a,sigma_a,FALSE),0)</f>
        <v>194.36186849445971</v>
      </c>
      <c r="AB156" s="90">
        <f>Tabella3[[#This Row],[rest of Italy fit]]/y_a_peak</f>
        <v>5.7517991158302903E-2</v>
      </c>
      <c r="AC156" s="10">
        <f>Tabella3[[#This Row],[rest of Italy fit]]*NOT(ISBLANK(Tabella3[[#This Row],[rest of Italy data]]))</f>
        <v>0</v>
      </c>
    </row>
    <row r="157" spans="2:29" x14ac:dyDescent="0.3">
      <c r="B157" s="9">
        <v>43980</v>
      </c>
      <c r="C157" s="4">
        <v>150</v>
      </c>
      <c r="E157" s="10"/>
      <c r="F157" s="10">
        <f>Tabella3[[#This Row],[Spain daily cases]]*NOT(ISBLANK(Tabella3[[#This Row],[Spain daily cases]]))</f>
        <v>0</v>
      </c>
      <c r="G157" s="90">
        <f>IFERROR(Kf*_xlfn.LOGNORM.DIST((Tabella3[[#This Row],[Day]]-pf),mu_f,sigma_f,FALSE),0)</f>
        <v>341.5871457608398</v>
      </c>
      <c r="H157" s="90">
        <f>Tabella3[[#This Row],[Spain daily cases fit]]/y_f_peak</f>
        <v>5.1176666350247015E-2</v>
      </c>
      <c r="I157" s="10">
        <f>Tabella3[[#This Row],[Spain daily cases fit]]*NOT(ISBLANK(Tabella3[[#This Row],[Spain daily cases]]))</f>
        <v>0</v>
      </c>
      <c r="M157" s="10"/>
      <c r="N157" s="10">
        <f>Tabella3[[#This Row],[Lombardy data]]*NOT(ISBLANK(Tabella3[[#This Row],[Lombardy data]]))</f>
        <v>0</v>
      </c>
      <c r="O157" s="95">
        <f>Tabella8[[#This Row],[Lombardy fit]]</f>
        <v>84698.210216405729</v>
      </c>
      <c r="P157" s="90">
        <f>Tabella3[[#This Row],[Lombardy cumul. Fit]]/Kl</f>
        <v>0.97354264616558306</v>
      </c>
      <c r="Q157" s="90">
        <f>IFERROR(Kl*_xlfn.LOGNORM.DIST((Tabella3[[#This Row],[Day]]-pl),mu_l,sigma_l,FALSE),0)</f>
        <v>131.85711302205891</v>
      </c>
      <c r="R157" s="90">
        <f>Tabella3[[#This Row],[Lombardy fit]]/y_l_peak</f>
        <v>7.5005988558867906E-2</v>
      </c>
      <c r="S157" s="10">
        <f>Tabella3[[#This Row],[Lombardy fit]]*NOT(ISBLANK(Tabella3[[#This Row],[Lombardy data]]))</f>
        <v>0</v>
      </c>
      <c r="W157" s="10"/>
      <c r="X157" s="10">
        <f>Tabella3[[#This Row],[rest of Italy data]]*NOT(ISBLANK(Tabella3[[#This Row],[rest of Italy data]]))</f>
        <v>0</v>
      </c>
      <c r="Y157" s="95">
        <f>Tabella8[[#This Row],[rest of Italy fit]]</f>
        <v>145331.05846446479</v>
      </c>
      <c r="Z157" s="90">
        <f>Tabella3[[#This Row],[rest of Italy cumul. Fit]]/Ka</f>
        <v>0.98196672555860842</v>
      </c>
      <c r="AA157" s="90">
        <f>IFERROR(Ka*_xlfn.LOGNORM.DIST((Tabella3[[#This Row],[Day]]-pa),mu_a,sigma_a,FALSE),0)</f>
        <v>181.78644548575426</v>
      </c>
      <c r="AB157" s="90">
        <f>Tabella3[[#This Row],[rest of Italy fit]]/y_a_peak</f>
        <v>5.3796514949880581E-2</v>
      </c>
      <c r="AC157" s="10">
        <f>Tabella3[[#This Row],[rest of Italy fit]]*NOT(ISBLANK(Tabella3[[#This Row],[rest of Italy data]]))</f>
        <v>0</v>
      </c>
    </row>
    <row r="158" spans="2:29" x14ac:dyDescent="0.3">
      <c r="B158" s="9">
        <v>43981</v>
      </c>
      <c r="C158" s="4">
        <v>151</v>
      </c>
      <c r="E158" s="10"/>
      <c r="F158" s="10">
        <f>Tabella3[[#This Row],[Spain daily cases]]*NOT(ISBLANK(Tabella3[[#This Row],[Spain daily cases]]))</f>
        <v>0</v>
      </c>
      <c r="G158" s="90">
        <f>IFERROR(Kf*_xlfn.LOGNORM.DIST((Tabella3[[#This Row],[Day]]-pf),mu_f,sigma_f,FALSE),0)</f>
        <v>315.75976396446225</v>
      </c>
      <c r="H158" s="90">
        <f>Tabella3[[#This Row],[Spain daily cases fit]]/y_f_peak</f>
        <v>4.7307201947686978E-2</v>
      </c>
      <c r="I158" s="10">
        <f>Tabella3[[#This Row],[Spain daily cases fit]]*NOT(ISBLANK(Tabella3[[#This Row],[Spain daily cases]]))</f>
        <v>0</v>
      </c>
      <c r="M158" s="10"/>
      <c r="N158" s="10">
        <f>Tabella3[[#This Row],[Lombardy data]]*NOT(ISBLANK(Tabella3[[#This Row],[Lombardy data]]))</f>
        <v>0</v>
      </c>
      <c r="O158" s="95">
        <f>Tabella8[[#This Row],[Lombardy fit]]</f>
        <v>84826.422096802387</v>
      </c>
      <c r="P158" s="90">
        <f>Tabella3[[#This Row],[Lombardy cumul. Fit]]/Kl</f>
        <v>0.97501634594025732</v>
      </c>
      <c r="Q158" s="90">
        <f>IFERROR(Kl*_xlfn.LOGNORM.DIST((Tabella3[[#This Row],[Day]]-pl),mu_l,sigma_l,FALSE),0)</f>
        <v>124.63164698013571</v>
      </c>
      <c r="R158" s="90">
        <f>Tabella3[[#This Row],[Lombardy fit]]/y_l_peak</f>
        <v>7.0895833172845507E-2</v>
      </c>
      <c r="S158" s="10">
        <f>Tabella3[[#This Row],[Lombardy fit]]*NOT(ISBLANK(Tabella3[[#This Row],[Lombardy data]]))</f>
        <v>0</v>
      </c>
      <c r="W158" s="10"/>
      <c r="X158" s="10">
        <f>Tabella3[[#This Row],[rest of Italy data]]*NOT(ISBLANK(Tabella3[[#This Row],[rest of Italy data]]))</f>
        <v>0</v>
      </c>
      <c r="Y158" s="95">
        <f>Tabella8[[#This Row],[rest of Italy fit]]</f>
        <v>145506.8860325217</v>
      </c>
      <c r="Z158" s="90">
        <f>Tabella3[[#This Row],[rest of Italy cumul. Fit]]/Ka</f>
        <v>0.98315474980540063</v>
      </c>
      <c r="AA158" s="90">
        <f>IFERROR(Ka*_xlfn.LOGNORM.DIST((Tabella3[[#This Row],[Day]]-pa),mu_a,sigma_a,FALSE),0)</f>
        <v>169.99559676494684</v>
      </c>
      <c r="AB158" s="90">
        <f>Tabella3[[#This Row],[rest of Italy fit]]/y_a_peak</f>
        <v>5.0307219761860617E-2</v>
      </c>
      <c r="AC158" s="10">
        <f>Tabella3[[#This Row],[rest of Italy fit]]*NOT(ISBLANK(Tabella3[[#This Row],[rest of Italy data]]))</f>
        <v>0</v>
      </c>
    </row>
    <row r="159" spans="2:29" x14ac:dyDescent="0.3">
      <c r="B159" s="9">
        <v>43982</v>
      </c>
      <c r="C159" s="4">
        <v>152</v>
      </c>
      <c r="E159" s="10"/>
      <c r="F159" s="10">
        <f>Tabella3[[#This Row],[Spain daily cases]]*NOT(ISBLANK(Tabella3[[#This Row],[Spain daily cases]]))</f>
        <v>0</v>
      </c>
      <c r="G159" s="90">
        <f>IFERROR(Kf*_xlfn.LOGNORM.DIST((Tabella3[[#This Row],[Day]]-pf),mu_f,sigma_f,FALSE),0)</f>
        <v>291.7853523798405</v>
      </c>
      <c r="H159" s="90">
        <f>Tabella3[[#This Row],[Spain daily cases fit]]/y_f_peak</f>
        <v>4.3715349977154358E-2</v>
      </c>
      <c r="I159" s="10">
        <f>Tabella3[[#This Row],[Spain daily cases fit]]*NOT(ISBLANK(Tabella3[[#This Row],[Spain daily cases]]))</f>
        <v>0</v>
      </c>
      <c r="M159" s="10"/>
      <c r="N159" s="10">
        <f>Tabella3[[#This Row],[Lombardy data]]*NOT(ISBLANK(Tabella3[[#This Row],[Lombardy data]]))</f>
        <v>0</v>
      </c>
      <c r="O159" s="95">
        <f>Tabella8[[#This Row],[Lombardy fit]]</f>
        <v>84947.600361458666</v>
      </c>
      <c r="P159" s="90">
        <f>Tabella3[[#This Row],[Lombardy cumul. Fit]]/Kl</f>
        <v>0.97640919955699612</v>
      </c>
      <c r="Q159" s="90">
        <f>IFERROR(Kl*_xlfn.LOGNORM.DIST((Tabella3[[#This Row],[Day]]-pl),mu_l,sigma_l,FALSE),0)</f>
        <v>117.78675833389015</v>
      </c>
      <c r="R159" s="90">
        <f>Tabella3[[#This Row],[Lombardy fit]]/y_l_peak</f>
        <v>6.7002166553577658E-2</v>
      </c>
      <c r="S159" s="10">
        <f>Tabella3[[#This Row],[Lombardy fit]]*NOT(ISBLANK(Tabella3[[#This Row],[Lombardy data]]))</f>
        <v>0</v>
      </c>
      <c r="W159" s="10"/>
      <c r="X159" s="10">
        <f>Tabella3[[#This Row],[rest of Italy data]]*NOT(ISBLANK(Tabella3[[#This Row],[rest of Italy data]]))</f>
        <v>0</v>
      </c>
      <c r="Y159" s="95">
        <f>Tabella8[[#This Row],[rest of Italy fit]]</f>
        <v>145671.29600902554</v>
      </c>
      <c r="Z159" s="90">
        <f>Tabella3[[#This Row],[rest of Italy cumul. Fit]]/Ka</f>
        <v>0.98426562815434027</v>
      </c>
      <c r="AA159" s="90">
        <f>IFERROR(Ka*_xlfn.LOGNORM.DIST((Tabella3[[#This Row],[Day]]-pa),mu_a,sigma_a,FALSE),0)</f>
        <v>158.94387545912204</v>
      </c>
      <c r="AB159" s="90">
        <f>Tabella3[[#This Row],[rest of Italy fit]]/y_a_peak</f>
        <v>4.7036656388106168E-2</v>
      </c>
      <c r="AC159" s="10">
        <f>Tabella3[[#This Row],[rest of Italy fit]]*NOT(ISBLANK(Tabella3[[#This Row],[rest of Italy data]]))</f>
        <v>0</v>
      </c>
    </row>
    <row r="160" spans="2:29" x14ac:dyDescent="0.3">
      <c r="B160" s="9">
        <v>43983</v>
      </c>
      <c r="C160" s="4">
        <v>153</v>
      </c>
      <c r="E160" s="10"/>
      <c r="F160" s="10">
        <f>Tabella3[[#This Row],[Spain daily cases]]*NOT(ISBLANK(Tabella3[[#This Row],[Spain daily cases]]))</f>
        <v>0</v>
      </c>
      <c r="G160" s="90">
        <f>IFERROR(Kf*_xlfn.LOGNORM.DIST((Tabella3[[#This Row],[Day]]-pf),mu_f,sigma_f,FALSE),0)</f>
        <v>269.54286191969862</v>
      </c>
      <c r="H160" s="90">
        <f>Tabella3[[#This Row],[Spain daily cases fit]]/y_f_peak</f>
        <v>4.0382974835982612E-2</v>
      </c>
      <c r="I160" s="10">
        <f>Tabella3[[#This Row],[Spain daily cases fit]]*NOT(ISBLANK(Tabella3[[#This Row],[Spain daily cases]]))</f>
        <v>0</v>
      </c>
      <c r="M160" s="10"/>
      <c r="N160" s="10">
        <f>Tabella3[[#This Row],[Lombardy data]]*NOT(ISBLANK(Tabella3[[#This Row],[Lombardy data]]))</f>
        <v>0</v>
      </c>
      <c r="O160" s="95">
        <f>Tabella8[[#This Row],[Lombardy fit]]</f>
        <v>85062.116338405118</v>
      </c>
      <c r="P160" s="90">
        <f>Tabella3[[#This Row],[Lombardy cumul. Fit]]/Kl</f>
        <v>0.97772547515408181</v>
      </c>
      <c r="Q160" s="90">
        <f>IFERROR(Kl*_xlfn.LOGNORM.DIST((Tabella3[[#This Row],[Day]]-pl),mu_l,sigma_l,FALSE),0)</f>
        <v>111.30406836968926</v>
      </c>
      <c r="R160" s="90">
        <f>Tabella3[[#This Row],[Lombardy fit]]/y_l_peak</f>
        <v>6.3314534099466552E-2</v>
      </c>
      <c r="S160" s="10">
        <f>Tabella3[[#This Row],[Lombardy fit]]*NOT(ISBLANK(Tabella3[[#This Row],[Lombardy data]]))</f>
        <v>0</v>
      </c>
      <c r="W160" s="10"/>
      <c r="X160" s="10">
        <f>Tabella3[[#This Row],[rest of Italy data]]*NOT(ISBLANK(Tabella3[[#This Row],[rest of Italy data]]))</f>
        <v>0</v>
      </c>
      <c r="Y160" s="95">
        <f>Tabella8[[#This Row],[rest of Italy fit]]</f>
        <v>145825.00572919563</v>
      </c>
      <c r="Z160" s="90">
        <f>Tabella3[[#This Row],[rest of Italy cumul. Fit]]/Ka</f>
        <v>0.98530420746558134</v>
      </c>
      <c r="AA160" s="90">
        <f>IFERROR(Ka*_xlfn.LOGNORM.DIST((Tabella3[[#This Row],[Day]]-pa),mu_a,sigma_a,FALSE),0)</f>
        <v>148.58806367499781</v>
      </c>
      <c r="AB160" s="90">
        <f>Tabella3[[#This Row],[rest of Italy fit]]/y_a_peak</f>
        <v>4.3972035249967206E-2</v>
      </c>
      <c r="AC160" s="10">
        <f>Tabella3[[#This Row],[rest of Italy fit]]*NOT(ISBLANK(Tabella3[[#This Row],[rest of Italy data]]))</f>
        <v>0</v>
      </c>
    </row>
    <row r="161" spans="2:29" x14ac:dyDescent="0.3">
      <c r="B161" s="9">
        <v>43984</v>
      </c>
      <c r="C161" s="4">
        <v>154</v>
      </c>
      <c r="E161" s="10"/>
      <c r="F161" s="10">
        <f>Tabella3[[#This Row],[Spain daily cases]]*NOT(ISBLANK(Tabella3[[#This Row],[Spain daily cases]]))</f>
        <v>0</v>
      </c>
      <c r="G161" s="90">
        <f>IFERROR(Kf*_xlfn.LOGNORM.DIST((Tabella3[[#This Row],[Day]]-pf),mu_f,sigma_f,FALSE),0)</f>
        <v>248.91773401072231</v>
      </c>
      <c r="H161" s="90">
        <f>Tabella3[[#This Row],[Spain daily cases fit]]/y_f_peak</f>
        <v>3.7292913331830262E-2</v>
      </c>
      <c r="I161" s="10">
        <f>Tabella3[[#This Row],[Spain daily cases fit]]*NOT(ISBLANK(Tabella3[[#This Row],[Spain daily cases]]))</f>
        <v>0</v>
      </c>
      <c r="M161" s="10"/>
      <c r="N161" s="10">
        <f>Tabella3[[#This Row],[Lombardy data]]*NOT(ISBLANK(Tabella3[[#This Row],[Lombardy data]]))</f>
        <v>0</v>
      </c>
      <c r="O161" s="95">
        <f>Tabella8[[#This Row],[Lombardy fit]]</f>
        <v>85170.323335674941</v>
      </c>
      <c r="P161" s="90">
        <f>Tabella3[[#This Row],[Lombardy cumul. Fit]]/Kl</f>
        <v>0.97896923374339018</v>
      </c>
      <c r="Q161" s="90">
        <f>IFERROR(Kl*_xlfn.LOGNORM.DIST((Tabella3[[#This Row],[Day]]-pl),mu_l,sigma_l,FALSE),0)</f>
        <v>105.16591438836666</v>
      </c>
      <c r="R161" s="90">
        <f>Tabella3[[#This Row],[Lombardy fit]]/y_l_peak</f>
        <v>5.982288850869262E-2</v>
      </c>
      <c r="S161" s="10">
        <f>Tabella3[[#This Row],[Lombardy fit]]*NOT(ISBLANK(Tabella3[[#This Row],[Lombardy data]]))</f>
        <v>0</v>
      </c>
      <c r="W161" s="10"/>
      <c r="X161" s="10">
        <f>Tabella3[[#This Row],[rest of Italy data]]*NOT(ISBLANK(Tabella3[[#This Row],[rest of Italy data]]))</f>
        <v>0</v>
      </c>
      <c r="Y161" s="95">
        <f>Tabella8[[#This Row],[rest of Italy fit]]</f>
        <v>145968.69039927144</v>
      </c>
      <c r="Z161" s="90">
        <f>Tabella3[[#This Row],[rest of Italy cumul. Fit]]/Ka</f>
        <v>0.98627504994397563</v>
      </c>
      <c r="AA161" s="90">
        <f>IFERROR(Ka*_xlfn.LOGNORM.DIST((Tabella3[[#This Row],[Day]]-pa),mu_a,sigma_a,FALSE),0)</f>
        <v>138.88711061289575</v>
      </c>
      <c r="AB161" s="90">
        <f>Tabella3[[#This Row],[rest of Italy fit]]/y_a_peak</f>
        <v>4.1101208082193794E-2</v>
      </c>
      <c r="AC161" s="10">
        <f>Tabella3[[#This Row],[rest of Italy fit]]*NOT(ISBLANK(Tabella3[[#This Row],[rest of Italy data]]))</f>
        <v>0</v>
      </c>
    </row>
    <row r="162" spans="2:29" x14ac:dyDescent="0.3">
      <c r="B162" s="9">
        <v>43985</v>
      </c>
      <c r="C162" s="4">
        <v>155</v>
      </c>
      <c r="E162" s="10"/>
      <c r="F162" s="10">
        <f>Tabella3[[#This Row],[Spain daily cases]]*NOT(ISBLANK(Tabella3[[#This Row],[Spain daily cases]]))</f>
        <v>0</v>
      </c>
      <c r="G162" s="90">
        <f>IFERROR(Kf*_xlfn.LOGNORM.DIST((Tabella3[[#This Row],[Day]]-pf),mu_f,sigma_f,FALSE),0)</f>
        <v>229.80172859720099</v>
      </c>
      <c r="H162" s="90">
        <f>Tabella3[[#This Row],[Spain daily cases fit]]/y_f_peak</f>
        <v>3.4428948914146225E-2</v>
      </c>
      <c r="I162" s="10">
        <f>Tabella3[[#This Row],[Spain daily cases fit]]*NOT(ISBLANK(Tabella3[[#This Row],[Spain daily cases]]))</f>
        <v>0</v>
      </c>
      <c r="M162" s="10"/>
      <c r="N162" s="10">
        <f>Tabella3[[#This Row],[Lombardy data]]*NOT(ISBLANK(Tabella3[[#This Row],[Lombardy data]]))</f>
        <v>0</v>
      </c>
      <c r="O162" s="95">
        <f>Tabella8[[#This Row],[Lombardy fit]]</f>
        <v>85272.55735266082</v>
      </c>
      <c r="P162" s="90">
        <f>Tabella3[[#This Row],[Lombardy cumul. Fit]]/Kl</f>
        <v>0.98014433738690598</v>
      </c>
      <c r="Q162" s="90">
        <f>IFERROR(Kl*_xlfn.LOGNORM.DIST((Tabella3[[#This Row],[Day]]-pl),mu_l,sigma_l,FALSE),0)</f>
        <v>99.355339999105652</v>
      </c>
      <c r="R162" s="90">
        <f>Tabella3[[#This Row],[Lombardy fit]]/y_l_peak</f>
        <v>5.6517584257958338E-2</v>
      </c>
      <c r="S162" s="10">
        <f>Tabella3[[#This Row],[Lombardy fit]]*NOT(ISBLANK(Tabella3[[#This Row],[Lombardy data]]))</f>
        <v>0</v>
      </c>
      <c r="W162" s="10"/>
      <c r="X162" s="10">
        <f>Tabella3[[#This Row],[rest of Italy data]]*NOT(ISBLANK(Tabella3[[#This Row],[rest of Italy data]]))</f>
        <v>0</v>
      </c>
      <c r="Y162" s="95">
        <f>Tabella8[[#This Row],[rest of Italy fit]]</f>
        <v>146102.98523070125</v>
      </c>
      <c r="Z162" s="90">
        <f>Tabella3[[#This Row],[rest of Italy cumul. Fit]]/Ka</f>
        <v>0.98718244755926798</v>
      </c>
      <c r="AA162" s="90">
        <f>IFERROR(Ka*_xlfn.LOGNORM.DIST((Tabella3[[#This Row],[Day]]-pa),mu_a,sigma_a,FALSE),0)</f>
        <v>129.80206608856005</v>
      </c>
      <c r="AB162" s="90">
        <f>Tabella3[[#This Row],[rest of Italy fit]]/y_a_peak</f>
        <v>3.8412648259882637E-2</v>
      </c>
      <c r="AC162" s="10">
        <f>Tabella3[[#This Row],[rest of Italy fit]]*NOT(ISBLANK(Tabella3[[#This Row],[rest of Italy data]]))</f>
        <v>0</v>
      </c>
    </row>
    <row r="163" spans="2:29" x14ac:dyDescent="0.3">
      <c r="B163" s="9">
        <v>43986</v>
      </c>
      <c r="C163" s="4">
        <v>156</v>
      </c>
      <c r="E163" s="10"/>
      <c r="F163" s="10">
        <f>Tabella3[[#This Row],[Spain daily cases]]*NOT(ISBLANK(Tabella3[[#This Row],[Spain daily cases]]))</f>
        <v>0</v>
      </c>
      <c r="G163" s="90">
        <f>IFERROR(Kf*_xlfn.LOGNORM.DIST((Tabella3[[#This Row],[Day]]-pf),mu_f,sigma_f,FALSE),0)</f>
        <v>212.09273138111331</v>
      </c>
      <c r="H163" s="90">
        <f>Tabella3[[#This Row],[Spain daily cases fit]]/y_f_peak</f>
        <v>3.1775782794834159E-2</v>
      </c>
      <c r="I163" s="10">
        <f>Tabella3[[#This Row],[Spain daily cases fit]]*NOT(ISBLANK(Tabella3[[#This Row],[Spain daily cases]]))</f>
        <v>0</v>
      </c>
      <c r="M163" s="10"/>
      <c r="N163" s="10">
        <f>Tabella3[[#This Row],[Lombardy data]]*NOT(ISBLANK(Tabella3[[#This Row],[Lombardy data]]))</f>
        <v>0</v>
      </c>
      <c r="O163" s="95">
        <f>Tabella8[[#This Row],[Lombardy fit]]</f>
        <v>85369.137780653706</v>
      </c>
      <c r="P163" s="90">
        <f>Tabella3[[#This Row],[Lombardy cumul. Fit]]/Kl</f>
        <v>0.98125445724889315</v>
      </c>
      <c r="Q163" s="90">
        <f>IFERROR(Kl*_xlfn.LOGNORM.DIST((Tabella3[[#This Row],[Day]]-pl),mu_l,sigma_l,FALSE),0)</f>
        <v>93.856083248924762</v>
      </c>
      <c r="R163" s="90">
        <f>Tabella3[[#This Row],[Lombardy fit]]/y_l_peak</f>
        <v>5.3389370850029857E-2</v>
      </c>
      <c r="S163" s="10">
        <f>Tabella3[[#This Row],[Lombardy fit]]*NOT(ISBLANK(Tabella3[[#This Row],[Lombardy data]]))</f>
        <v>0</v>
      </c>
      <c r="W163" s="10"/>
      <c r="X163" s="10">
        <f>Tabella3[[#This Row],[rest of Italy data]]*NOT(ISBLANK(Tabella3[[#This Row],[rest of Italy data]]))</f>
        <v>0</v>
      </c>
      <c r="Y163" s="95">
        <f>Tabella8[[#This Row],[rest of Italy fit]]</f>
        <v>146228.48750602425</v>
      </c>
      <c r="Z163" s="90">
        <f>Tabella3[[#This Row],[rest of Italy cumul. Fit]]/Ka</f>
        <v>0.9880304360047607</v>
      </c>
      <c r="AA163" s="90">
        <f>IFERROR(Ka*_xlfn.LOGNORM.DIST((Tabella3[[#This Row],[Day]]-pa),mu_a,sigma_a,FALSE),0)</f>
        <v>121.29601057036058</v>
      </c>
      <c r="AB163" s="90">
        <f>Tabella3[[#This Row],[rest of Italy fit]]/y_a_peak</f>
        <v>3.5895430094212567E-2</v>
      </c>
      <c r="AC163" s="10">
        <f>Tabella3[[#This Row],[rest of Italy fit]]*NOT(ISBLANK(Tabella3[[#This Row],[rest of Italy data]]))</f>
        <v>0</v>
      </c>
    </row>
    <row r="164" spans="2:29" x14ac:dyDescent="0.3">
      <c r="B164" s="9">
        <v>43987</v>
      </c>
      <c r="C164" s="4">
        <v>157</v>
      </c>
      <c r="E164" s="10"/>
      <c r="F164" s="10">
        <f>Tabella3[[#This Row],[Spain daily cases]]*NOT(ISBLANK(Tabella3[[#This Row],[Spain daily cases]]))</f>
        <v>0</v>
      </c>
      <c r="G164" s="90">
        <f>IFERROR(Kf*_xlfn.LOGNORM.DIST((Tabella3[[#This Row],[Day]]-pf),mu_f,sigma_f,FALSE),0)</f>
        <v>195.69454497095879</v>
      </c>
      <c r="H164" s="90">
        <f>Tabella3[[#This Row],[Spain daily cases fit]]/y_f_peak</f>
        <v>2.9319002658121412E-2</v>
      </c>
      <c r="I164" s="10">
        <f>Tabella3[[#This Row],[Spain daily cases fit]]*NOT(ISBLANK(Tabella3[[#This Row],[Spain daily cases]]))</f>
        <v>0</v>
      </c>
      <c r="M164" s="10"/>
      <c r="N164" s="10">
        <f>Tabella3[[#This Row],[Lombardy data]]*NOT(ISBLANK(Tabella3[[#This Row],[Lombardy data]]))</f>
        <v>0</v>
      </c>
      <c r="O164" s="95">
        <f>Tabella8[[#This Row],[Lombardy fit]]</f>
        <v>85460.368090571821</v>
      </c>
      <c r="P164" s="90">
        <f>Tabella3[[#This Row],[Lombardy cumul. Fit]]/Kl</f>
        <v>0.98230308150082557</v>
      </c>
      <c r="Q164" s="90">
        <f>IFERROR(Kl*_xlfn.LOGNORM.DIST((Tabella3[[#This Row],[Day]]-pl),mu_l,sigma_l,FALSE),0)</f>
        <v>88.652562927420973</v>
      </c>
      <c r="R164" s="90">
        <f>Tabella3[[#This Row],[Lombardy fit]]/y_l_peak</f>
        <v>5.0429385023286817E-2</v>
      </c>
      <c r="S164" s="10">
        <f>Tabella3[[#This Row],[Lombardy fit]]*NOT(ISBLANK(Tabella3[[#This Row],[Lombardy data]]))</f>
        <v>0</v>
      </c>
      <c r="W164" s="10"/>
      <c r="X164" s="10">
        <f>Tabella3[[#This Row],[rest of Italy data]]*NOT(ISBLANK(Tabella3[[#This Row],[rest of Italy data]]))</f>
        <v>0</v>
      </c>
      <c r="Y164" s="95">
        <f>Tabella8[[#This Row],[rest of Italy fit]]</f>
        <v>146345.7585734569</v>
      </c>
      <c r="Z164" s="90">
        <f>Tabella3[[#This Row],[rest of Italy cumul. Fit]]/Ka</f>
        <v>0.9888228081742495</v>
      </c>
      <c r="AA164" s="90">
        <f>IFERROR(Ka*_xlfn.LOGNORM.DIST((Tabella3[[#This Row],[Day]]-pa),mu_a,sigma_a,FALSE),0)</f>
        <v>113.33398270149605</v>
      </c>
      <c r="AB164" s="90">
        <f>Tabella3[[#This Row],[rest of Italy fit]]/y_a_peak</f>
        <v>3.3539207383909878E-2</v>
      </c>
      <c r="AC164" s="10">
        <f>Tabella3[[#This Row],[rest of Italy fit]]*NOT(ISBLANK(Tabella3[[#This Row],[rest of Italy data]]))</f>
        <v>0</v>
      </c>
    </row>
    <row r="165" spans="2:29" x14ac:dyDescent="0.3">
      <c r="B165" s="9">
        <v>43988</v>
      </c>
      <c r="C165" s="4">
        <v>158</v>
      </c>
      <c r="E165" s="10"/>
      <c r="F165" s="10">
        <f>Tabella3[[#This Row],[Spain daily cases]]*NOT(ISBLANK(Tabella3[[#This Row],[Spain daily cases]]))</f>
        <v>0</v>
      </c>
      <c r="G165" s="90">
        <f>IFERROR(Kf*_xlfn.LOGNORM.DIST((Tabella3[[#This Row],[Day]]-pf),mu_f,sigma_f,FALSE),0)</f>
        <v>180.51666803584135</v>
      </c>
      <c r="H165" s="90">
        <f>Tabella3[[#This Row],[Spain daily cases fit]]/y_f_peak</f>
        <v>2.704504957337198E-2</v>
      </c>
      <c r="I165" s="10">
        <f>Tabella3[[#This Row],[Spain daily cases fit]]*NOT(ISBLANK(Tabella3[[#This Row],[Spain daily cases]]))</f>
        <v>0</v>
      </c>
      <c r="M165" s="10"/>
      <c r="N165" s="10">
        <f>Tabella3[[#This Row],[Lombardy data]]*NOT(ISBLANK(Tabella3[[#This Row],[Lombardy data]]))</f>
        <v>0</v>
      </c>
      <c r="O165" s="95">
        <f>Tabella8[[#This Row],[Lombardy fit]]</f>
        <v>85546.536506210832</v>
      </c>
      <c r="P165" s="90">
        <f>Tabella3[[#This Row],[Lombardy cumul. Fit]]/Kl</f>
        <v>0.98329352305989459</v>
      </c>
      <c r="Q165" s="90">
        <f>IFERROR(Kl*_xlfn.LOGNORM.DIST((Tabella3[[#This Row],[Day]]-pl),mu_l,sigma_l,FALSE),0)</f>
        <v>83.729863352353661</v>
      </c>
      <c r="R165" s="90">
        <f>Tabella3[[#This Row],[Lombardy fit]]/y_l_peak</f>
        <v>4.7629142097109049E-2</v>
      </c>
      <c r="S165" s="10">
        <f>Tabella3[[#This Row],[Lombardy fit]]*NOT(ISBLANK(Tabella3[[#This Row],[Lombardy data]]))</f>
        <v>0</v>
      </c>
      <c r="W165" s="10"/>
      <c r="X165" s="10">
        <f>Tabella3[[#This Row],[rest of Italy data]]*NOT(ISBLANK(Tabella3[[#This Row],[rest of Italy data]]))</f>
        <v>0</v>
      </c>
      <c r="Y165" s="95">
        <f>Tabella8[[#This Row],[rest of Italy fit]]</f>
        <v>146455.32576810059</v>
      </c>
      <c r="Z165" s="90">
        <f>Tabella3[[#This Row],[rest of Italy cumul. Fit]]/Ka</f>
        <v>0.98956312714315886</v>
      </c>
      <c r="AA165" s="90">
        <f>IFERROR(Ka*_xlfn.LOGNORM.DIST((Tabella3[[#This Row],[Day]]-pa),mu_a,sigma_a,FALSE),0)</f>
        <v>105.88290515183097</v>
      </c>
      <c r="AB165" s="90">
        <f>Tabella3[[#This Row],[rest of Italy fit]]/y_a_peak</f>
        <v>3.1334191472397986E-2</v>
      </c>
      <c r="AC165" s="10">
        <f>Tabella3[[#This Row],[rest of Italy fit]]*NOT(ISBLANK(Tabella3[[#This Row],[rest of Italy data]]))</f>
        <v>0</v>
      </c>
    </row>
    <row r="166" spans="2:29" x14ac:dyDescent="0.3">
      <c r="B166" s="9">
        <v>43989</v>
      </c>
      <c r="C166" s="4">
        <v>159</v>
      </c>
      <c r="E166" s="10"/>
      <c r="F166" s="10">
        <f>Tabella3[[#This Row],[Spain daily cases]]*NOT(ISBLANK(Tabella3[[#This Row],[Spain daily cases]]))</f>
        <v>0</v>
      </c>
      <c r="G166" s="90">
        <f>IFERROR(Kf*_xlfn.LOGNORM.DIST((Tabella3[[#This Row],[Day]]-pf),mu_f,sigma_f,FALSE),0)</f>
        <v>166.47406603522003</v>
      </c>
      <c r="H166" s="90">
        <f>Tabella3[[#This Row],[Spain daily cases fit]]/y_f_peak</f>
        <v>2.4941183645763951E-2</v>
      </c>
      <c r="I166" s="10">
        <f>Tabella3[[#This Row],[Spain daily cases fit]]*NOT(ISBLANK(Tabella3[[#This Row],[Spain daily cases]]))</f>
        <v>0</v>
      </c>
      <c r="M166" s="10"/>
      <c r="N166" s="10">
        <f>Tabella3[[#This Row],[Lombardy data]]*NOT(ISBLANK(Tabella3[[#This Row],[Lombardy data]]))</f>
        <v>0</v>
      </c>
      <c r="O166" s="95">
        <f>Tabella8[[#This Row],[Lombardy fit]]</f>
        <v>85627.916661635274</v>
      </c>
      <c r="P166" s="90">
        <f>Tabella3[[#This Row],[Lombardy cumul. Fit]]/Kl</f>
        <v>0.98422892714523302</v>
      </c>
      <c r="Q166" s="90">
        <f>IFERROR(Kl*_xlfn.LOGNORM.DIST((Tabella3[[#This Row],[Day]]-pl),mu_l,sigma_l,FALSE),0)</f>
        <v>79.07371791020195</v>
      </c>
      <c r="R166" s="90">
        <f>Tabella3[[#This Row],[Lombardy fit]]/y_l_peak</f>
        <v>4.4980526609038791E-2</v>
      </c>
      <c r="S166" s="10">
        <f>Tabella3[[#This Row],[Lombardy fit]]*NOT(ISBLANK(Tabella3[[#This Row],[Lombardy data]]))</f>
        <v>0</v>
      </c>
      <c r="W166" s="10"/>
      <c r="X166" s="10">
        <f>Tabella3[[#This Row],[rest of Italy data]]*NOT(ISBLANK(Tabella3[[#This Row],[rest of Italy data]]))</f>
        <v>0</v>
      </c>
      <c r="Y166" s="95">
        <f>Tabella8[[#This Row],[rest of Italy fit]]</f>
        <v>146557.68425847558</v>
      </c>
      <c r="Z166" s="90">
        <f>Tabella3[[#This Row],[rest of Italy cumul. Fit]]/Ka</f>
        <v>0.99025473864512303</v>
      </c>
      <c r="AA166" s="90">
        <f>IFERROR(Ka*_xlfn.LOGNORM.DIST((Tabella3[[#This Row],[Day]]-pa),mu_a,sigma_a,FALSE),0)</f>
        <v>98.911509531068333</v>
      </c>
      <c r="AB166" s="90">
        <f>Tabella3[[#This Row],[rest of Italy fit]]/y_a_peak</f>
        <v>2.9271129027165901E-2</v>
      </c>
      <c r="AC166" s="10">
        <f>Tabella3[[#This Row],[rest of Italy fit]]*NOT(ISBLANK(Tabella3[[#This Row],[rest of Italy data]]))</f>
        <v>0</v>
      </c>
    </row>
    <row r="167" spans="2:29" x14ac:dyDescent="0.3">
      <c r="B167" s="9">
        <v>43990</v>
      </c>
      <c r="C167" s="4">
        <v>160</v>
      </c>
      <c r="E167" s="10"/>
      <c r="F167" s="10">
        <f>Tabella3[[#This Row],[Spain daily cases]]*NOT(ISBLANK(Tabella3[[#This Row],[Spain daily cases]]))</f>
        <v>0</v>
      </c>
      <c r="G167" s="90">
        <f>IFERROR(Kf*_xlfn.LOGNORM.DIST((Tabella3[[#This Row],[Day]]-pf),mu_f,sigma_f,FALSE),0)</f>
        <v>153.48693661645916</v>
      </c>
      <c r="H167" s="90">
        <f>Tabella3[[#This Row],[Spain daily cases fit]]/y_f_peak</f>
        <v>2.2995448868095399E-2</v>
      </c>
      <c r="I167" s="10">
        <f>Tabella3[[#This Row],[Spain daily cases fit]]*NOT(ISBLANK(Tabella3[[#This Row],[Spain daily cases]]))</f>
        <v>0</v>
      </c>
      <c r="M167" s="10"/>
      <c r="N167" s="10">
        <f>Tabella3[[#This Row],[Lombardy data]]*NOT(ISBLANK(Tabella3[[#This Row],[Lombardy data]]))</f>
        <v>0</v>
      </c>
      <c r="O167" s="95">
        <f>Tabella8[[#This Row],[Lombardy fit]]</f>
        <v>85704.768241591519</v>
      </c>
      <c r="P167" s="90">
        <f>Tabella3[[#This Row],[Lombardy cumul. Fit]]/Kl</f>
        <v>0.98511227863898299</v>
      </c>
      <c r="Q167" s="90">
        <f>IFERROR(Kl*_xlfn.LOGNORM.DIST((Tabella3[[#This Row],[Day]]-pl),mu_l,sigma_l,FALSE),0)</f>
        <v>74.670491596837081</v>
      </c>
      <c r="R167" s="90">
        <f>Tabella3[[#This Row],[Lombardy fit]]/y_l_peak</f>
        <v>4.2475782383165288E-2</v>
      </c>
      <c r="S167" s="10">
        <f>Tabella3[[#This Row],[Lombardy fit]]*NOT(ISBLANK(Tabella3[[#This Row],[Lombardy data]]))</f>
        <v>0</v>
      </c>
      <c r="W167" s="10"/>
      <c r="X167" s="10">
        <f>Tabella3[[#This Row],[rest of Italy data]]*NOT(ISBLANK(Tabella3[[#This Row],[rest of Italy data]]))</f>
        <v>0</v>
      </c>
      <c r="Y167" s="95">
        <f>Tabella8[[#This Row],[rest of Italy fit]]</f>
        <v>146653.29881776491</v>
      </c>
      <c r="Z167" s="90">
        <f>Tabella3[[#This Row],[rest of Italy cumul. Fit]]/Ka</f>
        <v>0.99090078303985252</v>
      </c>
      <c r="AA167" s="90">
        <f>IFERROR(Ka*_xlfn.LOGNORM.DIST((Tabella3[[#This Row],[Day]]-pa),mu_a,sigma_a,FALSE),0)</f>
        <v>92.390260993342054</v>
      </c>
      <c r="AB167" s="90">
        <f>Tabella3[[#This Row],[rest of Italy fit]]/y_a_peak</f>
        <v>2.7341279727817722E-2</v>
      </c>
      <c r="AC167" s="10">
        <f>Tabella3[[#This Row],[rest of Italy fit]]*NOT(ISBLANK(Tabella3[[#This Row],[rest of Italy data]]))</f>
        <v>0</v>
      </c>
    </row>
    <row r="168" spans="2:29" x14ac:dyDescent="0.3">
      <c r="B168" s="9">
        <v>43991</v>
      </c>
      <c r="C168" s="4">
        <v>161</v>
      </c>
      <c r="E168" s="10"/>
      <c r="F168" s="10">
        <f>Tabella3[[#This Row],[Spain daily cases]]*NOT(ISBLANK(Tabella3[[#This Row],[Spain daily cases]]))</f>
        <v>0</v>
      </c>
      <c r="G168" s="90">
        <f>IFERROR(Kf*_xlfn.LOGNORM.DIST((Tabella3[[#This Row],[Day]]-pf),mu_f,sigma_f,FALSE),0)</f>
        <v>141.48047233951266</v>
      </c>
      <c r="H168" s="90">
        <f>Tabella3[[#This Row],[Spain daily cases fit]]/y_f_peak</f>
        <v>2.1196637572140912E-2</v>
      </c>
      <c r="I168" s="10">
        <f>Tabella3[[#This Row],[Spain daily cases fit]]*NOT(ISBLANK(Tabella3[[#This Row],[Spain daily cases]]))</f>
        <v>0</v>
      </c>
      <c r="M168" s="10"/>
      <c r="N168" s="10">
        <f>Tabella3[[#This Row],[Lombardy data]]*NOT(ISBLANK(Tabella3[[#This Row],[Lombardy data]]))</f>
        <v>0</v>
      </c>
      <c r="O168" s="95">
        <f>Tabella8[[#This Row],[Lombardy fit]]</f>
        <v>85777.337604053508</v>
      </c>
      <c r="P168" s="90">
        <f>Tabella3[[#This Row],[Lombardy cumul. Fit]]/Kl</f>
        <v>0.98594640924199439</v>
      </c>
      <c r="Q168" s="90">
        <f>IFERROR(Kl*_xlfn.LOGNORM.DIST((Tabella3[[#This Row],[Day]]-pl),mu_l,sigma_l,FALSE),0)</f>
        <v>70.507162776822412</v>
      </c>
      <c r="R168" s="90">
        <f>Tabella3[[#This Row],[Lombardy fit]]/y_l_peak</f>
        <v>4.0107502154031319E-2</v>
      </c>
      <c r="S168" s="10">
        <f>Tabella3[[#This Row],[Lombardy fit]]*NOT(ISBLANK(Tabella3[[#This Row],[Lombardy data]]))</f>
        <v>0</v>
      </c>
      <c r="W168" s="10"/>
      <c r="X168" s="10">
        <f>Tabella3[[#This Row],[rest of Italy data]]*NOT(ISBLANK(Tabella3[[#This Row],[rest of Italy data]]))</f>
        <v>0</v>
      </c>
      <c r="Y168" s="95">
        <f>Tabella8[[#This Row],[rest of Italy fit]]</f>
        <v>146742.60551973694</v>
      </c>
      <c r="Z168" s="90">
        <f>Tabella3[[#This Row],[rest of Italy cumul. Fit]]/Ka</f>
        <v>0.99150420677207118</v>
      </c>
      <c r="AA168" s="90">
        <f>IFERROR(Ka*_xlfn.LOGNORM.DIST((Tabella3[[#This Row],[Day]]-pa),mu_a,sigma_a,FALSE),0)</f>
        <v>86.291283072030623</v>
      </c>
      <c r="AB168" s="90">
        <f>Tabella3[[#This Row],[rest of Italy fit]]/y_a_peak</f>
        <v>2.5536394022252103E-2</v>
      </c>
      <c r="AC168" s="10">
        <f>Tabella3[[#This Row],[rest of Italy fit]]*NOT(ISBLANK(Tabella3[[#This Row],[rest of Italy data]]))</f>
        <v>0</v>
      </c>
    </row>
    <row r="169" spans="2:29" x14ac:dyDescent="0.3">
      <c r="B169" s="9">
        <v>43992</v>
      </c>
      <c r="C169" s="4">
        <v>162</v>
      </c>
      <c r="E169" s="10"/>
      <c r="F169" s="10">
        <f>Tabella3[[#This Row],[Spain daily cases]]*NOT(ISBLANK(Tabella3[[#This Row],[Spain daily cases]]))</f>
        <v>0</v>
      </c>
      <c r="G169" s="90">
        <f>IFERROR(Kf*_xlfn.LOGNORM.DIST((Tabella3[[#This Row],[Day]]-pf),mu_f,sigma_f,FALSE),0)</f>
        <v>130.38462299810527</v>
      </c>
      <c r="H169" s="90">
        <f>Tabella3[[#This Row],[Spain daily cases fit]]/y_f_peak</f>
        <v>1.9534254819555164E-2</v>
      </c>
      <c r="I169" s="10">
        <f>Tabella3[[#This Row],[Spain daily cases fit]]*NOT(ISBLANK(Tabella3[[#This Row],[Spain daily cases]]))</f>
        <v>0</v>
      </c>
      <c r="M169" s="10"/>
      <c r="N169" s="10">
        <f>Tabella3[[#This Row],[Lombardy data]]*NOT(ISBLANK(Tabella3[[#This Row],[Lombardy data]]))</f>
        <v>0</v>
      </c>
      <c r="O169" s="95">
        <f>Tabella8[[#This Row],[Lombardy fit]]</f>
        <v>85845.858384218838</v>
      </c>
      <c r="P169" s="90">
        <f>Tabella3[[#This Row],[Lombardy cumul. Fit]]/Kl</f>
        <v>0.98673400441630843</v>
      </c>
      <c r="Q169" s="90">
        <f>IFERROR(Kl*_xlfn.LOGNORM.DIST((Tabella3[[#This Row],[Day]]-pl),mu_l,sigma_l,FALSE),0)</f>
        <v>66.571304355456547</v>
      </c>
      <c r="R169" s="90">
        <f>Tabella3[[#This Row],[Lombardy fit]]/y_l_peak</f>
        <v>3.7868616856482719E-2</v>
      </c>
      <c r="S169" s="10">
        <f>Tabella3[[#This Row],[Lombardy fit]]*NOT(ISBLANK(Tabella3[[#This Row],[Lombardy data]]))</f>
        <v>0</v>
      </c>
      <c r="W169" s="10"/>
      <c r="X169" s="10">
        <f>Tabella3[[#This Row],[rest of Italy data]]*NOT(ISBLANK(Tabella3[[#This Row],[rest of Italy data]]))</f>
        <v>0</v>
      </c>
      <c r="Y169" s="95">
        <f>Tabella8[[#This Row],[rest of Italy fit]]</f>
        <v>146826.01335981127</v>
      </c>
      <c r="Z169" s="90">
        <f>Tabella3[[#This Row],[rest of Italy cumul. Fit]]/Ka</f>
        <v>0.99206777332466545</v>
      </c>
      <c r="AA169" s="90">
        <f>IFERROR(Ka*_xlfn.LOGNORM.DIST((Tabella3[[#This Row],[Day]]-pa),mu_a,sigma_a,FALSE),0)</f>
        <v>80.588283201970967</v>
      </c>
      <c r="AB169" s="90">
        <f>Tabella3[[#This Row],[rest of Italy fit]]/y_a_peak</f>
        <v>2.3848691086265746E-2</v>
      </c>
      <c r="AC169" s="10">
        <f>Tabella3[[#This Row],[rest of Italy fit]]*NOT(ISBLANK(Tabella3[[#This Row],[rest of Italy data]]))</f>
        <v>0</v>
      </c>
    </row>
    <row r="170" spans="2:29" x14ac:dyDescent="0.3">
      <c r="B170" s="9">
        <v>43993</v>
      </c>
      <c r="C170" s="4">
        <v>163</v>
      </c>
      <c r="E170" s="10"/>
      <c r="F170" s="10">
        <f>Tabella3[[#This Row],[Spain daily cases]]*NOT(ISBLANK(Tabella3[[#This Row],[Spain daily cases]]))</f>
        <v>0</v>
      </c>
      <c r="G170" s="90">
        <f>IFERROR(Kf*_xlfn.LOGNORM.DIST((Tabella3[[#This Row],[Day]]-pf),mu_f,sigma_f,FALSE),0)</f>
        <v>120.13385945695818</v>
      </c>
      <c r="H170" s="90">
        <f>Tabella3[[#This Row],[Spain daily cases fit]]/y_f_peak</f>
        <v>1.7998483019910638E-2</v>
      </c>
      <c r="I170" s="10">
        <f>Tabella3[[#This Row],[Spain daily cases fit]]*NOT(ISBLANK(Tabella3[[#This Row],[Spain daily cases]]))</f>
        <v>0</v>
      </c>
      <c r="M170" s="10"/>
      <c r="N170" s="10">
        <f>Tabella3[[#This Row],[Lombardy data]]*NOT(ISBLANK(Tabella3[[#This Row],[Lombardy data]]))</f>
        <v>0</v>
      </c>
      <c r="O170" s="95">
        <f>Tabella8[[#This Row],[Lombardy fit]]</f>
        <v>85910.552079455883</v>
      </c>
      <c r="P170" s="90">
        <f>Tabella3[[#This Row],[Lombardy cumul. Fit]]/Kl</f>
        <v>0.98747761010868829</v>
      </c>
      <c r="Q170" s="90">
        <f>IFERROR(Kl*_xlfn.LOGNORM.DIST((Tabella3[[#This Row],[Day]]-pl),mu_l,sigma_l,FALSE),0)</f>
        <v>62.851064535325399</v>
      </c>
      <c r="R170" s="90">
        <f>Tabella3[[#This Row],[Lombardy fit]]/y_l_peak</f>
        <v>3.5752384679168782E-2</v>
      </c>
      <c r="S170" s="10">
        <f>Tabella3[[#This Row],[Lombardy fit]]*NOT(ISBLANK(Tabella3[[#This Row],[Lombardy data]]))</f>
        <v>0</v>
      </c>
      <c r="W170" s="10"/>
      <c r="X170" s="10">
        <f>Tabella3[[#This Row],[rest of Italy data]]*NOT(ISBLANK(Tabella3[[#This Row],[rest of Italy data]]))</f>
        <v>0</v>
      </c>
      <c r="Y170" s="95">
        <f>Tabella8[[#This Row],[rest of Italy fit]]</f>
        <v>146903.90580215378</v>
      </c>
      <c r="Z170" s="90">
        <f>Tabella3[[#This Row],[rest of Italy cumul. Fit]]/Ka</f>
        <v>0.9925940736720309</v>
      </c>
      <c r="AA170" s="90">
        <f>IFERROR(Ka*_xlfn.LOGNORM.DIST((Tabella3[[#This Row],[Day]]-pa),mu_a,sigma_a,FALSE),0)</f>
        <v>75.256479313439783</v>
      </c>
      <c r="AB170" s="90">
        <f>Tabella3[[#This Row],[rest of Italy fit]]/y_a_peak</f>
        <v>2.2270837100327741E-2</v>
      </c>
      <c r="AC170" s="10">
        <f>Tabella3[[#This Row],[rest of Italy fit]]*NOT(ISBLANK(Tabella3[[#This Row],[rest of Italy data]]))</f>
        <v>0</v>
      </c>
    </row>
    <row r="171" spans="2:29" x14ac:dyDescent="0.3">
      <c r="B171" s="9">
        <v>43994</v>
      </c>
      <c r="C171" s="4">
        <v>164</v>
      </c>
      <c r="E171" s="10"/>
      <c r="F171" s="10">
        <f>Tabella3[[#This Row],[Spain daily cases]]*NOT(ISBLANK(Tabella3[[#This Row],[Spain daily cases]]))</f>
        <v>0</v>
      </c>
      <c r="G171" s="90">
        <f>IFERROR(Kf*_xlfn.LOGNORM.DIST((Tabella3[[#This Row],[Day]]-pf),mu_f,sigma_f,FALSE),0)</f>
        <v>110.66694061226849</v>
      </c>
      <c r="H171" s="90">
        <f>Tabella3[[#This Row],[Spain daily cases fit]]/y_f_peak</f>
        <v>1.658014701666197E-2</v>
      </c>
      <c r="I171" s="10">
        <f>Tabella3[[#This Row],[Spain daily cases fit]]*NOT(ISBLANK(Tabella3[[#This Row],[Spain daily cases]]))</f>
        <v>0</v>
      </c>
      <c r="M171" s="10"/>
      <c r="N171" s="10">
        <f>Tabella3[[#This Row],[Lombardy data]]*NOT(ISBLANK(Tabella3[[#This Row],[Lombardy data]]))</f>
        <v>0</v>
      </c>
      <c r="O171" s="95">
        <f>Tabella8[[#This Row],[Lombardy fit]]</f>
        <v>85971.628614863439</v>
      </c>
      <c r="P171" s="90">
        <f>Tabella3[[#This Row],[Lombardy cumul. Fit]]/Kl</f>
        <v>0.98817963925130392</v>
      </c>
      <c r="Q171" s="90">
        <f>IFERROR(Kl*_xlfn.LOGNORM.DIST((Tabella3[[#This Row],[Day]]-pl),mu_l,sigma_l,FALSE),0)</f>
        <v>59.335147308776108</v>
      </c>
      <c r="R171" s="90">
        <f>Tabella3[[#This Row],[Lombardy fit]]/y_l_peak</f>
        <v>3.3752379967823667E-2</v>
      </c>
      <c r="S171" s="10">
        <f>Tabella3[[#This Row],[Lombardy fit]]*NOT(ISBLANK(Tabella3[[#This Row],[Lombardy data]]))</f>
        <v>0</v>
      </c>
      <c r="W171" s="10"/>
      <c r="X171" s="10">
        <f>Tabella3[[#This Row],[rest of Italy data]]*NOT(ISBLANK(Tabella3[[#This Row],[rest of Italy data]]))</f>
        <v>0</v>
      </c>
      <c r="Y171" s="95">
        <f>Tabella8[[#This Row],[rest of Italy fit]]</f>
        <v>146976.64225403685</v>
      </c>
      <c r="Z171" s="90">
        <f>Tabella3[[#This Row],[rest of Italy cumul. Fit]]/Ka</f>
        <v>0.99308553624196627</v>
      </c>
      <c r="AA171" s="90">
        <f>IFERROR(Ka*_xlfn.LOGNORM.DIST((Tabella3[[#This Row],[Day]]-pa),mu_a,sigma_a,FALSE),0)</f>
        <v>70.272527817534595</v>
      </c>
      <c r="AB171" s="90">
        <f>Tabella3[[#This Row],[rest of Italy fit]]/y_a_peak</f>
        <v>2.0795923938114254E-2</v>
      </c>
      <c r="AC171" s="10">
        <f>Tabella3[[#This Row],[rest of Italy fit]]*NOT(ISBLANK(Tabella3[[#This Row],[rest of Italy data]]))</f>
        <v>0</v>
      </c>
    </row>
    <row r="172" spans="2:29" x14ac:dyDescent="0.3">
      <c r="B172" s="9">
        <v>43995</v>
      </c>
      <c r="C172" s="4">
        <v>165</v>
      </c>
      <c r="E172" s="10"/>
      <c r="F172" s="10">
        <f>Tabella3[[#This Row],[Spain daily cases]]*NOT(ISBLANK(Tabella3[[#This Row],[Spain daily cases]]))</f>
        <v>0</v>
      </c>
      <c r="G172" s="90">
        <f>IFERROR(Kf*_xlfn.LOGNORM.DIST((Tabella3[[#This Row],[Day]]-pf),mu_f,sigma_f,FALSE),0)</f>
        <v>101.92668480488577</v>
      </c>
      <c r="H172" s="90">
        <f>Tabella3[[#This Row],[Spain daily cases fit]]/y_f_peak</f>
        <v>1.5270679840214392E-2</v>
      </c>
      <c r="I172" s="10">
        <f>Tabella3[[#This Row],[Spain daily cases fit]]*NOT(ISBLANK(Tabella3[[#This Row],[Spain daily cases]]))</f>
        <v>0</v>
      </c>
      <c r="M172" s="10"/>
      <c r="N172" s="10">
        <f>Tabella3[[#This Row],[Lombardy data]]*NOT(ISBLANK(Tabella3[[#This Row],[Lombardy data]]))</f>
        <v>0</v>
      </c>
      <c r="O172" s="95">
        <f>Tabella8[[#This Row],[Lombardy fit]]</f>
        <v>86029.286889247014</v>
      </c>
      <c r="P172" s="90">
        <f>Tabella3[[#This Row],[Lombardy cumul. Fit]]/Kl</f>
        <v>0.988842378037322</v>
      </c>
      <c r="Q172" s="90">
        <f>IFERROR(Kl*_xlfn.LOGNORM.DIST((Tabella3[[#This Row],[Day]]-pl),mu_l,sigma_l,FALSE),0)</f>
        <v>56.012792819164844</v>
      </c>
      <c r="R172" s="90">
        <f>Tabella3[[#This Row],[Lombardy fit]]/y_l_peak</f>
        <v>3.1862482053900763E-2</v>
      </c>
      <c r="S172" s="10">
        <f>Tabella3[[#This Row],[Lombardy fit]]*NOT(ISBLANK(Tabella3[[#This Row],[Lombardy data]]))</f>
        <v>0</v>
      </c>
      <c r="W172" s="10"/>
      <c r="X172" s="10">
        <f>Tabella3[[#This Row],[rest of Italy data]]*NOT(ISBLANK(Tabella3[[#This Row],[rest of Italy data]]))</f>
        <v>0</v>
      </c>
      <c r="Y172" s="95">
        <f>Tabella8[[#This Row],[rest of Italy fit]]</f>
        <v>147044.55946899249</v>
      </c>
      <c r="Z172" s="90">
        <f>Tabella3[[#This Row],[rest of Italy cumul. Fit]]/Ka</f>
        <v>0.99354443639643919</v>
      </c>
      <c r="AA172" s="90">
        <f>IFERROR(Ka*_xlfn.LOGNORM.DIST((Tabella3[[#This Row],[Day]]-pa),mu_a,sigma_a,FALSE),0)</f>
        <v>65.61445324525765</v>
      </c>
      <c r="AB172" s="90">
        <f>Tabella3[[#This Row],[rest of Italy fit]]/y_a_peak</f>
        <v>1.9417448344427636E-2</v>
      </c>
      <c r="AC172" s="10">
        <f>Tabella3[[#This Row],[rest of Italy fit]]*NOT(ISBLANK(Tabella3[[#This Row],[rest of Italy data]]))</f>
        <v>0</v>
      </c>
    </row>
    <row r="173" spans="2:29" x14ac:dyDescent="0.3">
      <c r="B173" s="9">
        <v>43996</v>
      </c>
      <c r="C173" s="4">
        <v>166</v>
      </c>
      <c r="E173" s="10"/>
      <c r="F173" s="10">
        <f>Tabella3[[#This Row],[Spain daily cases]]*NOT(ISBLANK(Tabella3[[#This Row],[Spain daily cases]]))</f>
        <v>0</v>
      </c>
      <c r="G173" s="90">
        <f>IFERROR(Kf*_xlfn.LOGNORM.DIST((Tabella3[[#This Row],[Day]]-pf),mu_f,sigma_f,FALSE),0)</f>
        <v>93.859746769834203</v>
      </c>
      <c r="H173" s="90">
        <f>Tabella3[[#This Row],[Spain daily cases fit]]/y_f_peak</f>
        <v>1.4062089290448804E-2</v>
      </c>
      <c r="I173" s="10">
        <f>Tabella3[[#This Row],[Spain daily cases fit]]*NOT(ISBLANK(Tabella3[[#This Row],[Spain daily cases]]))</f>
        <v>0</v>
      </c>
      <c r="M173" s="10"/>
      <c r="N173" s="10">
        <f>Tabella3[[#This Row],[Lombardy data]]*NOT(ISBLANK(Tabella3[[#This Row],[Lombardy data]]))</f>
        <v>0</v>
      </c>
      <c r="O173" s="95">
        <f>Tabella8[[#This Row],[Lombardy fit]]</f>
        <v>86083.71530143969</v>
      </c>
      <c r="P173" s="90">
        <f>Tabella3[[#This Row],[Lombardy cumul. Fit]]/Kl</f>
        <v>0.98946799197057111</v>
      </c>
      <c r="Q173" s="90">
        <f>IFERROR(Kl*_xlfn.LOGNORM.DIST((Tabella3[[#This Row],[Day]]-pl),mu_l,sigma_l,FALSE),0)</f>
        <v>52.87375770689097</v>
      </c>
      <c r="R173" s="90">
        <f>Tabella3[[#This Row],[Lombardy fit]]/y_l_peak</f>
        <v>3.0076864074552848E-2</v>
      </c>
      <c r="S173" s="10">
        <f>Tabella3[[#This Row],[Lombardy fit]]*NOT(ISBLANK(Tabella3[[#This Row],[Lombardy data]]))</f>
        <v>0</v>
      </c>
      <c r="W173" s="10"/>
      <c r="X173" s="10">
        <f>Tabella3[[#This Row],[rest of Italy data]]*NOT(ISBLANK(Tabella3[[#This Row],[rest of Italy data]]))</f>
        <v>0</v>
      </c>
      <c r="Y173" s="95">
        <f>Tabella8[[#This Row],[rest of Italy fit]]</f>
        <v>147107.97288052144</v>
      </c>
      <c r="Z173" s="90">
        <f>Tabella3[[#This Row],[rest of Italy cumul. Fit]]/Ka</f>
        <v>0.9939729054431351</v>
      </c>
      <c r="AA173" s="90">
        <f>IFERROR(Ka*_xlfn.LOGNORM.DIST((Tabella3[[#This Row],[Day]]-pa),mu_a,sigma_a,FALSE),0)</f>
        <v>61.261579751984854</v>
      </c>
      <c r="AB173" s="90">
        <f>Tabella3[[#This Row],[rest of Italy fit]]/y_a_peak</f>
        <v>1.8129291665143536E-2</v>
      </c>
      <c r="AC173" s="10">
        <f>Tabella3[[#This Row],[rest of Italy fit]]*NOT(ISBLANK(Tabella3[[#This Row],[rest of Italy data]]))</f>
        <v>0</v>
      </c>
    </row>
    <row r="174" spans="2:29" x14ac:dyDescent="0.3">
      <c r="B174" s="9">
        <v>43997</v>
      </c>
      <c r="C174" s="4">
        <v>167</v>
      </c>
      <c r="E174" s="10"/>
      <c r="F174" s="10">
        <f>Tabella3[[#This Row],[Spain daily cases]]*NOT(ISBLANK(Tabella3[[#This Row],[Spain daily cases]]))</f>
        <v>0</v>
      </c>
      <c r="G174" s="90">
        <f>IFERROR(Kf*_xlfn.LOGNORM.DIST((Tabella3[[#This Row],[Day]]-pf),mu_f,sigma_f,FALSE),0)</f>
        <v>86.416400989262044</v>
      </c>
      <c r="H174" s="90">
        <f>Tabella3[[#This Row],[Spain daily cases fit]]/y_f_peak</f>
        <v>1.294692547860981E-2</v>
      </c>
      <c r="I174" s="10">
        <f>Tabella3[[#This Row],[Spain daily cases fit]]*NOT(ISBLANK(Tabella3[[#This Row],[Spain daily cases]]))</f>
        <v>0</v>
      </c>
      <c r="M174" s="10"/>
      <c r="N174" s="10">
        <f>Tabella3[[#This Row],[Lombardy data]]*NOT(ISBLANK(Tabella3[[#This Row],[Lombardy data]]))</f>
        <v>0</v>
      </c>
      <c r="O174" s="95">
        <f>Tabella8[[#This Row],[Lombardy fit]]</f>
        <v>86135.092257003984</v>
      </c>
      <c r="P174" s="90">
        <f>Tabella3[[#This Row],[Lombardy cumul. Fit]]/Kl</f>
        <v>0.99005853168970093</v>
      </c>
      <c r="Q174" s="90">
        <f>IFERROR(Kl*_xlfn.LOGNORM.DIST((Tabella3[[#This Row],[Day]]-pl),mu_l,sigma_l,FALSE),0)</f>
        <v>49.908295540959109</v>
      </c>
      <c r="R174" s="90">
        <f>Tabella3[[#This Row],[Lombardy fit]]/y_l_peak</f>
        <v>2.8389981841264227E-2</v>
      </c>
      <c r="S174" s="10">
        <f>Tabella3[[#This Row],[Lombardy fit]]*NOT(ISBLANK(Tabella3[[#This Row],[Lombardy data]]))</f>
        <v>0</v>
      </c>
      <c r="W174" s="10"/>
      <c r="X174" s="10">
        <f>Tabella3[[#This Row],[rest of Italy data]]*NOT(ISBLANK(Tabella3[[#This Row],[rest of Italy data]]))</f>
        <v>0</v>
      </c>
      <c r="Y174" s="95">
        <f>Tabella8[[#This Row],[rest of Italy fit]]</f>
        <v>147167.17786831071</v>
      </c>
      <c r="Z174" s="90">
        <f>Tabella3[[#This Row],[rest of Italy cumul. Fit]]/Ka</f>
        <v>0.99437293919098246</v>
      </c>
      <c r="AA174" s="90">
        <f>IFERROR(Ka*_xlfn.LOGNORM.DIST((Tabella3[[#This Row],[Day]]-pa),mu_a,sigma_a,FALSE),0)</f>
        <v>57.194464654495931</v>
      </c>
      <c r="AB174" s="90">
        <f>Tabella3[[#This Row],[rest of Italy fit]]/y_a_peak</f>
        <v>1.6925700178658954E-2</v>
      </c>
      <c r="AC174" s="10">
        <f>Tabella3[[#This Row],[rest of Italy fit]]*NOT(ISBLANK(Tabella3[[#This Row],[rest of Italy data]]))</f>
        <v>0</v>
      </c>
    </row>
    <row r="175" spans="2:29" x14ac:dyDescent="0.3">
      <c r="B175" s="9">
        <v>43998</v>
      </c>
      <c r="C175" s="4">
        <v>168</v>
      </c>
      <c r="E175" s="10"/>
      <c r="F175" s="10">
        <f>Tabella3[[#This Row],[Spain daily cases]]*NOT(ISBLANK(Tabella3[[#This Row],[Spain daily cases]]))</f>
        <v>0</v>
      </c>
      <c r="G175" s="90">
        <f>IFERROR(Kf*_xlfn.LOGNORM.DIST((Tabella3[[#This Row],[Day]]-pf),mu_f,sigma_f,FALSE),0)</f>
        <v>79.550332126057015</v>
      </c>
      <c r="H175" s="90">
        <f>Tabella3[[#This Row],[Spain daily cases fit]]/y_f_peak</f>
        <v>1.1918249430020787E-2</v>
      </c>
      <c r="I175" s="10">
        <f>Tabella3[[#This Row],[Spain daily cases fit]]*NOT(ISBLANK(Tabella3[[#This Row],[Spain daily cases]]))</f>
        <v>0</v>
      </c>
      <c r="M175" s="10"/>
      <c r="N175" s="10">
        <f>Tabella3[[#This Row],[Lombardy data]]*NOT(ISBLANK(Tabella3[[#This Row],[Lombardy data]]))</f>
        <v>0</v>
      </c>
      <c r="O175" s="95">
        <f>Tabella8[[#This Row],[Lombardy fit]]</f>
        <v>86183.586655444858</v>
      </c>
      <c r="P175" s="90">
        <f>Tabella3[[#This Row],[Lombardy cumul. Fit]]/Kl</f>
        <v>0.99061593856833174</v>
      </c>
      <c r="Q175" s="90">
        <f>IFERROR(Kl*_xlfn.LOGNORM.DIST((Tabella3[[#This Row],[Day]]-pl),mu_l,sigma_l,FALSE),0)</f>
        <v>47.107137423001539</v>
      </c>
      <c r="R175" s="90">
        <f>Tabella3[[#This Row],[Lombardy fit]]/y_l_peak</f>
        <v>2.6796562806585707E-2</v>
      </c>
      <c r="S175" s="10">
        <f>Tabella3[[#This Row],[Lombardy fit]]*NOT(ISBLANK(Tabella3[[#This Row],[Lombardy data]]))</f>
        <v>0</v>
      </c>
      <c r="W175" s="10"/>
      <c r="X175" s="10">
        <f>Tabella3[[#This Row],[rest of Italy data]]*NOT(ISBLANK(Tabella3[[#This Row],[rest of Italy data]]))</f>
        <v>0</v>
      </c>
      <c r="Y175" s="95">
        <f>Tabella8[[#This Row],[rest of Italy fit]]</f>
        <v>147222.4509590595</v>
      </c>
      <c r="Z175" s="90">
        <f>Tabella3[[#This Row],[rest of Italy cumul. Fit]]/Ka</f>
        <v>0.99474640606384201</v>
      </c>
      <c r="AA175" s="90">
        <f>IFERROR(Ka*_xlfn.LOGNORM.DIST((Tabella3[[#This Row],[Day]]-pa),mu_a,sigma_a,FALSE),0)</f>
        <v>53.39483412874759</v>
      </c>
      <c r="AB175" s="90">
        <f>Tabella3[[#This Row],[rest of Italy fit]]/y_a_peak</f>
        <v>1.5801266066774292E-2</v>
      </c>
      <c r="AC175" s="10">
        <f>Tabella3[[#This Row],[rest of Italy fit]]*NOT(ISBLANK(Tabella3[[#This Row],[rest of Italy data]]))</f>
        <v>0</v>
      </c>
    </row>
    <row r="176" spans="2:29" x14ac:dyDescent="0.3">
      <c r="B176" s="9">
        <v>43999</v>
      </c>
      <c r="C176" s="4">
        <v>169</v>
      </c>
      <c r="E176" s="10"/>
      <c r="F176" s="10">
        <f>Tabella3[[#This Row],[Spain daily cases]]*NOT(ISBLANK(Tabella3[[#This Row],[Spain daily cases]]))</f>
        <v>0</v>
      </c>
      <c r="G176" s="90">
        <f>IFERROR(Kf*_xlfn.LOGNORM.DIST((Tabella3[[#This Row],[Day]]-pf),mu_f,sigma_f,FALSE),0)</f>
        <v>73.218433049791741</v>
      </c>
      <c r="H176" s="90">
        <f>Tabella3[[#This Row],[Spain daily cases fit]]/y_f_peak</f>
        <v>1.0969602824283626E-2</v>
      </c>
      <c r="I176" s="10">
        <f>Tabella3[[#This Row],[Spain daily cases fit]]*NOT(ISBLANK(Tabella3[[#This Row],[Spain daily cases]]))</f>
        <v>0</v>
      </c>
      <c r="M176" s="10"/>
      <c r="N176" s="10">
        <f>Tabella3[[#This Row],[Lombardy data]]*NOT(ISBLANK(Tabella3[[#This Row],[Lombardy data]]))</f>
        <v>0</v>
      </c>
      <c r="O176" s="95">
        <f>Tabella8[[#This Row],[Lombardy fit]]</f>
        <v>86229.358358144367</v>
      </c>
      <c r="P176" s="90">
        <f>Tabella3[[#This Row],[Lombardy cumul. Fit]]/Kl</f>
        <v>0.99114205009361345</v>
      </c>
      <c r="Q176" s="90">
        <f>IFERROR(Kl*_xlfn.LOGNORM.DIST((Tabella3[[#This Row],[Day]]-pl),mu_l,sigma_l,FALSE),0)</f>
        <v>44.461472838251026</v>
      </c>
      <c r="R176" s="90">
        <f>Tabella3[[#This Row],[Lombardy fit]]/y_l_peak</f>
        <v>2.5291595171345573E-2</v>
      </c>
      <c r="S176" s="10">
        <f>Tabella3[[#This Row],[Lombardy fit]]*NOT(ISBLANK(Tabella3[[#This Row],[Lombardy data]]))</f>
        <v>0</v>
      </c>
      <c r="W176" s="10"/>
      <c r="X176" s="10">
        <f>Tabella3[[#This Row],[rest of Italy data]]*NOT(ISBLANK(Tabella3[[#This Row],[rest of Italy data]]))</f>
        <v>0</v>
      </c>
      <c r="Y176" s="95">
        <f>Tabella8[[#This Row],[rest of Italy fit]]</f>
        <v>147274.0509641236</v>
      </c>
      <c r="Z176" s="90">
        <f>Tabella3[[#This Row],[rest of Italy cumul. Fit]]/Ka</f>
        <v>0.99509505478729432</v>
      </c>
      <c r="AA176" s="90">
        <f>IFERROR(Ka*_xlfn.LOGNORM.DIST((Tabella3[[#This Row],[Day]]-pa),mu_a,sigma_a,FALSE),0)</f>
        <v>49.845521162565966</v>
      </c>
      <c r="AB176" s="90">
        <f>Tabella3[[#This Row],[rest of Italy fit]]/y_a_peak</f>
        <v>1.4750909052879339E-2</v>
      </c>
      <c r="AC176" s="10">
        <f>Tabella3[[#This Row],[rest of Italy fit]]*NOT(ISBLANK(Tabella3[[#This Row],[rest of Italy data]]))</f>
        <v>0</v>
      </c>
    </row>
    <row r="177" spans="2:31" x14ac:dyDescent="0.3">
      <c r="B177" s="9">
        <v>44000</v>
      </c>
      <c r="C177" s="4">
        <v>170</v>
      </c>
      <c r="E177" s="10"/>
      <c r="F177" s="10">
        <f>Tabella3[[#This Row],[Spain daily cases]]*NOT(ISBLANK(Tabella3[[#This Row],[Spain daily cases]]))</f>
        <v>0</v>
      </c>
      <c r="G177" s="90">
        <f>IFERROR(Kf*_xlfn.LOGNORM.DIST((Tabella3[[#This Row],[Day]]-pf),mu_f,sigma_f,FALSE),0)</f>
        <v>67.380610823037827</v>
      </c>
      <c r="H177" s="90">
        <f>Tabella3[[#This Row],[Spain daily cases fit]]/y_f_peak</f>
        <v>1.0094978928102778E-2</v>
      </c>
      <c r="I177" s="10">
        <f>Tabella3[[#This Row],[Spain daily cases fit]]*NOT(ISBLANK(Tabella3[[#This Row],[Spain daily cases]]))</f>
        <v>0</v>
      </c>
      <c r="M177" s="10"/>
      <c r="N177" s="10">
        <f>Tabella3[[#This Row],[Lombardy data]]*NOT(ISBLANK(Tabella3[[#This Row],[Lombardy data]]))</f>
        <v>0</v>
      </c>
      <c r="O177" s="95">
        <f>Tabella8[[#This Row],[Lombardy fit]]</f>
        <v>86272.558637297756</v>
      </c>
      <c r="P177" s="90">
        <f>Tabella3[[#This Row],[Lombardy cumul. Fit]]/Kl</f>
        <v>0.99163860502641099</v>
      </c>
      <c r="Q177" s="90">
        <f>IFERROR(Kl*_xlfn.LOGNORM.DIST((Tabella3[[#This Row],[Day]]-pl),mu_l,sigma_l,FALSE),0)</f>
        <v>41.96293081672858</v>
      </c>
      <c r="R177" s="90">
        <f>Tabella3[[#This Row],[Lombardy fit]]/y_l_peak</f>
        <v>2.3870317168324141E-2</v>
      </c>
      <c r="S177" s="10">
        <f>Tabella3[[#This Row],[Lombardy fit]]*NOT(ISBLANK(Tabella3[[#This Row],[Lombardy data]]))</f>
        <v>0</v>
      </c>
      <c r="W177" s="10"/>
      <c r="X177" s="10">
        <f>Tabella3[[#This Row],[rest of Italy data]]*NOT(ISBLANK(Tabella3[[#This Row],[rest of Italy data]]))</f>
        <v>0</v>
      </c>
      <c r="Y177" s="95">
        <f>Tabella8[[#This Row],[rest of Italy fit]]</f>
        <v>147322.22005626812</v>
      </c>
      <c r="Z177" s="90">
        <f>Tabella3[[#This Row],[rest of Italy cumul. Fit]]/Ka</f>
        <v>0.99542052166399675</v>
      </c>
      <c r="AA177" s="90">
        <f>IFERROR(Ka*_xlfn.LOGNORM.DIST((Tabella3[[#This Row],[Day]]-pa),mu_a,sigma_a,FALSE),0)</f>
        <v>46.530405827922699</v>
      </c>
      <c r="AB177" s="90">
        <f>Tabella3[[#This Row],[rest of Italy fit]]/y_a_peak</f>
        <v>1.3769858726579348E-2</v>
      </c>
      <c r="AC177" s="10">
        <f>Tabella3[[#This Row],[rest of Italy fit]]*NOT(ISBLANK(Tabella3[[#This Row],[rest of Italy data]]))</f>
        <v>0</v>
      </c>
    </row>
    <row r="178" spans="2:31" x14ac:dyDescent="0.3">
      <c r="B178" s="9">
        <v>44001</v>
      </c>
      <c r="C178" s="4">
        <v>171</v>
      </c>
      <c r="E178" s="10"/>
      <c r="F178" s="10">
        <f>Tabella3[[#This Row],[Spain daily cases]]*NOT(ISBLANK(Tabella3[[#This Row],[Spain daily cases]]))</f>
        <v>0</v>
      </c>
      <c r="G178" s="90">
        <f>IFERROR(Kf*_xlfn.LOGNORM.DIST((Tabella3[[#This Row],[Day]]-pf),mu_f,sigma_f,FALSE),0)</f>
        <v>61.999600892245162</v>
      </c>
      <c r="H178" s="90">
        <f>Tabella3[[#This Row],[Spain daily cases fit]]/y_f_peak</f>
        <v>9.2887947573191704E-3</v>
      </c>
      <c r="I178" s="10">
        <f>Tabella3[[#This Row],[Spain daily cases fit]]*NOT(ISBLANK(Tabella3[[#This Row],[Spain daily cases]]))</f>
        <v>0</v>
      </c>
      <c r="M178" s="10"/>
      <c r="N178" s="10">
        <f>Tabella3[[#This Row],[Lombardy data]]*NOT(ISBLANK(Tabella3[[#This Row],[Lombardy data]]))</f>
        <v>0</v>
      </c>
      <c r="O178" s="95">
        <f>Tabella8[[#This Row],[Lombardy fit]]</f>
        <v>86313.330606188189</v>
      </c>
      <c r="P178" s="90">
        <f>Tabella3[[#This Row],[Lombardy cumul. Fit]]/Kl</f>
        <v>0.99210724834699071</v>
      </c>
      <c r="Q178" s="90">
        <f>IFERROR(Kl*_xlfn.LOGNORM.DIST((Tabella3[[#This Row],[Day]]-pl),mu_l,sigma_l,FALSE),0)</f>
        <v>39.603561457876339</v>
      </c>
      <c r="R178" s="90">
        <f>Tabella3[[#This Row],[Lombardy fit]]/y_l_peak</f>
        <v>2.2528206552671504E-2</v>
      </c>
      <c r="S178" s="10">
        <f>Tabella3[[#This Row],[Lombardy fit]]*NOT(ISBLANK(Tabella3[[#This Row],[Lombardy data]]))</f>
        <v>0</v>
      </c>
      <c r="W178" s="10"/>
      <c r="X178" s="10">
        <f>Tabella3[[#This Row],[rest of Italy data]]*NOT(ISBLANK(Tabella3[[#This Row],[rest of Italy data]]))</f>
        <v>0</v>
      </c>
      <c r="Y178" s="95">
        <f>Tabella8[[#This Row],[rest of Italy fit]]</f>
        <v>147367.18478786966</v>
      </c>
      <c r="Z178" s="90">
        <f>Tabella3[[#This Row],[rest of Italy cumul. Fit]]/Ka</f>
        <v>0.99572433745342881</v>
      </c>
      <c r="AA178" s="90">
        <f>IFERROR(Ka*_xlfn.LOGNORM.DIST((Tabella3[[#This Row],[Day]]-pa),mu_a,sigma_a,FALSE),0)</f>
        <v>43.434357911955068</v>
      </c>
      <c r="AB178" s="90">
        <f>Tabella3[[#This Row],[rest of Italy fit]]/y_a_peak</f>
        <v>1.2853637566350152E-2</v>
      </c>
      <c r="AC178" s="10">
        <f>Tabella3[[#This Row],[rest of Italy fit]]*NOT(ISBLANK(Tabella3[[#This Row],[rest of Italy data]]))</f>
        <v>0</v>
      </c>
    </row>
    <row r="179" spans="2:31" x14ac:dyDescent="0.3">
      <c r="B179" s="9">
        <v>44002</v>
      </c>
      <c r="C179" s="4">
        <v>172</v>
      </c>
      <c r="E179" s="10"/>
      <c r="F179" s="10">
        <f>Tabella3[[#This Row],[Spain daily cases]]*NOT(ISBLANK(Tabella3[[#This Row],[Spain daily cases]]))</f>
        <v>0</v>
      </c>
      <c r="G179" s="90">
        <f>IFERROR(Kf*_xlfn.LOGNORM.DIST((Tabella3[[#This Row],[Day]]-pf),mu_f,sigma_f,FALSE),0)</f>
        <v>57.040789621333126</v>
      </c>
      <c r="H179" s="90">
        <f>Tabella3[[#This Row],[Spain daily cases fit]]/y_f_peak</f>
        <v>8.5458644888511959E-3</v>
      </c>
      <c r="I179" s="10">
        <f>Tabella3[[#This Row],[Spain daily cases fit]]*NOT(ISBLANK(Tabella3[[#This Row],[Spain daily cases]]))</f>
        <v>0</v>
      </c>
      <c r="M179" s="10"/>
      <c r="N179" s="10">
        <f>Tabella3[[#This Row],[Lombardy data]]*NOT(ISBLANK(Tabella3[[#This Row],[Lombardy data]]))</f>
        <v>0</v>
      </c>
      <c r="O179" s="95">
        <f>Tabella8[[#This Row],[Lombardy fit]]</f>
        <v>86351.809631186756</v>
      </c>
      <c r="P179" s="90">
        <f>Tabella3[[#This Row],[Lombardy cumul. Fit]]/Kl</f>
        <v>0.99254953599065232</v>
      </c>
      <c r="Q179" s="90">
        <f>IFERROR(Kl*_xlfn.LOGNORM.DIST((Tabella3[[#This Row],[Day]]-pl),mu_l,sigma_l,FALSE),0)</f>
        <v>37.375817862836612</v>
      </c>
      <c r="R179" s="90">
        <f>Tabella3[[#This Row],[Lombardy fit]]/y_l_peak</f>
        <v>2.1260970324211936E-2</v>
      </c>
      <c r="S179" s="10">
        <f>Tabella3[[#This Row],[Lombardy fit]]*NOT(ISBLANK(Tabella3[[#This Row],[Lombardy data]]))</f>
        <v>0</v>
      </c>
      <c r="W179" s="10"/>
      <c r="X179" s="10">
        <f>Tabella3[[#This Row],[rest of Italy data]]*NOT(ISBLANK(Tabella3[[#This Row],[rest of Italy data]]))</f>
        <v>0</v>
      </c>
      <c r="Y179" s="95">
        <f>Tabella8[[#This Row],[rest of Italy fit]]</f>
        <v>147409.1570529367</v>
      </c>
      <c r="Z179" s="90">
        <f>Tabella3[[#This Row],[rest of Italy cumul. Fit]]/Ka</f>
        <v>0.9960079338720309</v>
      </c>
      <c r="AA179" s="90">
        <f>IFERROR(Ka*_xlfn.LOGNORM.DIST((Tabella3[[#This Row],[Day]]-pa),mu_a,sigma_a,FALSE),0)</f>
        <v>40.543181924016729</v>
      </c>
      <c r="AB179" s="90">
        <f>Tabella3[[#This Row],[rest of Italy fit]]/y_a_peak</f>
        <v>1.1998044665337907E-2</v>
      </c>
      <c r="AC179" s="10">
        <f>Tabella3[[#This Row],[rest of Italy fit]]*NOT(ISBLANK(Tabella3[[#This Row],[rest of Italy data]]))</f>
        <v>0</v>
      </c>
    </row>
    <row r="180" spans="2:31" x14ac:dyDescent="0.3">
      <c r="B180" s="9">
        <v>44003</v>
      </c>
      <c r="C180" s="4">
        <v>173</v>
      </c>
      <c r="E180" s="10"/>
      <c r="F180" s="10">
        <f>Tabella3[[#This Row],[Spain daily cases]]*NOT(ISBLANK(Tabella3[[#This Row],[Spain daily cases]]))</f>
        <v>0</v>
      </c>
      <c r="G180" s="90">
        <f>IFERROR(Kf*_xlfn.LOGNORM.DIST((Tabella3[[#This Row],[Day]]-pf),mu_f,sigma_f,FALSE),0)</f>
        <v>52.472045215928894</v>
      </c>
      <c r="H180" s="90">
        <f>Tabella3[[#This Row],[Spain daily cases fit]]/y_f_peak</f>
        <v>7.8613741297244126E-3</v>
      </c>
      <c r="I180" s="10">
        <f>Tabella3[[#This Row],[Spain daily cases fit]]*NOT(ISBLANK(Tabella3[[#This Row],[Spain daily cases]]))</f>
        <v>0</v>
      </c>
      <c r="M180" s="10"/>
      <c r="N180" s="10">
        <f>Tabella3[[#This Row],[Lombardy data]]*NOT(ISBLANK(Tabella3[[#This Row],[Lombardy data]]))</f>
        <v>0</v>
      </c>
      <c r="O180" s="95">
        <f>Tabella8[[#This Row],[Lombardy fit]]</f>
        <v>86388.123725904021</v>
      </c>
      <c r="P180" s="90">
        <f>Tabella3[[#This Row],[Lombardy cumul. Fit]]/Kl</f>
        <v>0.99296693937820713</v>
      </c>
      <c r="Q180" s="90">
        <f>IFERROR(Kl*_xlfn.LOGNORM.DIST((Tabella3[[#This Row],[Day]]-pl),mu_l,sigma_l,FALSE),0)</f>
        <v>35.272538510554277</v>
      </c>
      <c r="R180" s="90">
        <f>Tabella3[[#This Row],[Lombardy fit]]/y_l_peak</f>
        <v>2.0064534702214056E-2</v>
      </c>
      <c r="S180" s="10">
        <f>Tabella3[[#This Row],[Lombardy fit]]*NOT(ISBLANK(Tabella3[[#This Row],[Lombardy data]]))</f>
        <v>0</v>
      </c>
      <c r="W180" s="10"/>
      <c r="X180" s="10">
        <f>Tabella3[[#This Row],[rest of Italy data]]*NOT(ISBLANK(Tabella3[[#This Row],[rest of Italy data]]))</f>
        <v>0</v>
      </c>
      <c r="Y180" s="95">
        <f>Tabella8[[#This Row],[rest of Italy fit]]</f>
        <v>147448.33499532519</v>
      </c>
      <c r="Z180" s="90">
        <f>Tabella3[[#This Row],[rest of Italy cumul. Fit]]/Ka</f>
        <v>0.99627264972979601</v>
      </c>
      <c r="AA180" s="90">
        <f>IFERROR(Ka*_xlfn.LOGNORM.DIST((Tabella3[[#This Row],[Day]]-pa),mu_a,sigma_a,FALSE),0)</f>
        <v>37.843564477361163</v>
      </c>
      <c r="AB180" s="90">
        <f>Tabella3[[#This Row],[rest of Italy fit]]/y_a_peak</f>
        <v>1.1199140159889806E-2</v>
      </c>
      <c r="AC180" s="10">
        <f>Tabella3[[#This Row],[rest of Italy fit]]*NOT(ISBLANK(Tabella3[[#This Row],[rest of Italy data]]))</f>
        <v>0</v>
      </c>
    </row>
    <row r="181" spans="2:31" x14ac:dyDescent="0.3">
      <c r="B181" s="9">
        <v>44004</v>
      </c>
      <c r="C181" s="4">
        <v>174</v>
      </c>
      <c r="E181" s="10"/>
      <c r="F181" s="10">
        <f>Tabella3[[#This Row],[Spain daily cases]]*NOT(ISBLANK(Tabella3[[#This Row],[Spain daily cases]]))</f>
        <v>0</v>
      </c>
      <c r="G181" s="90">
        <f>IFERROR(Kf*_xlfn.LOGNORM.DIST((Tabella3[[#This Row],[Day]]-pf),mu_f,sigma_f,FALSE),0)</f>
        <v>48.263557010167148</v>
      </c>
      <c r="H181" s="90">
        <f>Tabella3[[#This Row],[Spain daily cases fit]]/y_f_peak</f>
        <v>7.230857438982153E-3</v>
      </c>
      <c r="I181" s="10">
        <f>Tabella3[[#This Row],[Spain daily cases fit]]*NOT(ISBLANK(Tabella3[[#This Row],[Spain daily cases]]))</f>
        <v>0</v>
      </c>
      <c r="M181" s="10"/>
      <c r="N181" s="10">
        <f>Tabella3[[#This Row],[Lombardy data]]*NOT(ISBLANK(Tabella3[[#This Row],[Lombardy data]]))</f>
        <v>0</v>
      </c>
      <c r="O181" s="95">
        <f>Tabella8[[#This Row],[Lombardy fit]]</f>
        <v>86422.393927951678</v>
      </c>
      <c r="P181" s="90">
        <f>Tabella3[[#This Row],[Lombardy cumul. Fit]]/Kl</f>
        <v>0.99336084974657102</v>
      </c>
      <c r="Q181" s="90">
        <f>IFERROR(Kl*_xlfn.LOGNORM.DIST((Tabella3[[#This Row],[Day]]-pl),mu_l,sigma_l,FALSE),0)</f>
        <v>33.286930106712617</v>
      </c>
      <c r="R181" s="90">
        <f>Tabella3[[#This Row],[Lombardy fit]]/y_l_peak</f>
        <v>1.8935035369128977E-2</v>
      </c>
      <c r="S181" s="10">
        <f>Tabella3[[#This Row],[Lombardy fit]]*NOT(ISBLANK(Tabella3[[#This Row],[Lombardy data]]))</f>
        <v>0</v>
      </c>
      <c r="W181" s="10"/>
      <c r="X181" s="10">
        <f>Tabella3[[#This Row],[rest of Italy data]]*NOT(ISBLANK(Tabella3[[#This Row],[rest of Italy data]]))</f>
        <v>0</v>
      </c>
      <c r="Y181" s="95">
        <f>Tabella8[[#This Row],[rest of Italy fit]]</f>
        <v>147484.90386551686</v>
      </c>
      <c r="Z181" s="90">
        <f>Tabella3[[#This Row],[rest of Italy cumul. Fit]]/Ka</f>
        <v>0.99651973671931438</v>
      </c>
      <c r="AA181" s="90">
        <f>IFERROR(Ka*_xlfn.LOGNORM.DIST((Tabella3[[#This Row],[Day]]-pa),mu_a,sigma_a,FALSE),0)</f>
        <v>35.323024028259177</v>
      </c>
      <c r="AB181" s="90">
        <f>Tabella3[[#This Row],[rest of Italy fit]]/y_a_peak</f>
        <v>1.0453230355726109E-2</v>
      </c>
      <c r="AC181" s="10">
        <f>Tabella3[[#This Row],[rest of Italy fit]]*NOT(ISBLANK(Tabella3[[#This Row],[rest of Italy data]]))</f>
        <v>0</v>
      </c>
    </row>
    <row r="182" spans="2:31" x14ac:dyDescent="0.3">
      <c r="B182" s="9">
        <v>44005</v>
      </c>
      <c r="C182" s="4">
        <v>175</v>
      </c>
      <c r="E182" s="10"/>
      <c r="F182" s="10">
        <f>Tabella3[[#This Row],[Spain daily cases]]*NOT(ISBLANK(Tabella3[[#This Row],[Spain daily cases]]))</f>
        <v>0</v>
      </c>
      <c r="G182" s="90">
        <f>IFERROR(Kf*_xlfn.LOGNORM.DIST((Tabella3[[#This Row],[Day]]-pf),mu_f,sigma_f,FALSE),0)</f>
        <v>44.387683024458305</v>
      </c>
      <c r="H182" s="90">
        <f>Tabella3[[#This Row],[Spain daily cases fit]]/y_f_peak</f>
        <v>6.6501730887545832E-3</v>
      </c>
      <c r="I182" s="10">
        <f>Tabella3[[#This Row],[Spain daily cases fit]]*NOT(ISBLANK(Tabella3[[#This Row],[Spain daily cases]]))</f>
        <v>0</v>
      </c>
      <c r="M182" s="10"/>
      <c r="N182" s="10">
        <f>Tabella3[[#This Row],[Lombardy data]]*NOT(ISBLANK(Tabella3[[#This Row],[Lombardy data]]))</f>
        <v>0</v>
      </c>
      <c r="O182" s="95">
        <f>Tabella8[[#This Row],[Lombardy fit]]</f>
        <v>86454.7346587996</v>
      </c>
      <c r="P182" s="90">
        <f>Tabella3[[#This Row],[Lombardy cumul. Fit]]/Kl</f>
        <v>0.9937325822850529</v>
      </c>
      <c r="Q182" s="90">
        <f>IFERROR(Kl*_xlfn.LOGNORM.DIST((Tabella3[[#This Row],[Day]]-pl),mu_l,sigma_l,FALSE),0)</f>
        <v>31.412550928160474</v>
      </c>
      <c r="R182" s="90">
        <f>Tabella3[[#This Row],[Lombardy fit]]/y_l_peak</f>
        <v>1.7868807996185187E-2</v>
      </c>
      <c r="S182" s="10">
        <f>Tabella3[[#This Row],[Lombardy fit]]*NOT(ISBLANK(Tabella3[[#This Row],[Lombardy data]]))</f>
        <v>0</v>
      </c>
      <c r="W182" s="10"/>
      <c r="X182" s="10">
        <f>Tabella3[[#This Row],[rest of Italy data]]*NOT(ISBLANK(Tabella3[[#This Row],[rest of Italy data]]))</f>
        <v>0</v>
      </c>
      <c r="Y182" s="95">
        <f>Tabella8[[#This Row],[rest of Italy fit]]</f>
        <v>147519.03682830275</v>
      </c>
      <c r="Z182" s="90">
        <f>Tabella3[[#This Row],[rest of Italy cumul. Fit]]/Ka</f>
        <v>0.99675036487309376</v>
      </c>
      <c r="AA182" s="90">
        <f>IFERROR(Ka*_xlfn.LOGNORM.DIST((Tabella3[[#This Row],[Day]]-pa),mu_a,sigma_a,FALSE),0)</f>
        <v>32.969862942080226</v>
      </c>
      <c r="AB182" s="90">
        <f>Tabella3[[#This Row],[rest of Italy fit]]/y_a_peak</f>
        <v>9.7568535427363656E-3</v>
      </c>
      <c r="AC182" s="10">
        <f>Tabella3[[#This Row],[rest of Italy fit]]*NOT(ISBLANK(Tabella3[[#This Row],[rest of Italy data]]))</f>
        <v>0</v>
      </c>
    </row>
    <row r="183" spans="2:31" x14ac:dyDescent="0.3">
      <c r="B183" s="9">
        <v>44006</v>
      </c>
      <c r="C183" s="4">
        <v>176</v>
      </c>
      <c r="E183" s="10"/>
      <c r="F183" s="10">
        <f>Tabella3[[#This Row],[Spain daily cases]]*NOT(ISBLANK(Tabella3[[#This Row],[Spain daily cases]]))</f>
        <v>0</v>
      </c>
      <c r="G183" s="90">
        <f>IFERROR(Kf*_xlfn.LOGNORM.DIST((Tabella3[[#This Row],[Day]]-pf),mu_f,sigma_f,FALSE),0)</f>
        <v>40.818805650221073</v>
      </c>
      <c r="H183" s="90">
        <f>Tabella3[[#This Row],[Spain daily cases fit]]/y_f_peak</f>
        <v>6.1154830429114614E-3</v>
      </c>
      <c r="I183" s="10">
        <f>Tabella3[[#This Row],[Spain daily cases fit]]*NOT(ISBLANK(Tabella3[[#This Row],[Spain daily cases]]))</f>
        <v>0</v>
      </c>
      <c r="M183" s="10"/>
      <c r="N183" s="10">
        <f>Tabella3[[#This Row],[Lombardy data]]*NOT(ISBLANK(Tabella3[[#This Row],[Lombardy data]]))</f>
        <v>0</v>
      </c>
      <c r="O183" s="95">
        <f>Tabella8[[#This Row],[Lombardy fit]]</f>
        <v>86485.254067232017</v>
      </c>
      <c r="P183" s="90">
        <f>Tabella3[[#This Row],[Lombardy cumul. Fit]]/Kl</f>
        <v>0.99408338008312669</v>
      </c>
      <c r="Q183" s="90">
        <f>IFERROR(Kl*_xlfn.LOGNORM.DIST((Tabella3[[#This Row],[Day]]-pl),mu_l,sigma_l,FALSE),0)</f>
        <v>29.643294679872614</v>
      </c>
      <c r="R183" s="90">
        <f>Tabella3[[#This Row],[Lombardy fit]]/y_l_peak</f>
        <v>1.6862379060534335E-2</v>
      </c>
      <c r="S183" s="10">
        <f>Tabella3[[#This Row],[Lombardy fit]]*NOT(ISBLANK(Tabella3[[#This Row],[Lombardy data]]))</f>
        <v>0</v>
      </c>
      <c r="W183" s="10"/>
      <c r="X183" s="10">
        <f>Tabella3[[#This Row],[rest of Italy data]]*NOT(ISBLANK(Tabella3[[#This Row],[rest of Italy data]]))</f>
        <v>0</v>
      </c>
      <c r="Y183" s="95">
        <f>Tabella8[[#This Row],[rest of Italy fit]]</f>
        <v>147550.89572367969</v>
      </c>
      <c r="Z183" s="90">
        <f>Tabella3[[#This Row],[rest of Italy cumul. Fit]]/Ka</f>
        <v>0.99696562770475383</v>
      </c>
      <c r="AA183" s="90">
        <f>IFERROR(Ka*_xlfn.LOGNORM.DIST((Tabella3[[#This Row],[Day]]-pa),mu_a,sigma_a,FALSE),0)</f>
        <v>30.773121844849612</v>
      </c>
      <c r="AB183" s="90">
        <f>Tabella3[[#This Row],[rest of Italy fit]]/y_a_peak</f>
        <v>9.106766486122209E-3</v>
      </c>
      <c r="AC183" s="10">
        <f>Tabella3[[#This Row],[rest of Italy fit]]*NOT(ISBLANK(Tabella3[[#This Row],[rest of Italy data]]))</f>
        <v>0</v>
      </c>
    </row>
    <row r="184" spans="2:31" x14ac:dyDescent="0.3">
      <c r="B184" s="9">
        <v>44007</v>
      </c>
      <c r="C184" s="4">
        <v>177</v>
      </c>
      <c r="E184" s="10"/>
      <c r="F184" s="10">
        <f>Tabella3[[#This Row],[Spain daily cases]]*NOT(ISBLANK(Tabella3[[#This Row],[Spain daily cases]]))</f>
        <v>0</v>
      </c>
      <c r="G184" s="90">
        <f>IFERROR(Kf*_xlfn.LOGNORM.DIST((Tabella3[[#This Row],[Day]]-pf),mu_f,sigma_f,FALSE),0)</f>
        <v>37.533195274926697</v>
      </c>
      <c r="H184" s="90">
        <f>Tabella3[[#This Row],[Spain daily cases fit]]/y_f_peak</f>
        <v>5.6232321253342618E-3</v>
      </c>
      <c r="I184" s="10">
        <f>Tabella3[[#This Row],[Spain daily cases fit]]*NOT(ISBLANK(Tabella3[[#This Row],[Spain daily cases]]))</f>
        <v>0</v>
      </c>
      <c r="M184" s="10"/>
      <c r="N184" s="10">
        <f>Tabella3[[#This Row],[Lombardy data]]*NOT(ISBLANK(Tabella3[[#This Row],[Lombardy data]]))</f>
        <v>0</v>
      </c>
      <c r="O184" s="95">
        <f>Tabella8[[#This Row],[Lombardy fit]]</f>
        <v>86514.054356922541</v>
      </c>
      <c r="P184" s="90">
        <f>Tabella3[[#This Row],[Lombardy cumul. Fit]]/Kl</f>
        <v>0.99441441789566143</v>
      </c>
      <c r="Q184" s="90">
        <f>IFERROR(Kl*_xlfn.LOGNORM.DIST((Tabella3[[#This Row],[Day]]-pl),mu_l,sigma_l,FALSE),0)</f>
        <v>27.973374876525536</v>
      </c>
      <c r="R184" s="90">
        <f>Tabella3[[#This Row],[Lombardy fit]]/y_l_peak</f>
        <v>1.591245696082081E-2</v>
      </c>
      <c r="S184" s="10">
        <f>Tabella3[[#This Row],[Lombardy fit]]*NOT(ISBLANK(Tabella3[[#This Row],[Lombardy data]]))</f>
        <v>0</v>
      </c>
      <c r="W184" s="10"/>
      <c r="X184" s="10">
        <f>Tabella3[[#This Row],[rest of Italy data]]*NOT(ISBLANK(Tabella3[[#This Row],[rest of Italy data]]))</f>
        <v>0</v>
      </c>
      <c r="Y184" s="95">
        <f>Tabella8[[#This Row],[rest of Italy fit]]</f>
        <v>147580.63178322028</v>
      </c>
      <c r="Z184" s="90">
        <f>Tabella3[[#This Row],[rest of Italy cumul. Fit]]/Ka</f>
        <v>0.99716654704936336</v>
      </c>
      <c r="AA184" s="90">
        <f>IFERROR(Ka*_xlfn.LOGNORM.DIST((Tabella3[[#This Row],[Day]]-pa),mu_a,sigma_a,FALSE),0)</f>
        <v>28.72253620975799</v>
      </c>
      <c r="AB184" s="90">
        <f>Tabella3[[#This Row],[rest of Italy fit]]/y_a_peak</f>
        <v>8.4999315789351295E-3</v>
      </c>
      <c r="AC184" s="10">
        <f>Tabella3[[#This Row],[rest of Italy fit]]*NOT(ISBLANK(Tabella3[[#This Row],[rest of Italy data]]))</f>
        <v>0</v>
      </c>
    </row>
    <row r="185" spans="2:31" x14ac:dyDescent="0.3">
      <c r="B185" s="9">
        <v>44008</v>
      </c>
      <c r="C185" s="4">
        <v>178</v>
      </c>
      <c r="D185" s="145"/>
      <c r="E185" s="10"/>
      <c r="F185" s="10">
        <f>Tabella3[[#This Row],[Spain daily cases]]*NOT(ISBLANK(Tabella3[[#This Row],[Spain daily cases]]))</f>
        <v>0</v>
      </c>
      <c r="G185" s="90">
        <f>IFERROR(Kf*_xlfn.LOGNORM.DIST((Tabella3[[#This Row],[Day]]-pf),mu_f,sigma_f,FALSE),0)</f>
        <v>34.508881626683475</v>
      </c>
      <c r="H185" s="90">
        <f>Tabella3[[#This Row],[Spain daily cases fit]]/y_f_peak</f>
        <v>5.1701287447316266E-3</v>
      </c>
      <c r="I185" s="10">
        <f>Tabella3[[#This Row],[Spain daily cases fit]]*NOT(ISBLANK(Tabella3[[#This Row],[Spain daily cases]]))</f>
        <v>0</v>
      </c>
      <c r="J185" s="145"/>
      <c r="K185" s="145"/>
      <c r="L185" s="145"/>
      <c r="M185" s="10"/>
      <c r="N185" s="10">
        <f>Tabella3[[#This Row],[Lombardy data]]*NOT(ISBLANK(Tabella3[[#This Row],[Lombardy data]]))</f>
        <v>0</v>
      </c>
      <c r="O185" s="95" t="e">
        <f>Tabella8[[#This Row],[Lombardy fit]]</f>
        <v>#VALUE!</v>
      </c>
      <c r="P185" s="90" t="e">
        <f>Tabella3[[#This Row],[Lombardy cumul. Fit]]/Kl</f>
        <v>#VALUE!</v>
      </c>
      <c r="Q185" s="90">
        <f>IFERROR(Kl*_xlfn.LOGNORM.DIST((Tabella3[[#This Row],[Day]]-pl),mu_l,sigma_l,FALSE),0)</f>
        <v>26.397309756428676</v>
      </c>
      <c r="R185" s="90">
        <f>Tabella3[[#This Row],[Lombardy fit]]/y_l_peak</f>
        <v>1.5015923435577925E-2</v>
      </c>
      <c r="S185" s="10">
        <f>Tabella3[[#This Row],[Lombardy fit]]*NOT(ISBLANK(Tabella3[[#This Row],[Lombardy data]]))</f>
        <v>0</v>
      </c>
      <c r="T185" s="145"/>
      <c r="U185" s="145"/>
      <c r="V185" s="145"/>
      <c r="W185" s="10"/>
      <c r="X185" s="10">
        <f>Tabella3[[#This Row],[rest of Italy data]]*NOT(ISBLANK(Tabella3[[#This Row],[rest of Italy data]]))</f>
        <v>0</v>
      </c>
      <c r="Y185" s="95" t="e">
        <f>Tabella8[[#This Row],[rest of Italy fit]]</f>
        <v>#VALUE!</v>
      </c>
      <c r="Z185" s="90" t="e">
        <f>Tabella3[[#This Row],[rest of Italy cumul. Fit]]/Ka</f>
        <v>#VALUE!</v>
      </c>
      <c r="AA185" s="90">
        <f>IFERROR(Ka*_xlfn.LOGNORM.DIST((Tabella3[[#This Row],[Day]]-pa),mu_a,sigma_a,FALSE),0)</f>
        <v>26.808495120800671</v>
      </c>
      <c r="AB185" s="90">
        <f>Tabella3[[#This Row],[rest of Italy fit]]/y_a_peak</f>
        <v>7.9335046388976926E-3</v>
      </c>
      <c r="AC185" s="10">
        <f>Tabella3[[#This Row],[rest of Italy fit]]*NOT(ISBLANK(Tabella3[[#This Row],[rest of Italy data]]))</f>
        <v>0</v>
      </c>
      <c r="AD185" s="145"/>
      <c r="AE185" s="145"/>
    </row>
    <row r="186" spans="2:31" x14ac:dyDescent="0.3">
      <c r="B186" s="9">
        <v>44009</v>
      </c>
      <c r="C186" s="4">
        <v>179</v>
      </c>
      <c r="D186" s="145"/>
      <c r="E186" s="10"/>
      <c r="F186" s="10">
        <f>Tabella3[[#This Row],[Spain daily cases]]*NOT(ISBLANK(Tabella3[[#This Row],[Spain daily cases]]))</f>
        <v>0</v>
      </c>
      <c r="G186" s="90">
        <f>IFERROR(Kf*_xlfn.LOGNORM.DIST((Tabella3[[#This Row],[Day]]-pf),mu_f,sigma_f,FALSE),0)</f>
        <v>31.725532590928758</v>
      </c>
      <c r="H186" s="90">
        <f>Tabella3[[#This Row],[Spain daily cases fit]]/y_f_peak</f>
        <v>4.7531267389277218E-3</v>
      </c>
      <c r="I186" s="10">
        <f>Tabella3[[#This Row],[Spain daily cases fit]]*NOT(ISBLANK(Tabella3[[#This Row],[Spain daily cases]]))</f>
        <v>0</v>
      </c>
      <c r="J186" s="145"/>
      <c r="K186" s="145"/>
      <c r="L186" s="145"/>
      <c r="M186" s="10"/>
      <c r="N186" s="10">
        <f>Tabella3[[#This Row],[Lombardy data]]*NOT(ISBLANK(Tabella3[[#This Row],[Lombardy data]]))</f>
        <v>0</v>
      </c>
      <c r="O186" s="95" t="e">
        <f>Tabella8[[#This Row],[Lombardy fit]]</f>
        <v>#VALUE!</v>
      </c>
      <c r="P186" s="90" t="e">
        <f>Tabella3[[#This Row],[Lombardy cumul. Fit]]/Kl</f>
        <v>#VALUE!</v>
      </c>
      <c r="Q186" s="90">
        <f>IFERROR(Kl*_xlfn.LOGNORM.DIST((Tabella3[[#This Row],[Day]]-pl),mu_l,sigma_l,FALSE),0)</f>
        <v>24.909907731743306</v>
      </c>
      <c r="R186" s="90">
        <f>Tabella3[[#This Row],[Lombardy fit]]/y_l_peak</f>
        <v>1.4169825286687589E-2</v>
      </c>
      <c r="S186" s="10">
        <f>Tabella3[[#This Row],[Lombardy fit]]*NOT(ISBLANK(Tabella3[[#This Row],[Lombardy data]]))</f>
        <v>0</v>
      </c>
      <c r="T186" s="145"/>
      <c r="U186" s="145"/>
      <c r="V186" s="145"/>
      <c r="W186" s="10"/>
      <c r="X186" s="10">
        <f>Tabella3[[#This Row],[rest of Italy data]]*NOT(ISBLANK(Tabella3[[#This Row],[rest of Italy data]]))</f>
        <v>0</v>
      </c>
      <c r="Y186" s="95" t="e">
        <f>Tabella8[[#This Row],[rest of Italy fit]]</f>
        <v>#VALUE!</v>
      </c>
      <c r="Z186" s="90" t="e">
        <f>Tabella3[[#This Row],[rest of Italy cumul. Fit]]/Ka</f>
        <v>#VALUE!</v>
      </c>
      <c r="AA186" s="90">
        <f>IFERROR(Ka*_xlfn.LOGNORM.DIST((Tabella3[[#This Row],[Day]]-pa),mu_a,sigma_a,FALSE),0)</f>
        <v>25.022002149969296</v>
      </c>
      <c r="AB186" s="90">
        <f>Tabella3[[#This Row],[rest of Italy fit]]/y_a_peak</f>
        <v>7.4048233306935668E-3</v>
      </c>
      <c r="AC186" s="10">
        <f>Tabella3[[#This Row],[rest of Italy fit]]*NOT(ISBLANK(Tabella3[[#This Row],[rest of Italy data]]))</f>
        <v>0</v>
      </c>
      <c r="AD186" s="145"/>
      <c r="AE186" s="145"/>
    </row>
    <row r="187" spans="2:31" x14ac:dyDescent="0.3">
      <c r="B187" s="9">
        <v>44010</v>
      </c>
      <c r="C187" s="4">
        <v>180</v>
      </c>
      <c r="D187" s="145"/>
      <c r="E187" s="10"/>
      <c r="F187" s="10">
        <f>Tabella3[[#This Row],[Spain daily cases]]*NOT(ISBLANK(Tabella3[[#This Row],[Spain daily cases]]))</f>
        <v>0</v>
      </c>
      <c r="G187" s="90">
        <f>IFERROR(Kf*_xlfn.LOGNORM.DIST((Tabella3[[#This Row],[Day]]-pf),mu_f,sigma_f,FALSE),0)</f>
        <v>29.164340231596746</v>
      </c>
      <c r="H187" s="90">
        <f>Tabella3[[#This Row],[Spain daily cases fit]]/y_f_peak</f>
        <v>4.3694082985268456E-3</v>
      </c>
      <c r="I187" s="10">
        <f>Tabella3[[#This Row],[Spain daily cases fit]]*NOT(ISBLANK(Tabella3[[#This Row],[Spain daily cases]]))</f>
        <v>0</v>
      </c>
      <c r="J187" s="145"/>
      <c r="K187" s="145"/>
      <c r="L187" s="145"/>
      <c r="M187" s="10"/>
      <c r="N187" s="10">
        <f>Tabella3[[#This Row],[Lombardy data]]*NOT(ISBLANK(Tabella3[[#This Row],[Lombardy data]]))</f>
        <v>0</v>
      </c>
      <c r="O187" s="95" t="e">
        <f>Tabella8[[#This Row],[Lombardy fit]]</f>
        <v>#VALUE!</v>
      </c>
      <c r="P187" s="90" t="e">
        <f>Tabella3[[#This Row],[Lombardy cumul. Fit]]/Kl</f>
        <v>#VALUE!</v>
      </c>
      <c r="Q187" s="90">
        <f>IFERROR(Kl*_xlfn.LOGNORM.DIST((Tabella3[[#This Row],[Day]]-pl),mu_l,sigma_l,FALSE),0)</f>
        <v>23.506253375618666</v>
      </c>
      <c r="R187" s="90">
        <f>Tabella3[[#This Row],[Lombardy fit]]/y_l_peak</f>
        <v>1.337136640826154E-2</v>
      </c>
      <c r="S187" s="10">
        <f>Tabella3[[#This Row],[Lombardy fit]]*NOT(ISBLANK(Tabella3[[#This Row],[Lombardy data]]))</f>
        <v>0</v>
      </c>
      <c r="T187" s="145"/>
      <c r="U187" s="145"/>
      <c r="V187" s="145"/>
      <c r="W187" s="10"/>
      <c r="X187" s="10">
        <f>Tabella3[[#This Row],[rest of Italy data]]*NOT(ISBLANK(Tabella3[[#This Row],[rest of Italy data]]))</f>
        <v>0</v>
      </c>
      <c r="Y187" s="95" t="e">
        <f>Tabella8[[#This Row],[rest of Italy fit]]</f>
        <v>#VALUE!</v>
      </c>
      <c r="Z187" s="90" t="e">
        <f>Tabella3[[#This Row],[rest of Italy cumul. Fit]]/Ka</f>
        <v>#VALUE!</v>
      </c>
      <c r="AA187" s="90">
        <f>IFERROR(Ka*_xlfn.LOGNORM.DIST((Tabella3[[#This Row],[Day]]-pa),mu_a,sigma_a,FALSE),0)</f>
        <v>23.354638279968487</v>
      </c>
      <c r="AB187" s="90">
        <f>Tabella3[[#This Row],[rest of Italy fit]]/y_a_peak</f>
        <v>6.9113961935948409E-3</v>
      </c>
      <c r="AC187" s="10">
        <f>Tabella3[[#This Row],[rest of Italy fit]]*NOT(ISBLANK(Tabella3[[#This Row],[rest of Italy data]]))</f>
        <v>0</v>
      </c>
      <c r="AD187" s="145"/>
      <c r="AE187" s="145"/>
    </row>
    <row r="188" spans="2:31" x14ac:dyDescent="0.3">
      <c r="B188" s="9">
        <v>44011</v>
      </c>
      <c r="C188" s="4">
        <v>181</v>
      </c>
      <c r="D188" s="145"/>
      <c r="E188" s="10"/>
      <c r="F188" s="10">
        <f>Tabella3[[#This Row],[Spain daily cases]]*NOT(ISBLANK(Tabella3[[#This Row],[Spain daily cases]]))</f>
        <v>0</v>
      </c>
      <c r="G188" s="90">
        <f>IFERROR(Kf*_xlfn.LOGNORM.DIST((Tabella3[[#This Row],[Day]]-pf),mu_f,sigma_f,FALSE),0)</f>
        <v>26.807913734515296</v>
      </c>
      <c r="H188" s="90">
        <f>Tabella3[[#This Row],[Spain daily cases fit]]/y_f_peak</f>
        <v>4.0163679276680074E-3</v>
      </c>
      <c r="I188" s="10">
        <f>Tabella3[[#This Row],[Spain daily cases fit]]*NOT(ISBLANK(Tabella3[[#This Row],[Spain daily cases]]))</f>
        <v>0</v>
      </c>
      <c r="J188" s="145"/>
      <c r="K188" s="145"/>
      <c r="L188" s="145"/>
      <c r="M188" s="10"/>
      <c r="N188" s="10">
        <f>Tabella3[[#This Row],[Lombardy data]]*NOT(ISBLANK(Tabella3[[#This Row],[Lombardy data]]))</f>
        <v>0</v>
      </c>
      <c r="O188" s="95" t="e">
        <f>Tabella8[[#This Row],[Lombardy fit]]</f>
        <v>#VALUE!</v>
      </c>
      <c r="P188" s="90" t="e">
        <f>Tabella3[[#This Row],[Lombardy cumul. Fit]]/Kl</f>
        <v>#VALUE!</v>
      </c>
      <c r="Q188" s="90">
        <f>IFERROR(Kl*_xlfn.LOGNORM.DIST((Tabella3[[#This Row],[Day]]-pl),mu_l,sigma_l,FALSE),0)</f>
        <v>22.181693944010323</v>
      </c>
      <c r="R188" s="90">
        <f>Tabella3[[#This Row],[Lombardy fit]]/y_l_peak</f>
        <v>1.2617900119672806E-2</v>
      </c>
      <c r="S188" s="10">
        <f>Tabella3[[#This Row],[Lombardy fit]]*NOT(ISBLANK(Tabella3[[#This Row],[Lombardy data]]))</f>
        <v>0</v>
      </c>
      <c r="T188" s="145"/>
      <c r="U188" s="145"/>
      <c r="V188" s="145"/>
      <c r="W188" s="10"/>
      <c r="X188" s="10">
        <f>Tabella3[[#This Row],[rest of Italy data]]*NOT(ISBLANK(Tabella3[[#This Row],[rest of Italy data]]))</f>
        <v>0</v>
      </c>
      <c r="Y188" s="95" t="e">
        <f>Tabella8[[#This Row],[rest of Italy fit]]</f>
        <v>#VALUE!</v>
      </c>
      <c r="Z188" s="90" t="e">
        <f>Tabella3[[#This Row],[rest of Italy cumul. Fit]]/Ka</f>
        <v>#VALUE!</v>
      </c>
      <c r="AA188" s="90">
        <f>IFERROR(Ka*_xlfn.LOGNORM.DIST((Tabella3[[#This Row],[Day]]-pa),mu_a,sigma_a,FALSE),0)</f>
        <v>21.798526801170439</v>
      </c>
      <c r="AB188" s="90">
        <f>Tabella3[[#This Row],[rest of Italy fit]]/y_a_peak</f>
        <v>6.4508922533304926E-3</v>
      </c>
      <c r="AC188" s="10">
        <f>Tabella3[[#This Row],[rest of Italy fit]]*NOT(ISBLANK(Tabella3[[#This Row],[rest of Italy data]]))</f>
        <v>0</v>
      </c>
      <c r="AD188" s="145"/>
      <c r="AE188" s="145"/>
    </row>
    <row r="189" spans="2:31" x14ac:dyDescent="0.3">
      <c r="B189" s="9">
        <v>44012</v>
      </c>
      <c r="C189" s="4">
        <v>182</v>
      </c>
      <c r="D189" s="145"/>
      <c r="E189" s="10"/>
      <c r="F189" s="10">
        <f>Tabella3[[#This Row],[Spain daily cases]]*NOT(ISBLANK(Tabella3[[#This Row],[Spain daily cases]]))</f>
        <v>0</v>
      </c>
      <c r="G189" s="90">
        <f>IFERROR(Kf*_xlfn.LOGNORM.DIST((Tabella3[[#This Row],[Day]]-pf),mu_f,sigma_f,FALSE),0)</f>
        <v>24.64017898095635</v>
      </c>
      <c r="H189" s="90">
        <f>Tabella3[[#This Row],[Spain daily cases fit]]/y_f_peak</f>
        <v>3.6915973981106881E-3</v>
      </c>
      <c r="I189" s="10">
        <f>Tabella3[[#This Row],[Spain daily cases fit]]*NOT(ISBLANK(Tabella3[[#This Row],[Spain daily cases]]))</f>
        <v>0</v>
      </c>
      <c r="J189" s="145"/>
      <c r="K189" s="145"/>
      <c r="L189" s="145"/>
      <c r="M189" s="10"/>
      <c r="N189" s="10">
        <f>Tabella3[[#This Row],[Lombardy data]]*NOT(ISBLANK(Tabella3[[#This Row],[Lombardy data]]))</f>
        <v>0</v>
      </c>
      <c r="O189" s="95" t="e">
        <f>Tabella8[[#This Row],[Lombardy fit]]</f>
        <v>#VALUE!</v>
      </c>
      <c r="P189" s="90" t="e">
        <f>Tabella3[[#This Row],[Lombardy cumul. Fit]]/Kl</f>
        <v>#VALUE!</v>
      </c>
      <c r="Q189" s="90">
        <f>IFERROR(Kl*_xlfn.LOGNORM.DIST((Tabella3[[#This Row],[Day]]-pl),mu_l,sigma_l,FALSE),0)</f>
        <v>20.931826427491409</v>
      </c>
      <c r="R189" s="90">
        <f>Tabella3[[#This Row],[Lombardy fit]]/y_l_peak</f>
        <v>1.1906921800069867E-2</v>
      </c>
      <c r="S189" s="10">
        <f>Tabella3[[#This Row],[Lombardy fit]]*NOT(ISBLANK(Tabella3[[#This Row],[Lombardy data]]))</f>
        <v>0</v>
      </c>
      <c r="T189" s="145"/>
      <c r="U189" s="145"/>
      <c r="V189" s="145"/>
      <c r="W189" s="10"/>
      <c r="X189" s="10">
        <f>Tabella3[[#This Row],[rest of Italy data]]*NOT(ISBLANK(Tabella3[[#This Row],[rest of Italy data]]))</f>
        <v>0</v>
      </c>
      <c r="Y189" s="95" t="e">
        <f>Tabella8[[#This Row],[rest of Italy fit]]</f>
        <v>#VALUE!</v>
      </c>
      <c r="Z189" s="90" t="e">
        <f>Tabella3[[#This Row],[rest of Italy cumul. Fit]]/Ka</f>
        <v>#VALUE!</v>
      </c>
      <c r="AA189" s="90">
        <f>IFERROR(Ka*_xlfn.LOGNORM.DIST((Tabella3[[#This Row],[Day]]-pa),mu_a,sigma_a,FALSE),0)</f>
        <v>20.346300109235695</v>
      </c>
      <c r="AB189" s="90">
        <f>Tabella3[[#This Row],[rest of Italy fit]]/y_a_peak</f>
        <v>6.0211311964237209E-3</v>
      </c>
      <c r="AC189" s="10">
        <f>Tabella3[[#This Row],[rest of Italy fit]]*NOT(ISBLANK(Tabella3[[#This Row],[rest of Italy data]]))</f>
        <v>0</v>
      </c>
      <c r="AD189" s="145"/>
      <c r="AE189" s="145"/>
    </row>
    <row r="190" spans="2:31" x14ac:dyDescent="0.3">
      <c r="B190" s="9">
        <v>44013</v>
      </c>
      <c r="C190" s="4">
        <v>183</v>
      </c>
      <c r="D190" s="145"/>
      <c r="E190" s="10"/>
      <c r="F190" s="10">
        <f>Tabella3[[#This Row],[Spain daily cases]]*NOT(ISBLANK(Tabella3[[#This Row],[Spain daily cases]]))</f>
        <v>0</v>
      </c>
      <c r="G190" s="90">
        <f>IFERROR(Kf*_xlfn.LOGNORM.DIST((Tabella3[[#This Row],[Day]]-pf),mu_f,sigma_f,FALSE),0)</f>
        <v>22.646284453518664</v>
      </c>
      <c r="H190" s="90">
        <f>Tabella3[[#This Row],[Spain daily cases fit]]/y_f_peak</f>
        <v>3.3928716520321015E-3</v>
      </c>
      <c r="I190" s="10">
        <f>Tabella3[[#This Row],[Spain daily cases fit]]*NOT(ISBLANK(Tabella3[[#This Row],[Spain daily cases]]))</f>
        <v>0</v>
      </c>
      <c r="J190" s="145"/>
      <c r="K190" s="145"/>
      <c r="L190" s="145"/>
      <c r="M190" s="10"/>
      <c r="N190" s="10">
        <f>Tabella3[[#This Row],[Lombardy data]]*NOT(ISBLANK(Tabella3[[#This Row],[Lombardy data]]))</f>
        <v>0</v>
      </c>
      <c r="O190" s="95" t="e">
        <f>Tabella8[[#This Row],[Lombardy fit]]</f>
        <v>#VALUE!</v>
      </c>
      <c r="P190" s="90" t="e">
        <f>Tabella3[[#This Row],[Lombardy cumul. Fit]]/Kl</f>
        <v>#VALUE!</v>
      </c>
      <c r="Q190" s="90">
        <f>IFERROR(Kl*_xlfn.LOGNORM.DIST((Tabella3[[#This Row],[Day]]-pl),mu_l,sigma_l,FALSE),0)</f>
        <v>19.752485126258758</v>
      </c>
      <c r="R190" s="90">
        <f>Tabella3[[#This Row],[Lombardy fit]]/y_l_peak</f>
        <v>1.1236061820506548E-2</v>
      </c>
      <c r="S190" s="10">
        <f>Tabella3[[#This Row],[Lombardy fit]]*NOT(ISBLANK(Tabella3[[#This Row],[Lombardy data]]))</f>
        <v>0</v>
      </c>
      <c r="T190" s="145"/>
      <c r="U190" s="145"/>
      <c r="V190" s="145"/>
      <c r="W190" s="10"/>
      <c r="X190" s="10">
        <f>Tabella3[[#This Row],[rest of Italy data]]*NOT(ISBLANK(Tabella3[[#This Row],[rest of Italy data]]))</f>
        <v>0</v>
      </c>
      <c r="Y190" s="95" t="e">
        <f>Tabella8[[#This Row],[rest of Italy fit]]</f>
        <v>#VALUE!</v>
      </c>
      <c r="Z190" s="90" t="e">
        <f>Tabella3[[#This Row],[rest of Italy cumul. Fit]]/Ka</f>
        <v>#VALUE!</v>
      </c>
      <c r="AA190" s="90">
        <f>IFERROR(Ka*_xlfn.LOGNORM.DIST((Tabella3[[#This Row],[Day]]-pa),mu_a,sigma_a,FALSE),0)</f>
        <v>18.991068328425126</v>
      </c>
      <c r="AB190" s="90">
        <f>Tabella3[[#This Row],[rest of Italy fit]]/y_a_peak</f>
        <v>5.6200740848106195E-3</v>
      </c>
      <c r="AC190" s="10">
        <f>Tabella3[[#This Row],[rest of Italy fit]]*NOT(ISBLANK(Tabella3[[#This Row],[rest of Italy data]]))</f>
        <v>0</v>
      </c>
      <c r="AD190" s="145"/>
      <c r="AE190" s="145"/>
    </row>
    <row r="191" spans="2:31" x14ac:dyDescent="0.3">
      <c r="B191" s="9">
        <v>44014</v>
      </c>
      <c r="C191" s="4">
        <v>184</v>
      </c>
      <c r="D191" s="145"/>
      <c r="E191" s="10"/>
      <c r="F191" s="10">
        <f>Tabella3[[#This Row],[Spain daily cases]]*NOT(ISBLANK(Tabella3[[#This Row],[Spain daily cases]]))</f>
        <v>0</v>
      </c>
      <c r="G191" s="90">
        <f>IFERROR(Kf*_xlfn.LOGNORM.DIST((Tabella3[[#This Row],[Day]]-pf),mu_f,sigma_f,FALSE),0)</f>
        <v>20.812513174238678</v>
      </c>
      <c r="H191" s="90">
        <f>Tabella3[[#This Row],[Spain daily cases fit]]/y_f_peak</f>
        <v>3.118135608574297E-3</v>
      </c>
      <c r="I191" s="10">
        <f>Tabella3[[#This Row],[Spain daily cases fit]]*NOT(ISBLANK(Tabella3[[#This Row],[Spain daily cases]]))</f>
        <v>0</v>
      </c>
      <c r="J191" s="145"/>
      <c r="K191" s="145"/>
      <c r="L191" s="145"/>
      <c r="M191" s="10"/>
      <c r="N191" s="10">
        <f>Tabella3[[#This Row],[Lombardy data]]*NOT(ISBLANK(Tabella3[[#This Row],[Lombardy data]]))</f>
        <v>0</v>
      </c>
      <c r="O191" s="95" t="e">
        <f>Tabella8[[#This Row],[Lombardy fit]]</f>
        <v>#VALUE!</v>
      </c>
      <c r="P191" s="90" t="e">
        <f>Tabella3[[#This Row],[Lombardy cumul. Fit]]/Kl</f>
        <v>#VALUE!</v>
      </c>
      <c r="Q191" s="90">
        <f>IFERROR(Kl*_xlfn.LOGNORM.DIST((Tabella3[[#This Row],[Day]]-pl),mu_l,sigma_l,FALSE),0)</f>
        <v>18.639729739770814</v>
      </c>
      <c r="R191" s="90">
        <f>Tabella3[[#This Row],[Lombardy fit]]/y_l_peak</f>
        <v>1.060307876881657E-2</v>
      </c>
      <c r="S191" s="10">
        <f>Tabella3[[#This Row],[Lombardy fit]]*NOT(ISBLANK(Tabella3[[#This Row],[Lombardy data]]))</f>
        <v>0</v>
      </c>
      <c r="T191" s="145"/>
      <c r="U191" s="145"/>
      <c r="V191" s="145"/>
      <c r="W191" s="10"/>
      <c r="X191" s="10">
        <f>Tabella3[[#This Row],[rest of Italy data]]*NOT(ISBLANK(Tabella3[[#This Row],[rest of Italy data]]))</f>
        <v>0</v>
      </c>
      <c r="Y191" s="95" t="e">
        <f>Tabella8[[#This Row],[rest of Italy fit]]</f>
        <v>#VALUE!</v>
      </c>
      <c r="Z191" s="90" t="e">
        <f>Tabella3[[#This Row],[rest of Italy cumul. Fit]]/Ka</f>
        <v>#VALUE!</v>
      </c>
      <c r="AA191" s="90">
        <f>IFERROR(Ka*_xlfn.LOGNORM.DIST((Tabella3[[#This Row],[Day]]-pa),mu_a,sigma_a,FALSE),0)</f>
        <v>17.726389684947989</v>
      </c>
      <c r="AB191" s="90">
        <f>Tabella3[[#This Row],[rest of Italy fit]]/y_a_peak</f>
        <v>5.2458145883513847E-3</v>
      </c>
      <c r="AC191" s="10">
        <f>Tabella3[[#This Row],[rest of Italy fit]]*NOT(ISBLANK(Tabella3[[#This Row],[rest of Italy data]]))</f>
        <v>0</v>
      </c>
      <c r="AD191" s="145"/>
      <c r="AE191" s="145"/>
    </row>
    <row r="192" spans="2:31" x14ac:dyDescent="0.3">
      <c r="B192" s="9">
        <v>44015</v>
      </c>
      <c r="C192" s="4">
        <v>185</v>
      </c>
      <c r="D192" s="145"/>
      <c r="E192" s="10"/>
      <c r="F192" s="10">
        <f>Tabella3[[#This Row],[Spain daily cases]]*NOT(ISBLANK(Tabella3[[#This Row],[Spain daily cases]]))</f>
        <v>0</v>
      </c>
      <c r="G192" s="90">
        <f>IFERROR(Kf*_xlfn.LOGNORM.DIST((Tabella3[[#This Row],[Day]]-pf),mu_f,sigma_f,FALSE),0)</f>
        <v>19.126200375442231</v>
      </c>
      <c r="H192" s="90">
        <f>Tabella3[[#This Row],[Spain daily cases fit]]/y_f_peak</f>
        <v>2.8654918292718421E-3</v>
      </c>
      <c r="I192" s="10">
        <f>Tabella3[[#This Row],[Spain daily cases fit]]*NOT(ISBLANK(Tabella3[[#This Row],[Spain daily cases]]))</f>
        <v>0</v>
      </c>
      <c r="J192" s="145"/>
      <c r="K192" s="145"/>
      <c r="L192" s="145"/>
      <c r="M192" s="10"/>
      <c r="N192" s="10">
        <f>Tabella3[[#This Row],[Lombardy data]]*NOT(ISBLANK(Tabella3[[#This Row],[Lombardy data]]))</f>
        <v>0</v>
      </c>
      <c r="O192" s="95" t="e">
        <f>Tabella8[[#This Row],[Lombardy fit]]</f>
        <v>#VALUE!</v>
      </c>
      <c r="P192" s="90" t="e">
        <f>Tabella3[[#This Row],[Lombardy cumul. Fit]]/Kl</f>
        <v>#VALUE!</v>
      </c>
      <c r="Q192" s="90">
        <f>IFERROR(Kl*_xlfn.LOGNORM.DIST((Tabella3[[#This Row],[Day]]-pl),mu_l,sigma_l,FALSE),0)</f>
        <v>17.589833960954472</v>
      </c>
      <c r="R192" s="90">
        <f>Tabella3[[#This Row],[Lombardy fit]]/y_l_peak</f>
        <v>1.0005852961508563E-2</v>
      </c>
      <c r="S192" s="10">
        <f>Tabella3[[#This Row],[Lombardy fit]]*NOT(ISBLANK(Tabella3[[#This Row],[Lombardy data]]))</f>
        <v>0</v>
      </c>
      <c r="T192" s="145"/>
      <c r="U192" s="145"/>
      <c r="V192" s="145"/>
      <c r="W192" s="10"/>
      <c r="X192" s="10">
        <f>Tabella3[[#This Row],[rest of Italy data]]*NOT(ISBLANK(Tabella3[[#This Row],[rest of Italy data]]))</f>
        <v>0</v>
      </c>
      <c r="Y192" s="95" t="e">
        <f>Tabella8[[#This Row],[rest of Italy fit]]</f>
        <v>#VALUE!</v>
      </c>
      <c r="Z192" s="90" t="e">
        <f>Tabella3[[#This Row],[rest of Italy cumul. Fit]]/Ka</f>
        <v>#VALUE!</v>
      </c>
      <c r="AA192" s="90">
        <f>IFERROR(Ka*_xlfn.LOGNORM.DIST((Tabella3[[#This Row],[Day]]-pa),mu_a,sigma_a,FALSE),0)</f>
        <v>16.546242554653691</v>
      </c>
      <c r="AB192" s="90">
        <f>Tabella3[[#This Row],[rest of Italy fit]]/y_a_peak</f>
        <v>4.8965707128342129E-3</v>
      </c>
      <c r="AC192" s="10">
        <f>Tabella3[[#This Row],[rest of Italy fit]]*NOT(ISBLANK(Tabella3[[#This Row],[rest of Italy data]]))</f>
        <v>0</v>
      </c>
      <c r="AD192" s="145"/>
      <c r="AE192" s="145"/>
    </row>
    <row r="193" spans="2:31" x14ac:dyDescent="0.3">
      <c r="B193" s="9">
        <v>44016</v>
      </c>
      <c r="C193" s="4">
        <v>186</v>
      </c>
      <c r="D193" s="145"/>
      <c r="E193" s="10"/>
      <c r="F193" s="10">
        <f>Tabella3[[#This Row],[Spain daily cases]]*NOT(ISBLANK(Tabella3[[#This Row],[Spain daily cases]]))</f>
        <v>0</v>
      </c>
      <c r="G193" s="90">
        <f>IFERROR(Kf*_xlfn.LOGNORM.DIST((Tabella3[[#This Row],[Day]]-pf),mu_f,sigma_f,FALSE),0)</f>
        <v>17.575656606881193</v>
      </c>
      <c r="H193" s="90">
        <f>Tabella3[[#This Row],[Spain daily cases fit]]/y_f_peak</f>
        <v>2.6331889979449852E-3</v>
      </c>
      <c r="I193" s="10">
        <f>Tabella3[[#This Row],[Spain daily cases fit]]*NOT(ISBLANK(Tabella3[[#This Row],[Spain daily cases]]))</f>
        <v>0</v>
      </c>
      <c r="J193" s="145"/>
      <c r="K193" s="145"/>
      <c r="L193" s="145"/>
      <c r="M193" s="10"/>
      <c r="N193" s="10">
        <f>Tabella3[[#This Row],[Lombardy data]]*NOT(ISBLANK(Tabella3[[#This Row],[Lombardy data]]))</f>
        <v>0</v>
      </c>
      <c r="O193" s="95" t="e">
        <f>Tabella8[[#This Row],[Lombardy fit]]</f>
        <v>#VALUE!</v>
      </c>
      <c r="P193" s="90" t="e">
        <f>Tabella3[[#This Row],[Lombardy cumul. Fit]]/Kl</f>
        <v>#VALUE!</v>
      </c>
      <c r="Q193" s="90">
        <f>IFERROR(Kl*_xlfn.LOGNORM.DIST((Tabella3[[#This Row],[Day]]-pl),mu_l,sigma_l,FALSE),0)</f>
        <v>16.599274563695914</v>
      </c>
      <c r="R193" s="90">
        <f>Tabella3[[#This Row],[Lombardy fit]]/y_l_peak</f>
        <v>9.4423802362622201E-3</v>
      </c>
      <c r="S193" s="10">
        <f>Tabella3[[#This Row],[Lombardy fit]]*NOT(ISBLANK(Tabella3[[#This Row],[Lombardy data]]))</f>
        <v>0</v>
      </c>
      <c r="T193" s="145"/>
      <c r="U193" s="145"/>
      <c r="V193" s="145"/>
      <c r="W193" s="10"/>
      <c r="X193" s="10">
        <f>Tabella3[[#This Row],[rest of Italy data]]*NOT(ISBLANK(Tabella3[[#This Row],[rest of Italy data]]))</f>
        <v>0</v>
      </c>
      <c r="Y193" s="95" t="e">
        <f>Tabella8[[#This Row],[rest of Italy fit]]</f>
        <v>#VALUE!</v>
      </c>
      <c r="Z193" s="90" t="e">
        <f>Tabella3[[#This Row],[rest of Italy cumul. Fit]]/Ka</f>
        <v>#VALUE!</v>
      </c>
      <c r="AA193" s="90">
        <f>IFERROR(Ka*_xlfn.LOGNORM.DIST((Tabella3[[#This Row],[Day]]-pa),mu_a,sigma_a,FALSE),0)</f>
        <v>15.444999109857786</v>
      </c>
      <c r="AB193" s="90">
        <f>Tabella3[[#This Row],[rest of Italy fit]]/y_a_peak</f>
        <v>4.5706770012149747E-3</v>
      </c>
      <c r="AC193" s="10">
        <f>Tabella3[[#This Row],[rest of Italy fit]]*NOT(ISBLANK(Tabella3[[#This Row],[rest of Italy data]]))</f>
        <v>0</v>
      </c>
      <c r="AD193" s="145"/>
      <c r="AE193" s="145"/>
    </row>
    <row r="194" spans="2:31" x14ac:dyDescent="0.3">
      <c r="B194" s="9">
        <v>44017</v>
      </c>
      <c r="C194" s="4">
        <v>187</v>
      </c>
      <c r="D194" s="145"/>
      <c r="E194" s="10"/>
      <c r="F194" s="10">
        <f>Tabella3[[#This Row],[Spain daily cases]]*NOT(ISBLANK(Tabella3[[#This Row],[Spain daily cases]]))</f>
        <v>0</v>
      </c>
      <c r="G194" s="90">
        <f>IFERROR(Kf*_xlfn.LOGNORM.DIST((Tabella3[[#This Row],[Day]]-pf),mu_f,sigma_f,FALSE),0)</f>
        <v>16.150095987721723</v>
      </c>
      <c r="H194" s="90">
        <f>Tabella3[[#This Row],[Spain daily cases fit]]/y_f_peak</f>
        <v>2.4196111713956953E-3</v>
      </c>
      <c r="I194" s="10">
        <f>Tabella3[[#This Row],[Spain daily cases fit]]*NOT(ISBLANK(Tabella3[[#This Row],[Spain daily cases]]))</f>
        <v>0</v>
      </c>
      <c r="J194" s="145"/>
      <c r="K194" s="145"/>
      <c r="L194" s="145"/>
      <c r="M194" s="10"/>
      <c r="N194" s="10">
        <f>Tabella3[[#This Row],[Lombardy data]]*NOT(ISBLANK(Tabella3[[#This Row],[Lombardy data]]))</f>
        <v>0</v>
      </c>
      <c r="O194" s="95" t="e">
        <f>Tabella8[[#This Row],[Lombardy fit]]</f>
        <v>#VALUE!</v>
      </c>
      <c r="P194" s="90" t="e">
        <f>Tabella3[[#This Row],[Lombardy cumul. Fit]]/Kl</f>
        <v>#VALUE!</v>
      </c>
      <c r="Q194" s="90">
        <f>IFERROR(Kl*_xlfn.LOGNORM.DIST((Tabella3[[#This Row],[Day]]-pl),mu_l,sigma_l,FALSE),0)</f>
        <v>15.66472097132373</v>
      </c>
      <c r="R194" s="90">
        <f>Tabella3[[#This Row],[Lombardy fit]]/y_l_peak</f>
        <v>8.9107660180335058E-3</v>
      </c>
      <c r="S194" s="10">
        <f>Tabella3[[#This Row],[Lombardy fit]]*NOT(ISBLANK(Tabella3[[#This Row],[Lombardy data]]))</f>
        <v>0</v>
      </c>
      <c r="T194" s="145"/>
      <c r="U194" s="145"/>
      <c r="V194" s="145"/>
      <c r="W194" s="10"/>
      <c r="X194" s="10">
        <f>Tabella3[[#This Row],[rest of Italy data]]*NOT(ISBLANK(Tabella3[[#This Row],[rest of Italy data]]))</f>
        <v>0</v>
      </c>
      <c r="Y194" s="95" t="e">
        <f>Tabella8[[#This Row],[rest of Italy fit]]</f>
        <v>#VALUE!</v>
      </c>
      <c r="Z194" s="90" t="e">
        <f>Tabella3[[#This Row],[rest of Italy cumul. Fit]]/Ka</f>
        <v>#VALUE!</v>
      </c>
      <c r="AA194" s="90">
        <f>IFERROR(Ka*_xlfn.LOGNORM.DIST((Tabella3[[#This Row],[Day]]-pa),mu_a,sigma_a,FALSE),0)</f>
        <v>14.417400491022027</v>
      </c>
      <c r="AB194" s="90">
        <f>Tabella3[[#This Row],[rest of Italy fit]]/y_a_peak</f>
        <v>4.2665771861107359E-3</v>
      </c>
      <c r="AC194" s="10">
        <f>Tabella3[[#This Row],[rest of Italy fit]]*NOT(ISBLANK(Tabella3[[#This Row],[rest of Italy data]]))</f>
        <v>0</v>
      </c>
      <c r="AD194" s="145"/>
      <c r="AE194" s="145"/>
    </row>
    <row r="195" spans="2:31" x14ac:dyDescent="0.3">
      <c r="B195" s="9">
        <v>44018</v>
      </c>
      <c r="C195" s="4">
        <v>188</v>
      </c>
      <c r="D195" s="145"/>
      <c r="E195" s="10"/>
      <c r="F195" s="10">
        <f>Tabella3[[#This Row],[Spain daily cases]]*NOT(ISBLANK(Tabella3[[#This Row],[Spain daily cases]]))</f>
        <v>0</v>
      </c>
      <c r="G195" s="90">
        <f>IFERROR(Kf*_xlfn.LOGNORM.DIST((Tabella3[[#This Row],[Day]]-pf),mu_f,sigma_f,FALSE),0)</f>
        <v>14.839569318573334</v>
      </c>
      <c r="H195" s="90">
        <f>Tabella3[[#This Row],[Spain daily cases fit]]/y_f_peak</f>
        <v>2.223267758236158E-3</v>
      </c>
      <c r="I195" s="10">
        <f>Tabella3[[#This Row],[Spain daily cases fit]]*NOT(ISBLANK(Tabella3[[#This Row],[Spain daily cases]]))</f>
        <v>0</v>
      </c>
      <c r="J195" s="145"/>
      <c r="K195" s="145"/>
      <c r="L195" s="145"/>
      <c r="M195" s="10"/>
      <c r="N195" s="10">
        <f>Tabella3[[#This Row],[Lombardy data]]*NOT(ISBLANK(Tabella3[[#This Row],[Lombardy data]]))</f>
        <v>0</v>
      </c>
      <c r="O195" s="95" t="e">
        <f>Tabella8[[#This Row],[Lombardy fit]]</f>
        <v>#VALUE!</v>
      </c>
      <c r="P195" s="90" t="e">
        <f>Tabella3[[#This Row],[Lombardy cumul. Fit]]/Kl</f>
        <v>#VALUE!</v>
      </c>
      <c r="Q195" s="90">
        <f>IFERROR(Kl*_xlfn.LOGNORM.DIST((Tabella3[[#This Row],[Day]]-pl),mu_l,sigma_l,FALSE),0)</f>
        <v>14.783025292992344</v>
      </c>
      <c r="R195" s="90">
        <f>Tabella3[[#This Row],[Lombardy fit]]/y_l_peak</f>
        <v>8.4092196513216571E-3</v>
      </c>
      <c r="S195" s="10">
        <f>Tabella3[[#This Row],[Lombardy fit]]*NOT(ISBLANK(Tabella3[[#This Row],[Lombardy data]]))</f>
        <v>0</v>
      </c>
      <c r="T195" s="145"/>
      <c r="U195" s="145"/>
      <c r="V195" s="145"/>
      <c r="W195" s="10"/>
      <c r="X195" s="10">
        <f>Tabella3[[#This Row],[rest of Italy data]]*NOT(ISBLANK(Tabella3[[#This Row],[rest of Italy data]]))</f>
        <v>0</v>
      </c>
      <c r="Y195" s="95" t="e">
        <f>Tabella8[[#This Row],[rest of Italy fit]]</f>
        <v>#VALUE!</v>
      </c>
      <c r="Z195" s="90" t="e">
        <f>Tabella3[[#This Row],[rest of Italy cumul. Fit]]/Ka</f>
        <v>#VALUE!</v>
      </c>
      <c r="AA195" s="90">
        <f>IFERROR(Ka*_xlfn.LOGNORM.DIST((Tabella3[[#This Row],[Day]]-pa),mu_a,sigma_a,FALSE),0)</f>
        <v>13.458533430308405</v>
      </c>
      <c r="AB195" s="90">
        <f>Tabella3[[#This Row],[rest of Italy fit]]/y_a_peak</f>
        <v>3.98281727194997E-3</v>
      </c>
      <c r="AC195" s="10">
        <f>Tabella3[[#This Row],[rest of Italy fit]]*NOT(ISBLANK(Tabella3[[#This Row],[rest of Italy data]]))</f>
        <v>0</v>
      </c>
      <c r="AD195" s="145"/>
      <c r="AE195" s="145"/>
    </row>
    <row r="196" spans="2:31" x14ac:dyDescent="0.3">
      <c r="B196" s="9">
        <v>44019</v>
      </c>
      <c r="C196" s="4">
        <v>189</v>
      </c>
      <c r="D196" s="145"/>
      <c r="E196" s="10"/>
      <c r="F196" s="10">
        <f>Tabella3[[#This Row],[Spain daily cases]]*NOT(ISBLANK(Tabella3[[#This Row],[Spain daily cases]]))</f>
        <v>0</v>
      </c>
      <c r="G196" s="90">
        <f>IFERROR(Kf*_xlfn.LOGNORM.DIST((Tabella3[[#This Row],[Day]]-pf),mu_f,sigma_f,FALSE),0)</f>
        <v>13.634901776663769</v>
      </c>
      <c r="H196" s="90">
        <f>Tabella3[[#This Row],[Spain daily cases fit]]/y_f_peak</f>
        <v>2.0427841843652533E-3</v>
      </c>
      <c r="I196" s="10">
        <f>Tabella3[[#This Row],[Spain daily cases fit]]*NOT(ISBLANK(Tabella3[[#This Row],[Spain daily cases]]))</f>
        <v>0</v>
      </c>
      <c r="J196" s="145"/>
      <c r="K196" s="145"/>
      <c r="L196" s="145"/>
      <c r="M196" s="10"/>
      <c r="N196" s="10">
        <f>Tabella3[[#This Row],[Lombardy data]]*NOT(ISBLANK(Tabella3[[#This Row],[Lombardy data]]))</f>
        <v>0</v>
      </c>
      <c r="O196" s="95" t="e">
        <f>Tabella8[[#This Row],[Lombardy fit]]</f>
        <v>#VALUE!</v>
      </c>
      <c r="P196" s="90" t="e">
        <f>Tabella3[[#This Row],[Lombardy cumul. Fit]]/Kl</f>
        <v>#VALUE!</v>
      </c>
      <c r="Q196" s="90">
        <f>IFERROR(Kl*_xlfn.LOGNORM.DIST((Tabella3[[#This Row],[Day]]-pl),mu_l,sigma_l,FALSE),0)</f>
        <v>13.951212814257888</v>
      </c>
      <c r="R196" s="90">
        <f>Tabella3[[#This Row],[Lombardy fit]]/y_l_peak</f>
        <v>7.9360489908003509E-3</v>
      </c>
      <c r="S196" s="10">
        <f>Tabella3[[#This Row],[Lombardy fit]]*NOT(ISBLANK(Tabella3[[#This Row],[Lombardy data]]))</f>
        <v>0</v>
      </c>
      <c r="T196" s="145"/>
      <c r="U196" s="145"/>
      <c r="V196" s="145"/>
      <c r="W196" s="10"/>
      <c r="X196" s="10">
        <f>Tabella3[[#This Row],[rest of Italy data]]*NOT(ISBLANK(Tabella3[[#This Row],[rest of Italy data]]))</f>
        <v>0</v>
      </c>
      <c r="Y196" s="95" t="e">
        <f>Tabella8[[#This Row],[rest of Italy fit]]</f>
        <v>#VALUE!</v>
      </c>
      <c r="Z196" s="90" t="e">
        <f>Tabella3[[#This Row],[rest of Italy cumul. Fit]]/Ka</f>
        <v>#VALUE!</v>
      </c>
      <c r="AA196" s="90">
        <f>IFERROR(Ka*_xlfn.LOGNORM.DIST((Tabella3[[#This Row],[Day]]-pa),mu_a,sigma_a,FALSE),0)</f>
        <v>12.563808255622892</v>
      </c>
      <c r="AB196" s="90">
        <f>Tabella3[[#This Row],[rest of Italy fit]]/y_a_peak</f>
        <v>3.7180390256545074E-3</v>
      </c>
      <c r="AC196" s="10">
        <f>Tabella3[[#This Row],[rest of Italy fit]]*NOT(ISBLANK(Tabella3[[#This Row],[rest of Italy data]]))</f>
        <v>0</v>
      </c>
      <c r="AD196" s="145"/>
      <c r="AE196" s="145"/>
    </row>
    <row r="197" spans="2:31" x14ac:dyDescent="0.3">
      <c r="B197" s="9">
        <v>44020</v>
      </c>
      <c r="C197" s="4">
        <v>190</v>
      </c>
      <c r="D197" s="145"/>
      <c r="E197" s="10"/>
      <c r="F197" s="10">
        <f>Tabella3[[#This Row],[Spain daily cases]]*NOT(ISBLANK(Tabella3[[#This Row],[Spain daily cases]]))</f>
        <v>0</v>
      </c>
      <c r="G197" s="90">
        <f>IFERROR(Kf*_xlfn.LOGNORM.DIST((Tabella3[[#This Row],[Day]]-pf),mu_f,sigma_f,FALSE),0)</f>
        <v>12.527634926173684</v>
      </c>
      <c r="H197" s="90">
        <f>Tabella3[[#This Row],[Spain daily cases fit]]/y_f_peak</f>
        <v>1.8768932049432862E-3</v>
      </c>
      <c r="I197" s="10">
        <f>Tabella3[[#This Row],[Spain daily cases fit]]*NOT(ISBLANK(Tabella3[[#This Row],[Spain daily cases]]))</f>
        <v>0</v>
      </c>
      <c r="J197" s="145"/>
      <c r="K197" s="145"/>
      <c r="L197" s="145"/>
      <c r="M197" s="10"/>
      <c r="N197" s="10">
        <f>Tabella3[[#This Row],[Lombardy data]]*NOT(ISBLANK(Tabella3[[#This Row],[Lombardy data]]))</f>
        <v>0</v>
      </c>
      <c r="O197" s="95" t="e">
        <f>Tabella8[[#This Row],[Lombardy fit]]</f>
        <v>#VALUE!</v>
      </c>
      <c r="P197" s="90" t="e">
        <f>Tabella3[[#This Row],[Lombardy cumul. Fit]]/Kl</f>
        <v>#VALUE!</v>
      </c>
      <c r="Q197" s="90">
        <f>IFERROR(Kl*_xlfn.LOGNORM.DIST((Tabella3[[#This Row],[Day]]-pl),mu_l,sigma_l,FALSE),0)</f>
        <v>13.16647292767267</v>
      </c>
      <c r="R197" s="90">
        <f>Tabella3[[#This Row],[Lombardy fit]]/y_l_peak</f>
        <v>7.4896552422503496E-3</v>
      </c>
      <c r="S197" s="10">
        <f>Tabella3[[#This Row],[Lombardy fit]]*NOT(ISBLANK(Tabella3[[#This Row],[Lombardy data]]))</f>
        <v>0</v>
      </c>
      <c r="T197" s="145"/>
      <c r="U197" s="145"/>
      <c r="V197" s="145"/>
      <c r="W197" s="10"/>
      <c r="X197" s="10">
        <f>Tabella3[[#This Row],[rest of Italy data]]*NOT(ISBLANK(Tabella3[[#This Row],[rest of Italy data]]))</f>
        <v>0</v>
      </c>
      <c r="Y197" s="95" t="e">
        <f>Tabella8[[#This Row],[rest of Italy fit]]</f>
        <v>#VALUE!</v>
      </c>
      <c r="Z197" s="90" t="e">
        <f>Tabella3[[#This Row],[rest of Italy cumul. Fit]]/Ka</f>
        <v>#VALUE!</v>
      </c>
      <c r="AA197" s="90">
        <f>IFERROR(Ka*_xlfn.LOGNORM.DIST((Tabella3[[#This Row],[Day]]-pa),mu_a,sigma_a,FALSE),0)</f>
        <v>11.728938205609783</v>
      </c>
      <c r="AB197" s="90">
        <f>Tabella3[[#This Row],[rest of Italy fit]]/y_a_peak</f>
        <v>3.4709738552743683E-3</v>
      </c>
      <c r="AC197" s="10">
        <f>Tabella3[[#This Row],[rest of Italy fit]]*NOT(ISBLANK(Tabella3[[#This Row],[rest of Italy data]]))</f>
        <v>0</v>
      </c>
      <c r="AD197" s="145"/>
      <c r="AE197" s="145"/>
    </row>
    <row r="198" spans="2:31" x14ac:dyDescent="0.3">
      <c r="B198" s="9">
        <v>44021</v>
      </c>
      <c r="C198" s="4">
        <v>191</v>
      </c>
      <c r="D198" s="145"/>
      <c r="E198" s="10"/>
      <c r="F198" s="10">
        <f>Tabella3[[#This Row],[Spain daily cases]]*NOT(ISBLANK(Tabella3[[#This Row],[Spain daily cases]]))</f>
        <v>0</v>
      </c>
      <c r="G198" s="90">
        <f>IFERROR(Kf*_xlfn.LOGNORM.DIST((Tabella3[[#This Row],[Day]]-pf),mu_f,sigma_f,FALSE),0)</f>
        <v>11.509972785401223</v>
      </c>
      <c r="H198" s="90">
        <f>Tabella3[[#This Row],[Spain daily cases fit]]/y_f_peak</f>
        <v>1.7244268241619254E-3</v>
      </c>
      <c r="I198" s="10">
        <f>Tabella3[[#This Row],[Spain daily cases fit]]*NOT(ISBLANK(Tabella3[[#This Row],[Spain daily cases]]))</f>
        <v>0</v>
      </c>
      <c r="J198" s="145"/>
      <c r="K198" s="145"/>
      <c r="L198" s="145"/>
      <c r="M198" s="10"/>
      <c r="N198" s="10">
        <f>Tabella3[[#This Row],[Lombardy data]]*NOT(ISBLANK(Tabella3[[#This Row],[Lombardy data]]))</f>
        <v>0</v>
      </c>
      <c r="O198" s="95" t="e">
        <f>Tabella8[[#This Row],[Lombardy fit]]</f>
        <v>#VALUE!</v>
      </c>
      <c r="P198" s="90" t="e">
        <f>Tabella3[[#This Row],[Lombardy cumul. Fit]]/Kl</f>
        <v>#VALUE!</v>
      </c>
      <c r="Q198" s="90">
        <f>IFERROR(Kl*_xlfn.LOGNORM.DIST((Tabella3[[#This Row],[Day]]-pl),mu_l,sigma_l,FALSE),0)</f>
        <v>12.426150488902081</v>
      </c>
      <c r="R198" s="90">
        <f>Tabella3[[#This Row],[Lombardy fit]]/y_l_peak</f>
        <v>7.0685280455475797E-3</v>
      </c>
      <c r="S198" s="10">
        <f>Tabella3[[#This Row],[Lombardy fit]]*NOT(ISBLANK(Tabella3[[#This Row],[Lombardy data]]))</f>
        <v>0</v>
      </c>
      <c r="T198" s="145"/>
      <c r="U198" s="145"/>
      <c r="V198" s="145"/>
      <c r="W198" s="10"/>
      <c r="X198" s="10">
        <f>Tabella3[[#This Row],[rest of Italy data]]*NOT(ISBLANK(Tabella3[[#This Row],[rest of Italy data]]))</f>
        <v>0</v>
      </c>
      <c r="Y198" s="95" t="e">
        <f>Tabella8[[#This Row],[rest of Italy fit]]</f>
        <v>#VALUE!</v>
      </c>
      <c r="Z198" s="90" t="e">
        <f>Tabella3[[#This Row],[rest of Italy cumul. Fit]]/Ka</f>
        <v>#VALUE!</v>
      </c>
      <c r="AA198" s="90">
        <f>IFERROR(Ka*_xlfn.LOGNORM.DIST((Tabella3[[#This Row],[Day]]-pa),mu_a,sigma_a,FALSE),0)</f>
        <v>10.949919988086478</v>
      </c>
      <c r="AB198" s="90">
        <f>Tabella3[[#This Row],[rest of Italy fit]]/y_a_peak</f>
        <v>3.2404370565970106E-3</v>
      </c>
      <c r="AC198" s="10">
        <f>Tabella3[[#This Row],[rest of Italy fit]]*NOT(ISBLANK(Tabella3[[#This Row],[rest of Italy data]]))</f>
        <v>0</v>
      </c>
      <c r="AD198" s="145"/>
      <c r="AE198" s="145"/>
    </row>
    <row r="199" spans="2:31" x14ac:dyDescent="0.3">
      <c r="B199" s="9">
        <v>44022</v>
      </c>
      <c r="C199" s="4">
        <v>192</v>
      </c>
      <c r="D199" s="145"/>
      <c r="E199" s="10"/>
      <c r="F199" s="10">
        <f>Tabella3[[#This Row],[Spain daily cases]]*NOT(ISBLANK(Tabella3[[#This Row],[Spain daily cases]]))</f>
        <v>0</v>
      </c>
      <c r="G199" s="90">
        <f>IFERROR(Kf*_xlfn.LOGNORM.DIST((Tabella3[[#This Row],[Day]]-pf),mu_f,sigma_f,FALSE),0)</f>
        <v>10.574731702644117</v>
      </c>
      <c r="H199" s="90">
        <f>Tabella3[[#This Row],[Spain daily cases fit]]/y_f_peak</f>
        <v>1.5843087856370951E-3</v>
      </c>
      <c r="I199" s="10">
        <f>Tabella3[[#This Row],[Spain daily cases fit]]*NOT(ISBLANK(Tabella3[[#This Row],[Spain daily cases]]))</f>
        <v>0</v>
      </c>
      <c r="J199" s="145"/>
      <c r="K199" s="145"/>
      <c r="L199" s="145"/>
      <c r="M199" s="10"/>
      <c r="N199" s="10">
        <f>Tabella3[[#This Row],[Lombardy data]]*NOT(ISBLANK(Tabella3[[#This Row],[Lombardy data]]))</f>
        <v>0</v>
      </c>
      <c r="O199" s="95" t="e">
        <f>Tabella8[[#This Row],[Lombardy fit]]</f>
        <v>#VALUE!</v>
      </c>
      <c r="P199" s="90" t="e">
        <f>Tabella3[[#This Row],[Lombardy cumul. Fit]]/Kl</f>
        <v>#VALUE!</v>
      </c>
      <c r="Q199" s="90">
        <f>IFERROR(Kl*_xlfn.LOGNORM.DIST((Tabella3[[#This Row],[Day]]-pl),mu_l,sigma_l,FALSE),0)</f>
        <v>11.727737583666684</v>
      </c>
      <c r="R199" s="90">
        <f>Tabella3[[#This Row],[Lombardy fit]]/y_l_peak</f>
        <v>6.6712407913462222E-3</v>
      </c>
      <c r="S199" s="10">
        <f>Tabella3[[#This Row],[Lombardy fit]]*NOT(ISBLANK(Tabella3[[#This Row],[Lombardy data]]))</f>
        <v>0</v>
      </c>
      <c r="T199" s="145"/>
      <c r="U199" s="145"/>
      <c r="V199" s="145"/>
      <c r="W199" s="10"/>
      <c r="X199" s="10">
        <f>Tabella3[[#This Row],[rest of Italy data]]*NOT(ISBLANK(Tabella3[[#This Row],[rest of Italy data]]))</f>
        <v>0</v>
      </c>
      <c r="Y199" s="95" t="e">
        <f>Tabella8[[#This Row],[rest of Italy fit]]</f>
        <v>#VALUE!</v>
      </c>
      <c r="Z199" s="90" t="e">
        <f>Tabella3[[#This Row],[rest of Italy cumul. Fit]]/Ka</f>
        <v>#VALUE!</v>
      </c>
      <c r="AA199" s="90">
        <f>IFERROR(Ka*_xlfn.LOGNORM.DIST((Tabella3[[#This Row],[Day]]-pa),mu_a,sigma_a,FALSE),0)</f>
        <v>10.223015516586869</v>
      </c>
      <c r="AB199" s="90">
        <f>Tabella3[[#This Row],[rest of Italy fit]]/y_a_peak</f>
        <v>3.0253224083971906E-3</v>
      </c>
      <c r="AC199" s="10">
        <f>Tabella3[[#This Row],[rest of Italy fit]]*NOT(ISBLANK(Tabella3[[#This Row],[rest of Italy data]]))</f>
        <v>0</v>
      </c>
      <c r="AD199" s="145"/>
      <c r="AE199" s="145"/>
    </row>
    <row r="200" spans="2:31" x14ac:dyDescent="0.3">
      <c r="B200" s="9">
        <v>44023</v>
      </c>
      <c r="C200" s="4">
        <v>193</v>
      </c>
      <c r="D200" s="145"/>
      <c r="E200" s="10"/>
      <c r="F200" s="10">
        <f>Tabella3[[#This Row],[Spain daily cases]]*NOT(ISBLANK(Tabella3[[#This Row],[Spain daily cases]]))</f>
        <v>0</v>
      </c>
      <c r="G200" s="90">
        <f>IFERROR(Kf*_xlfn.LOGNORM.DIST((Tabella3[[#This Row],[Day]]-pf),mu_f,sigma_f,FALSE),0)</f>
        <v>9.7152938032395078</v>
      </c>
      <c r="H200" s="90">
        <f>Tabella3[[#This Row],[Spain daily cases fit]]/y_f_peak</f>
        <v>1.4555475978335548E-3</v>
      </c>
      <c r="I200" s="10">
        <f>Tabella3[[#This Row],[Spain daily cases fit]]*NOT(ISBLANK(Tabella3[[#This Row],[Spain daily cases]]))</f>
        <v>0</v>
      </c>
      <c r="J200" s="145"/>
      <c r="K200" s="145"/>
      <c r="L200" s="145"/>
      <c r="M200" s="10"/>
      <c r="N200" s="10">
        <f>Tabella3[[#This Row],[Lombardy data]]*NOT(ISBLANK(Tabella3[[#This Row],[Lombardy data]]))</f>
        <v>0</v>
      </c>
      <c r="O200" s="95" t="e">
        <f>Tabella8[[#This Row],[Lombardy fit]]</f>
        <v>#VALUE!</v>
      </c>
      <c r="P200" s="90" t="e">
        <f>Tabella3[[#This Row],[Lombardy cumul. Fit]]/Kl</f>
        <v>#VALUE!</v>
      </c>
      <c r="Q200" s="90">
        <f>IFERROR(Kl*_xlfn.LOGNORM.DIST((Tabella3[[#This Row],[Day]]-pl),mu_l,sigma_l,FALSE),0)</f>
        <v>11.068865690713725</v>
      </c>
      <c r="R200" s="90">
        <f>Tabella3[[#This Row],[Lombardy fit]]/y_l_peak</f>
        <v>6.2964461630403397E-3</v>
      </c>
      <c r="S200" s="10">
        <f>Tabella3[[#This Row],[Lombardy fit]]*NOT(ISBLANK(Tabella3[[#This Row],[Lombardy data]]))</f>
        <v>0</v>
      </c>
      <c r="T200" s="145"/>
      <c r="U200" s="145"/>
      <c r="V200" s="145"/>
      <c r="W200" s="10"/>
      <c r="X200" s="10">
        <f>Tabella3[[#This Row],[rest of Italy data]]*NOT(ISBLANK(Tabella3[[#This Row],[rest of Italy data]]))</f>
        <v>0</v>
      </c>
      <c r="Y200" s="95" t="e">
        <f>Tabella8[[#This Row],[rest of Italy fit]]</f>
        <v>#VALUE!</v>
      </c>
      <c r="Z200" s="90" t="e">
        <f>Tabella3[[#This Row],[rest of Italy cumul. Fit]]/Ka</f>
        <v>#VALUE!</v>
      </c>
      <c r="AA200" s="90">
        <f>IFERROR(Ka*_xlfn.LOGNORM.DIST((Tabella3[[#This Row],[Day]]-pa),mu_a,sigma_a,FALSE),0)</f>
        <v>9.5447347619737481</v>
      </c>
      <c r="AB200" s="90">
        <f>Tabella3[[#This Row],[rest of Italy fit]]/y_a_peak</f>
        <v>2.8245970976719719E-3</v>
      </c>
      <c r="AC200" s="10">
        <f>Tabella3[[#This Row],[rest of Italy fit]]*NOT(ISBLANK(Tabella3[[#This Row],[rest of Italy data]]))</f>
        <v>0</v>
      </c>
      <c r="AD200" s="145"/>
      <c r="AE200" s="145"/>
    </row>
    <row r="201" spans="2:31" x14ac:dyDescent="0.3">
      <c r="B201" s="9">
        <v>44024</v>
      </c>
      <c r="C201" s="4">
        <v>194</v>
      </c>
      <c r="D201" s="145"/>
      <c r="E201" s="10"/>
      <c r="F201" s="10">
        <f>Tabella3[[#This Row],[Spain daily cases]]*NOT(ISBLANK(Tabella3[[#This Row],[Spain daily cases]]))</f>
        <v>0</v>
      </c>
      <c r="G201" s="90">
        <f>IFERROR(Kf*_xlfn.LOGNORM.DIST((Tabella3[[#This Row],[Day]]-pf),mu_f,sigma_f,FALSE),0)</f>
        <v>8.9255637809932011</v>
      </c>
      <c r="H201" s="90">
        <f>Tabella3[[#This Row],[Spain daily cases fit]]/y_f_peak</f>
        <v>1.3372300605466883E-3</v>
      </c>
      <c r="I201" s="10">
        <f>Tabella3[[#This Row],[Spain daily cases fit]]*NOT(ISBLANK(Tabella3[[#This Row],[Spain daily cases]]))</f>
        <v>0</v>
      </c>
      <c r="J201" s="145"/>
      <c r="K201" s="145"/>
      <c r="L201" s="145"/>
      <c r="M201" s="10"/>
      <c r="N201" s="10">
        <f>Tabella3[[#This Row],[Lombardy data]]*NOT(ISBLANK(Tabella3[[#This Row],[Lombardy data]]))</f>
        <v>0</v>
      </c>
      <c r="O201" s="95" t="e">
        <f>Tabella8[[#This Row],[Lombardy fit]]</f>
        <v>#VALUE!</v>
      </c>
      <c r="P201" s="90" t="e">
        <f>Tabella3[[#This Row],[Lombardy cumul. Fit]]/Kl</f>
        <v>#VALUE!</v>
      </c>
      <c r="Q201" s="90">
        <f>IFERROR(Kl*_xlfn.LOGNORM.DIST((Tabella3[[#This Row],[Day]]-pl),mu_l,sigma_l,FALSE),0)</f>
        <v>10.447298226022081</v>
      </c>
      <c r="R201" s="90">
        <f>Tabella3[[#This Row],[Lombardy fit]]/y_l_peak</f>
        <v>5.9428718955874598E-3</v>
      </c>
      <c r="S201" s="10">
        <f>Tabella3[[#This Row],[Lombardy fit]]*NOT(ISBLANK(Tabella3[[#This Row],[Lombardy data]]))</f>
        <v>0</v>
      </c>
      <c r="T201" s="145"/>
      <c r="U201" s="145"/>
      <c r="V201" s="145"/>
      <c r="W201" s="10"/>
      <c r="X201" s="10">
        <f>Tabella3[[#This Row],[rest of Italy data]]*NOT(ISBLANK(Tabella3[[#This Row],[rest of Italy data]]))</f>
        <v>0</v>
      </c>
      <c r="Y201" s="95" t="e">
        <f>Tabella8[[#This Row],[rest of Italy fit]]</f>
        <v>#VALUE!</v>
      </c>
      <c r="Z201" s="90" t="e">
        <f>Tabella3[[#This Row],[rest of Italy cumul. Fit]]/Ka</f>
        <v>#VALUE!</v>
      </c>
      <c r="AA201" s="90">
        <f>IFERROR(Ka*_xlfn.LOGNORM.DIST((Tabella3[[#This Row],[Day]]-pa),mu_a,sigma_a,FALSE),0)</f>
        <v>8.9118196584353946</v>
      </c>
      <c r="AB201" s="90">
        <f>Tabella3[[#This Row],[rest of Italy fit]]/y_a_peak</f>
        <v>2.6372969569022661E-3</v>
      </c>
      <c r="AC201" s="10">
        <f>Tabella3[[#This Row],[rest of Italy fit]]*NOT(ISBLANK(Tabella3[[#This Row],[rest of Italy data]]))</f>
        <v>0</v>
      </c>
      <c r="AD201" s="145"/>
      <c r="AE201" s="145"/>
    </row>
    <row r="202" spans="2:31" x14ac:dyDescent="0.3">
      <c r="B202" s="9">
        <v>44025</v>
      </c>
      <c r="C202" s="4">
        <v>195</v>
      </c>
      <c r="D202" s="145"/>
      <c r="E202" s="10"/>
      <c r="F202" s="10">
        <f>Tabella3[[#This Row],[Spain daily cases]]*NOT(ISBLANK(Tabella3[[#This Row],[Spain daily cases]]))</f>
        <v>0</v>
      </c>
      <c r="G202" s="90">
        <f>IFERROR(Kf*_xlfn.LOGNORM.DIST((Tabella3[[#This Row],[Day]]-pf),mu_f,sigma_f,FALSE),0)</f>
        <v>8.199928818077872</v>
      </c>
      <c r="H202" s="90">
        <f>Tabella3[[#This Row],[Spain daily cases fit]]/y_f_peak</f>
        <v>1.2285152600922476E-3</v>
      </c>
      <c r="I202" s="10">
        <f>Tabella3[[#This Row],[Spain daily cases fit]]*NOT(ISBLANK(Tabella3[[#This Row],[Spain daily cases]]))</f>
        <v>0</v>
      </c>
      <c r="J202" s="145"/>
      <c r="K202" s="145"/>
      <c r="L202" s="145"/>
      <c r="M202" s="10"/>
      <c r="N202" s="10">
        <f>Tabella3[[#This Row],[Lombardy data]]*NOT(ISBLANK(Tabella3[[#This Row],[Lombardy data]]))</f>
        <v>0</v>
      </c>
      <c r="O202" s="95" t="e">
        <f>Tabella8[[#This Row],[Lombardy fit]]</f>
        <v>#VALUE!</v>
      </c>
      <c r="P202" s="90" t="e">
        <f>Tabella3[[#This Row],[Lombardy cumul. Fit]]/Kl</f>
        <v>#VALUE!</v>
      </c>
      <c r="Q202" s="90">
        <f>IFERROR(Kl*_xlfn.LOGNORM.DIST((Tabella3[[#This Row],[Day]]-pl),mu_l,sigma_l,FALSE),0)</f>
        <v>9.8609234535114449</v>
      </c>
      <c r="R202" s="90">
        <f>Tabella3[[#This Row],[Lombardy fit]]/y_l_peak</f>
        <v>5.6093167428155075E-3</v>
      </c>
      <c r="S202" s="10">
        <f>Tabella3[[#This Row],[Lombardy fit]]*NOT(ISBLANK(Tabella3[[#This Row],[Lombardy data]]))</f>
        <v>0</v>
      </c>
      <c r="T202" s="145"/>
      <c r="U202" s="145"/>
      <c r="V202" s="145"/>
      <c r="W202" s="10"/>
      <c r="X202" s="10">
        <f>Tabella3[[#This Row],[rest of Italy data]]*NOT(ISBLANK(Tabella3[[#This Row],[rest of Italy data]]))</f>
        <v>0</v>
      </c>
      <c r="Y202" s="95" t="e">
        <f>Tabella8[[#This Row],[rest of Italy fit]]</f>
        <v>#VALUE!</v>
      </c>
      <c r="Z202" s="90" t="e">
        <f>Tabella3[[#This Row],[rest of Italy cumul. Fit]]/Ka</f>
        <v>#VALUE!</v>
      </c>
      <c r="AA202" s="90">
        <f>IFERROR(Ka*_xlfn.LOGNORM.DIST((Tabella3[[#This Row],[Day]]-pa),mu_a,sigma_a,FALSE),0)</f>
        <v>8.3212290055956153</v>
      </c>
      <c r="AB202" s="90">
        <f>Tabella3[[#This Row],[rest of Italy fit]]/y_a_peak</f>
        <v>2.4625219960967052E-3</v>
      </c>
      <c r="AC202" s="10">
        <f>Tabella3[[#This Row],[rest of Italy fit]]*NOT(ISBLANK(Tabella3[[#This Row],[rest of Italy data]]))</f>
        <v>0</v>
      </c>
      <c r="AD202" s="145"/>
      <c r="AE202" s="145"/>
    </row>
    <row r="203" spans="2:31" x14ac:dyDescent="0.3">
      <c r="B203" s="9">
        <v>44026</v>
      </c>
      <c r="C203" s="4">
        <v>196</v>
      </c>
      <c r="D203" s="145"/>
      <c r="E203" s="10"/>
      <c r="F203" s="10">
        <f>Tabella3[[#This Row],[Spain daily cases]]*NOT(ISBLANK(Tabella3[[#This Row],[Spain daily cases]]))</f>
        <v>0</v>
      </c>
      <c r="G203" s="90">
        <f>IFERROR(Kf*_xlfn.LOGNORM.DIST((Tabella3[[#This Row],[Day]]-pf),mu_f,sigma_f,FALSE),0)</f>
        <v>7.5332214283182486</v>
      </c>
      <c r="H203" s="90">
        <f>Tabella3[[#This Row],[Spain daily cases fit]]/y_f_peak</f>
        <v>1.1286290024786162E-3</v>
      </c>
      <c r="I203" s="10">
        <f>Tabella3[[#This Row],[Spain daily cases fit]]*NOT(ISBLANK(Tabella3[[#This Row],[Spain daily cases]]))</f>
        <v>0</v>
      </c>
      <c r="J203" s="145"/>
      <c r="K203" s="145"/>
      <c r="L203" s="145"/>
      <c r="M203" s="10"/>
      <c r="N203" s="10">
        <f>Tabella3[[#This Row],[Lombardy data]]*NOT(ISBLANK(Tabella3[[#This Row],[Lombardy data]]))</f>
        <v>0</v>
      </c>
      <c r="O203" s="95" t="e">
        <f>Tabella8[[#This Row],[Lombardy fit]]</f>
        <v>#VALUE!</v>
      </c>
      <c r="P203" s="90" t="e">
        <f>Tabella3[[#This Row],[Lombardy cumul. Fit]]/Kl</f>
        <v>#VALUE!</v>
      </c>
      <c r="Q203" s="90">
        <f>IFERROR(Kl*_xlfn.LOGNORM.DIST((Tabella3[[#This Row],[Day]]-pl),mu_l,sigma_l,FALSE),0)</f>
        <v>9.3077477476759363</v>
      </c>
      <c r="R203" s="90">
        <f>Tabella3[[#This Row],[Lombardy fit]]/y_l_peak</f>
        <v>5.2946466449194565E-3</v>
      </c>
      <c r="S203" s="10">
        <f>Tabella3[[#This Row],[Lombardy fit]]*NOT(ISBLANK(Tabella3[[#This Row],[Lombardy data]]))</f>
        <v>0</v>
      </c>
      <c r="T203" s="145"/>
      <c r="U203" s="145"/>
      <c r="V203" s="145"/>
      <c r="W203" s="10"/>
      <c r="X203" s="10">
        <f>Tabella3[[#This Row],[rest of Italy data]]*NOT(ISBLANK(Tabella3[[#This Row],[rest of Italy data]]))</f>
        <v>0</v>
      </c>
      <c r="Y203" s="95" t="e">
        <f>Tabella8[[#This Row],[rest of Italy fit]]</f>
        <v>#VALUE!</v>
      </c>
      <c r="Z203" s="90" t="e">
        <f>Tabella3[[#This Row],[rest of Italy cumul. Fit]]/Ka</f>
        <v>#VALUE!</v>
      </c>
      <c r="AA203" s="90">
        <f>IFERROR(Ka*_xlfn.LOGNORM.DIST((Tabella3[[#This Row],[Day]]-pa),mu_a,sigma_a,FALSE),0)</f>
        <v>7.7701243108940767</v>
      </c>
      <c r="AB203" s="90">
        <f>Tabella3[[#This Row],[rest of Italy fit]]/y_a_peak</f>
        <v>2.299432213092042E-3</v>
      </c>
      <c r="AC203" s="10">
        <f>Tabella3[[#This Row],[rest of Italy fit]]*NOT(ISBLANK(Tabella3[[#This Row],[rest of Italy data]]))</f>
        <v>0</v>
      </c>
      <c r="AD203" s="145"/>
      <c r="AE203" s="145"/>
    </row>
    <row r="204" spans="2:31" x14ac:dyDescent="0.3">
      <c r="B204" s="9">
        <v>44027</v>
      </c>
      <c r="C204" s="4">
        <v>197</v>
      </c>
      <c r="D204" s="145"/>
      <c r="E204" s="10"/>
      <c r="F204" s="10">
        <f>Tabella3[[#This Row],[Spain daily cases]]*NOT(ISBLANK(Tabella3[[#This Row],[Spain daily cases]]))</f>
        <v>0</v>
      </c>
      <c r="G204" s="90">
        <f>IFERROR(Kf*_xlfn.LOGNORM.DIST((Tabella3[[#This Row],[Day]]-pf),mu_f,sigma_f,FALSE),0)</f>
        <v>6.9206850294960836</v>
      </c>
      <c r="H204" s="90">
        <f>Tabella3[[#This Row],[Spain daily cases fit]]/y_f_peak</f>
        <v>1.0368586554414603E-3</v>
      </c>
      <c r="I204" s="10">
        <f>Tabella3[[#This Row],[Spain daily cases fit]]*NOT(ISBLANK(Tabella3[[#This Row],[Spain daily cases]]))</f>
        <v>0</v>
      </c>
      <c r="J204" s="145"/>
      <c r="K204" s="145"/>
      <c r="L204" s="145"/>
      <c r="M204" s="10"/>
      <c r="N204" s="10">
        <f>Tabella3[[#This Row],[Lombardy data]]*NOT(ISBLANK(Tabella3[[#This Row],[Lombardy data]]))</f>
        <v>0</v>
      </c>
      <c r="O204" s="95" t="e">
        <f>Tabella8[[#This Row],[Lombardy fit]]</f>
        <v>#VALUE!</v>
      </c>
      <c r="P204" s="90" t="e">
        <f>Tabella3[[#This Row],[Lombardy cumul. Fit]]/Kl</f>
        <v>#VALUE!</v>
      </c>
      <c r="Q204" s="90">
        <f>IFERROR(Kl*_xlfn.LOGNORM.DIST((Tabella3[[#This Row],[Day]]-pl),mu_l,sigma_l,FALSE),0)</f>
        <v>8.7858891937561783</v>
      </c>
      <c r="R204" s="90">
        <f>Tabella3[[#This Row],[Lombardy fit]]/y_l_peak</f>
        <v>4.9977910879643733E-3</v>
      </c>
      <c r="S204" s="10">
        <f>Tabella3[[#This Row],[Lombardy fit]]*NOT(ISBLANK(Tabella3[[#This Row],[Lombardy data]]))</f>
        <v>0</v>
      </c>
      <c r="T204" s="145"/>
      <c r="U204" s="145"/>
      <c r="V204" s="145"/>
      <c r="W204" s="10"/>
      <c r="X204" s="10">
        <f>Tabella3[[#This Row],[rest of Italy data]]*NOT(ISBLANK(Tabella3[[#This Row],[rest of Italy data]]))</f>
        <v>0</v>
      </c>
      <c r="Y204" s="95" t="e">
        <f>Tabella8[[#This Row],[rest of Italy fit]]</f>
        <v>#VALUE!</v>
      </c>
      <c r="Z204" s="90" t="e">
        <f>Tabella3[[#This Row],[rest of Italy cumul. Fit]]/Ka</f>
        <v>#VALUE!</v>
      </c>
      <c r="AA204" s="90">
        <f>IFERROR(Ka*_xlfn.LOGNORM.DIST((Tabella3[[#This Row],[Day]]-pa),mu_a,sigma_a,FALSE),0)</f>
        <v>7.2558565188256035</v>
      </c>
      <c r="AB204" s="90">
        <f>Tabella3[[#This Row],[rest of Italy fit]]/y_a_peak</f>
        <v>2.1472436663039275E-3</v>
      </c>
      <c r="AC204" s="10">
        <f>Tabella3[[#This Row],[rest of Italy fit]]*NOT(ISBLANK(Tabella3[[#This Row],[rest of Italy data]]))</f>
        <v>0</v>
      </c>
      <c r="AD204" s="145"/>
      <c r="AE204" s="145"/>
    </row>
    <row r="205" spans="2:31" x14ac:dyDescent="0.3">
      <c r="B205" s="9">
        <v>44028</v>
      </c>
      <c r="C205" s="4">
        <v>198</v>
      </c>
      <c r="D205" s="145"/>
      <c r="E205" s="10"/>
      <c r="F205" s="10">
        <f>Tabella3[[#This Row],[Spain daily cases]]*NOT(ISBLANK(Tabella3[[#This Row],[Spain daily cases]]))</f>
        <v>0</v>
      </c>
      <c r="G205" s="90">
        <f>IFERROR(Kf*_xlfn.LOGNORM.DIST((Tabella3[[#This Row],[Day]]-pf),mu_f,sigma_f,FALSE),0)</f>
        <v>6.3579420608342323</v>
      </c>
      <c r="H205" s="90">
        <f>Tabella3[[#This Row],[Spain daily cases fit]]/y_f_peak</f>
        <v>9.5254837179771122E-4</v>
      </c>
      <c r="I205" s="10">
        <f>Tabella3[[#This Row],[Spain daily cases fit]]*NOT(ISBLANK(Tabella3[[#This Row],[Spain daily cases]]))</f>
        <v>0</v>
      </c>
      <c r="J205" s="145"/>
      <c r="K205" s="145"/>
      <c r="L205" s="145"/>
      <c r="M205" s="10"/>
      <c r="N205" s="10">
        <f>Tabella3[[#This Row],[Lombardy data]]*NOT(ISBLANK(Tabella3[[#This Row],[Lombardy data]]))</f>
        <v>0</v>
      </c>
      <c r="O205" s="95" t="e">
        <f>Tabella8[[#This Row],[Lombardy fit]]</f>
        <v>#VALUE!</v>
      </c>
      <c r="P205" s="90" t="e">
        <f>Tabella3[[#This Row],[Lombardy cumul. Fit]]/Kl</f>
        <v>#VALUE!</v>
      </c>
      <c r="Q205" s="90">
        <f>IFERROR(Kl*_xlfn.LOGNORM.DIST((Tabella3[[#This Row],[Day]]-pl),mu_l,sigma_l,FALSE),0)</f>
        <v>8.2935715113132673</v>
      </c>
      <c r="R205" s="90">
        <f>Tabella3[[#This Row],[Lombardy fit]]/y_l_peak</f>
        <v>4.7177396473533258E-3</v>
      </c>
      <c r="S205" s="10">
        <f>Tabella3[[#This Row],[Lombardy fit]]*NOT(ISBLANK(Tabella3[[#This Row],[Lombardy data]]))</f>
        <v>0</v>
      </c>
      <c r="T205" s="145"/>
      <c r="U205" s="145"/>
      <c r="V205" s="145"/>
      <c r="W205" s="10"/>
      <c r="X205" s="10">
        <f>Tabella3[[#This Row],[rest of Italy data]]*NOT(ISBLANK(Tabella3[[#This Row],[rest of Italy data]]))</f>
        <v>0</v>
      </c>
      <c r="Y205" s="95" t="e">
        <f>Tabella8[[#This Row],[rest of Italy fit]]</f>
        <v>#VALUE!</v>
      </c>
      <c r="Z205" s="90" t="e">
        <f>Tabella3[[#This Row],[rest of Italy cumul. Fit]]/Ka</f>
        <v>#VALUE!</v>
      </c>
      <c r="AA205" s="90">
        <f>IFERROR(Ka*_xlfn.LOGNORM.DIST((Tabella3[[#This Row],[Day]]-pa),mu_a,sigma_a,FALSE),0)</f>
        <v>6.7759535760435847</v>
      </c>
      <c r="AB205" s="90">
        <f>Tabella3[[#This Row],[rest of Italy fit]]/y_a_peak</f>
        <v>2.0052247948370355E-3</v>
      </c>
      <c r="AC205" s="10">
        <f>Tabella3[[#This Row],[rest of Italy fit]]*NOT(ISBLANK(Tabella3[[#This Row],[rest of Italy data]]))</f>
        <v>0</v>
      </c>
      <c r="AD205" s="145"/>
      <c r="AE205" s="145"/>
    </row>
    <row r="206" spans="2:31" x14ac:dyDescent="0.3">
      <c r="B206" s="9">
        <v>44029</v>
      </c>
      <c r="C206" s="4">
        <v>199</v>
      </c>
      <c r="D206" s="145"/>
      <c r="E206" s="10"/>
      <c r="F206" s="10">
        <f>Tabella3[[#This Row],[Spain daily cases]]*NOT(ISBLANK(Tabella3[[#This Row],[Spain daily cases]]))</f>
        <v>0</v>
      </c>
      <c r="G206" s="90">
        <f>IFERROR(Kf*_xlfn.LOGNORM.DIST((Tabella3[[#This Row],[Day]]-pf),mu_f,sigma_f,FALSE),0)</f>
        <v>5.8409644721038276</v>
      </c>
      <c r="H206" s="90">
        <f>Tabella3[[#This Row],[Spain daily cases fit]]/y_f_peak</f>
        <v>8.750946681166747E-4</v>
      </c>
      <c r="I206" s="10">
        <f>Tabella3[[#This Row],[Spain daily cases fit]]*NOT(ISBLANK(Tabella3[[#This Row],[Spain daily cases]]))</f>
        <v>0</v>
      </c>
      <c r="J206" s="145"/>
      <c r="K206" s="145"/>
      <c r="L206" s="145"/>
      <c r="M206" s="10"/>
      <c r="N206" s="10">
        <f>Tabella3[[#This Row],[Lombardy data]]*NOT(ISBLANK(Tabella3[[#This Row],[Lombardy data]]))</f>
        <v>0</v>
      </c>
      <c r="O206" s="95" t="e">
        <f>Tabella8[[#This Row],[Lombardy fit]]</f>
        <v>#VALUE!</v>
      </c>
      <c r="P206" s="90" t="e">
        <f>Tabella3[[#This Row],[Lombardy cumul. Fit]]/Kl</f>
        <v>#VALUE!</v>
      </c>
      <c r="Q206" s="90">
        <f>IFERROR(Kl*_xlfn.LOGNORM.DIST((Tabella3[[#This Row],[Day]]-pl),mu_l,sigma_l,FALSE),0)</f>
        <v>7.8291182873561276</v>
      </c>
      <c r="R206" s="90">
        <f>Tabella3[[#This Row],[Lombardy fit]]/y_l_peak</f>
        <v>4.4535387073825665E-3</v>
      </c>
      <c r="S206" s="10">
        <f>Tabella3[[#This Row],[Lombardy fit]]*NOT(ISBLANK(Tabella3[[#This Row],[Lombardy data]]))</f>
        <v>0</v>
      </c>
      <c r="T206" s="145"/>
      <c r="U206" s="145"/>
      <c r="V206" s="145"/>
      <c r="W206" s="10"/>
      <c r="X206" s="10">
        <f>Tabella3[[#This Row],[rest of Italy data]]*NOT(ISBLANK(Tabella3[[#This Row],[rest of Italy data]]))</f>
        <v>0</v>
      </c>
      <c r="Y206" s="95" t="e">
        <f>Tabella8[[#This Row],[rest of Italy fit]]</f>
        <v>#VALUE!</v>
      </c>
      <c r="Z206" s="90" t="e">
        <f>Tabella3[[#This Row],[rest of Italy cumul. Fit]]/Ka</f>
        <v>#VALUE!</v>
      </c>
      <c r="AA206" s="90">
        <f>IFERROR(Ka*_xlfn.LOGNORM.DIST((Tabella3[[#This Row],[Day]]-pa),mu_a,sigma_a,FALSE),0)</f>
        <v>6.328108783717787</v>
      </c>
      <c r="AB206" s="90">
        <f>Tabella3[[#This Row],[rest of Italy fit]]/y_a_peak</f>
        <v>1.8726929715693376E-3</v>
      </c>
      <c r="AC206" s="10">
        <f>Tabella3[[#This Row],[rest of Italy fit]]*NOT(ISBLANK(Tabella3[[#This Row],[rest of Italy data]]))</f>
        <v>0</v>
      </c>
      <c r="AD206" s="145"/>
      <c r="AE206" s="145"/>
    </row>
    <row r="207" spans="2:31" x14ac:dyDescent="0.3">
      <c r="B207" s="9">
        <v>44030</v>
      </c>
      <c r="C207" s="4">
        <v>200</v>
      </c>
      <c r="D207" s="145"/>
      <c r="E207" s="10"/>
      <c r="F207" s="10">
        <f>Tabella3[[#This Row],[Spain daily cases]]*NOT(ISBLANK(Tabella3[[#This Row],[Spain daily cases]]))</f>
        <v>0</v>
      </c>
      <c r="G207" s="90">
        <f>IFERROR(Kf*_xlfn.LOGNORM.DIST((Tabella3[[#This Row],[Day]]-pf),mu_f,sigma_f,FALSE),0)</f>
        <v>5.3660464207833511</v>
      </c>
      <c r="H207" s="90">
        <f>Tabella3[[#This Row],[Spain daily cases fit]]/y_f_peak</f>
        <v>8.0394233420199538E-4</v>
      </c>
      <c r="I207" s="10">
        <f>Tabella3[[#This Row],[Spain daily cases fit]]*NOT(ISBLANK(Tabella3[[#This Row],[Spain daily cases]]))</f>
        <v>0</v>
      </c>
      <c r="J207" s="145"/>
      <c r="K207" s="145"/>
      <c r="L207" s="145"/>
      <c r="M207" s="10"/>
      <c r="N207" s="10">
        <f>Tabella3[[#This Row],[Lombardy data]]*NOT(ISBLANK(Tabella3[[#This Row],[Lombardy data]]))</f>
        <v>0</v>
      </c>
      <c r="O207" s="95" t="e">
        <f>Tabella8[[#This Row],[Lombardy fit]]</f>
        <v>#VALUE!</v>
      </c>
      <c r="P207" s="90" t="e">
        <f>Tabella3[[#This Row],[Lombardy cumul. Fit]]/Kl</f>
        <v>#VALUE!</v>
      </c>
      <c r="Q207" s="90">
        <f>IFERROR(Kl*_xlfn.LOGNORM.DIST((Tabella3[[#This Row],[Day]]-pl),mu_l,sigma_l,FALSE),0)</f>
        <v>7.3909475054923606</v>
      </c>
      <c r="R207" s="90">
        <f>Tabella3[[#This Row],[Lombardy fit]]/y_l_peak</f>
        <v>4.2042883491875882E-3</v>
      </c>
      <c r="S207" s="10">
        <f>Tabella3[[#This Row],[Lombardy fit]]*NOT(ISBLANK(Tabella3[[#This Row],[Lombardy data]]))</f>
        <v>0</v>
      </c>
      <c r="T207" s="145"/>
      <c r="U207" s="145"/>
      <c r="V207" s="145"/>
      <c r="W207" s="10"/>
      <c r="X207" s="10">
        <f>Tabella3[[#This Row],[rest of Italy data]]*NOT(ISBLANK(Tabella3[[#This Row],[rest of Italy data]]))</f>
        <v>0</v>
      </c>
      <c r="Y207" s="95" t="e">
        <f>Tabella8[[#This Row],[rest of Italy fit]]</f>
        <v>#VALUE!</v>
      </c>
      <c r="Z207" s="90" t="e">
        <f>Tabella3[[#This Row],[rest of Italy cumul. Fit]]/Ka</f>
        <v>#VALUE!</v>
      </c>
      <c r="AA207" s="90">
        <f>IFERROR(Ka*_xlfn.LOGNORM.DIST((Tabella3[[#This Row],[Day]]-pa),mu_a,sigma_a,FALSE),0)</f>
        <v>5.9101698908789926</v>
      </c>
      <c r="AB207" s="90">
        <f>Tabella3[[#This Row],[rest of Italy fit]]/y_a_peak</f>
        <v>1.7490112755184587E-3</v>
      </c>
      <c r="AC207" s="10">
        <f>Tabella3[[#This Row],[rest of Italy fit]]*NOT(ISBLANK(Tabella3[[#This Row],[rest of Italy data]]))</f>
        <v>0</v>
      </c>
      <c r="AD207" s="145"/>
      <c r="AE207" s="145"/>
    </row>
    <row r="208" spans="2:31" x14ac:dyDescent="0.3">
      <c r="B208" s="9">
        <v>44031</v>
      </c>
      <c r="C208" s="4">
        <v>201</v>
      </c>
      <c r="D208" s="145"/>
      <c r="E208" s="10"/>
      <c r="F208" s="10">
        <f>Tabella3[[#This Row],[Spain daily cases]]*NOT(ISBLANK(Tabella3[[#This Row],[Spain daily cases]]))</f>
        <v>0</v>
      </c>
      <c r="G208" s="90">
        <f>IFERROR(Kf*_xlfn.LOGNORM.DIST((Tabella3[[#This Row],[Day]]-pf),mu_f,sigma_f,FALSE),0)</f>
        <v>4.9297790233600685</v>
      </c>
      <c r="H208" s="90">
        <f>Tabella3[[#This Row],[Spain daily cases fit]]/y_f_peak</f>
        <v>7.3858065032571198E-4</v>
      </c>
      <c r="I208" s="10">
        <f>Tabella3[[#This Row],[Spain daily cases fit]]*NOT(ISBLANK(Tabella3[[#This Row],[Spain daily cases]]))</f>
        <v>0</v>
      </c>
      <c r="J208" s="145"/>
      <c r="K208" s="145"/>
      <c r="L208" s="145"/>
      <c r="M208" s="10"/>
      <c r="N208" s="10">
        <f>Tabella3[[#This Row],[Lombardy data]]*NOT(ISBLANK(Tabella3[[#This Row],[Lombardy data]]))</f>
        <v>0</v>
      </c>
      <c r="O208" s="95" t="e">
        <f>Tabella8[[#This Row],[Lombardy fit]]</f>
        <v>#VALUE!</v>
      </c>
      <c r="P208" s="90" t="e">
        <f>Tabella3[[#This Row],[Lombardy cumul. Fit]]/Kl</f>
        <v>#VALUE!</v>
      </c>
      <c r="Q208" s="90">
        <f>IFERROR(Kl*_xlfn.LOGNORM.DIST((Tabella3[[#This Row],[Day]]-pl),mu_l,sigma_l,FALSE),0)</f>
        <v>6.9775663579236387</v>
      </c>
      <c r="R208" s="90">
        <f>Tabella3[[#This Row],[Lombardy fit]]/y_l_peak</f>
        <v>3.9691393995832987E-3</v>
      </c>
      <c r="S208" s="10">
        <f>Tabella3[[#This Row],[Lombardy fit]]*NOT(ISBLANK(Tabella3[[#This Row],[Lombardy data]]))</f>
        <v>0</v>
      </c>
      <c r="T208" s="145"/>
      <c r="U208" s="145"/>
      <c r="V208" s="145"/>
      <c r="W208" s="10"/>
      <c r="X208" s="10">
        <f>Tabella3[[#This Row],[rest of Italy data]]*NOT(ISBLANK(Tabella3[[#This Row],[rest of Italy data]]))</f>
        <v>0</v>
      </c>
      <c r="Y208" s="95" t="e">
        <f>Tabella8[[#This Row],[rest of Italy fit]]</f>
        <v>#VALUE!</v>
      </c>
      <c r="Z208" s="90" t="e">
        <f>Tabella3[[#This Row],[rest of Italy cumul. Fit]]/Ka</f>
        <v>#VALUE!</v>
      </c>
      <c r="AA208" s="90">
        <f>IFERROR(Ka*_xlfn.LOGNORM.DIST((Tabella3[[#This Row],[Day]]-pa),mu_a,sigma_a,FALSE),0)</f>
        <v>5.5201288847735404</v>
      </c>
      <c r="AB208" s="90">
        <f>Tabella3[[#This Row],[rest of Italy fit]]/y_a_peak</f>
        <v>1.6335854704758999E-3</v>
      </c>
      <c r="AC208" s="10">
        <f>Tabella3[[#This Row],[rest of Italy fit]]*NOT(ISBLANK(Tabella3[[#This Row],[rest of Italy data]]))</f>
        <v>0</v>
      </c>
      <c r="AD208" s="145"/>
      <c r="AE208" s="145"/>
    </row>
    <row r="209" spans="2:31" x14ac:dyDescent="0.3">
      <c r="B209" s="9">
        <v>44032</v>
      </c>
      <c r="C209" s="4">
        <v>202</v>
      </c>
      <c r="D209" s="145"/>
      <c r="E209" s="10"/>
      <c r="F209" s="10">
        <f>Tabella3[[#This Row],[Spain daily cases]]*NOT(ISBLANK(Tabella3[[#This Row],[Spain daily cases]]))</f>
        <v>0</v>
      </c>
      <c r="G209" s="90">
        <f>IFERROR(Kf*_xlfn.LOGNORM.DIST((Tabella3[[#This Row],[Day]]-pf),mu_f,sigma_f,FALSE),0)</f>
        <v>4.5290270161628454</v>
      </c>
      <c r="H209" s="90">
        <f>Tabella3[[#This Row],[Spain daily cases fit]]/y_f_peak</f>
        <v>6.7853989054875174E-4</v>
      </c>
      <c r="I209" s="10">
        <f>Tabella3[[#This Row],[Spain daily cases fit]]*NOT(ISBLANK(Tabella3[[#This Row],[Spain daily cases]]))</f>
        <v>0</v>
      </c>
      <c r="J209" s="145"/>
      <c r="K209" s="145"/>
      <c r="L209" s="145"/>
      <c r="M209" s="10"/>
      <c r="N209" s="10">
        <f>Tabella3[[#This Row],[Lombardy data]]*NOT(ISBLANK(Tabella3[[#This Row],[Lombardy data]]))</f>
        <v>0</v>
      </c>
      <c r="O209" s="95" t="e">
        <f>Tabella8[[#This Row],[Lombardy fit]]</f>
        <v>#VALUE!</v>
      </c>
      <c r="P209" s="90" t="e">
        <f>Tabella3[[#This Row],[Lombardy cumul. Fit]]/Kl</f>
        <v>#VALUE!</v>
      </c>
      <c r="Q209" s="90">
        <f>IFERROR(Kl*_xlfn.LOGNORM.DIST((Tabella3[[#This Row],[Day]]-pl),mu_l,sigma_l,FALSE),0)</f>
        <v>6.5875663274715093</v>
      </c>
      <c r="R209" s="90">
        <f>Tabella3[[#This Row],[Lombardy fit]]/y_l_peak</f>
        <v>3.7472906335090954E-3</v>
      </c>
      <c r="S209" s="10">
        <f>Tabella3[[#This Row],[Lombardy fit]]*NOT(ISBLANK(Tabella3[[#This Row],[Lombardy data]]))</f>
        <v>0</v>
      </c>
      <c r="T209" s="145"/>
      <c r="U209" s="145"/>
      <c r="V209" s="145"/>
      <c r="W209" s="10"/>
      <c r="X209" s="10">
        <f>Tabella3[[#This Row],[rest of Italy data]]*NOT(ISBLANK(Tabella3[[#This Row],[rest of Italy data]]))</f>
        <v>0</v>
      </c>
      <c r="Y209" s="95" t="e">
        <f>Tabella8[[#This Row],[rest of Italy fit]]</f>
        <v>#VALUE!</v>
      </c>
      <c r="Z209" s="90" t="e">
        <f>Tabella3[[#This Row],[rest of Italy cumul. Fit]]/Ka</f>
        <v>#VALUE!</v>
      </c>
      <c r="AA209" s="90">
        <f>IFERROR(Ka*_xlfn.LOGNORM.DIST((Tabella3[[#This Row],[Day]]-pa),mu_a,sigma_a,FALSE),0)</f>
        <v>5.1561124364827862</v>
      </c>
      <c r="AB209" s="90">
        <f>Tabella3[[#This Row],[rest of Italy fit]]/y_a_peak</f>
        <v>1.5258611775554433E-3</v>
      </c>
      <c r="AC209" s="10">
        <f>Tabella3[[#This Row],[rest of Italy fit]]*NOT(ISBLANK(Tabella3[[#This Row],[rest of Italy data]]))</f>
        <v>0</v>
      </c>
      <c r="AD209" s="145"/>
      <c r="AE209" s="145"/>
    </row>
    <row r="210" spans="2:31" x14ac:dyDescent="0.3">
      <c r="B210" s="9">
        <v>44033</v>
      </c>
      <c r="C210" s="4">
        <v>203</v>
      </c>
      <c r="D210" s="145"/>
      <c r="E210" s="10"/>
      <c r="F210" s="10">
        <f>Tabella3[[#This Row],[Spain daily cases]]*NOT(ISBLANK(Tabella3[[#This Row],[Spain daily cases]]))</f>
        <v>0</v>
      </c>
      <c r="G210" s="90">
        <f>IFERROR(Kf*_xlfn.LOGNORM.DIST((Tabella3[[#This Row],[Day]]-pf),mu_f,sigma_f,FALSE),0)</f>
        <v>4.1609071900478725</v>
      </c>
      <c r="H210" s="90">
        <f>Tabella3[[#This Row],[Spain daily cases fit]]/y_f_peak</f>
        <v>6.2338809180048432E-4</v>
      </c>
      <c r="I210" s="10">
        <f>Tabella3[[#This Row],[Spain daily cases fit]]*NOT(ISBLANK(Tabella3[[#This Row],[Spain daily cases]]))</f>
        <v>0</v>
      </c>
      <c r="J210" s="145"/>
      <c r="K210" s="145"/>
      <c r="L210" s="145"/>
      <c r="M210" s="10"/>
      <c r="N210" s="10">
        <f>Tabella3[[#This Row],[Lombardy data]]*NOT(ISBLANK(Tabella3[[#This Row],[Lombardy data]]))</f>
        <v>0</v>
      </c>
      <c r="O210" s="95" t="e">
        <f>Tabella8[[#This Row],[Lombardy fit]]</f>
        <v>#VALUE!</v>
      </c>
      <c r="P210" s="90" t="e">
        <f>Tabella3[[#This Row],[Lombardy cumul. Fit]]/Kl</f>
        <v>#VALUE!</v>
      </c>
      <c r="Q210" s="90">
        <f>IFERROR(Kl*_xlfn.LOGNORM.DIST((Tabella3[[#This Row],[Day]]-pl),mu_l,sigma_l,FALSE),0)</f>
        <v>6.2196185272077651</v>
      </c>
      <c r="R210" s="90">
        <f>Tabella3[[#This Row],[Lombardy fit]]/y_l_peak</f>
        <v>3.5379861230104771E-3</v>
      </c>
      <c r="S210" s="10">
        <f>Tabella3[[#This Row],[Lombardy fit]]*NOT(ISBLANK(Tabella3[[#This Row],[Lombardy data]]))</f>
        <v>0</v>
      </c>
      <c r="T210" s="145"/>
      <c r="U210" s="145"/>
      <c r="V210" s="145"/>
      <c r="W210" s="10"/>
      <c r="X210" s="10">
        <f>Tabella3[[#This Row],[rest of Italy data]]*NOT(ISBLANK(Tabella3[[#This Row],[rest of Italy data]]))</f>
        <v>0</v>
      </c>
      <c r="Y210" s="95" t="e">
        <f>Tabella8[[#This Row],[rest of Italy fit]]</f>
        <v>#VALUE!</v>
      </c>
      <c r="Z210" s="90" t="e">
        <f>Tabella3[[#This Row],[rest of Italy cumul. Fit]]/Ka</f>
        <v>#VALUE!</v>
      </c>
      <c r="AA210" s="90">
        <f>IFERROR(Ka*_xlfn.LOGNORM.DIST((Tabella3[[#This Row],[Day]]-pa),mu_a,sigma_a,FALSE),0)</f>
        <v>4.8163729622247082</v>
      </c>
      <c r="AB210" s="90">
        <f>Tabella3[[#This Row],[rest of Italy fit]]/y_a_peak</f>
        <v>1.4253212299419041E-3</v>
      </c>
      <c r="AC210" s="10">
        <f>Tabella3[[#This Row],[rest of Italy fit]]*NOT(ISBLANK(Tabella3[[#This Row],[rest of Italy data]]))</f>
        <v>0</v>
      </c>
      <c r="AD210" s="145"/>
      <c r="AE210" s="145"/>
    </row>
    <row r="211" spans="2:31" x14ac:dyDescent="0.3">
      <c r="B211" s="9">
        <v>44034</v>
      </c>
      <c r="C211" s="4">
        <v>204</v>
      </c>
      <c r="D211" s="145"/>
      <c r="E211" s="10"/>
      <c r="F211" s="10">
        <f>Tabella3[[#This Row],[Spain daily cases]]*NOT(ISBLANK(Tabella3[[#This Row],[Spain daily cases]]))</f>
        <v>0</v>
      </c>
      <c r="G211" s="90">
        <f>IFERROR(Kf*_xlfn.LOGNORM.DIST((Tabella3[[#This Row],[Day]]-pf),mu_f,sigma_f,FALSE),0)</f>
        <v>3.8227684717934807</v>
      </c>
      <c r="H211" s="90">
        <f>Tabella3[[#This Row],[Spain daily cases fit]]/y_f_peak</f>
        <v>5.7272806966861798E-4</v>
      </c>
      <c r="I211" s="10">
        <f>Tabella3[[#This Row],[Spain daily cases fit]]*NOT(ISBLANK(Tabella3[[#This Row],[Spain daily cases]]))</f>
        <v>0</v>
      </c>
      <c r="J211" s="145"/>
      <c r="K211" s="145"/>
      <c r="L211" s="145"/>
      <c r="M211" s="10"/>
      <c r="N211" s="10">
        <f>Tabella3[[#This Row],[Lombardy data]]*NOT(ISBLANK(Tabella3[[#This Row],[Lombardy data]]))</f>
        <v>0</v>
      </c>
      <c r="O211" s="95" t="e">
        <f>Tabella8[[#This Row],[Lombardy fit]]</f>
        <v>#VALUE!</v>
      </c>
      <c r="P211" s="90" t="e">
        <f>Tabella3[[#This Row],[Lombardy cumul. Fit]]/Kl</f>
        <v>#VALUE!</v>
      </c>
      <c r="Q211" s="90">
        <f>IFERROR(Kl*_xlfn.LOGNORM.DIST((Tabella3[[#This Row],[Day]]-pl),mu_l,sigma_l,FALSE),0)</f>
        <v>5.8724692856566794</v>
      </c>
      <c r="R211" s="90">
        <f>Tabella3[[#This Row],[Lombardy fit]]/y_l_peak</f>
        <v>3.3405127259124811E-3</v>
      </c>
      <c r="S211" s="10">
        <f>Tabella3[[#This Row],[Lombardy fit]]*NOT(ISBLANK(Tabella3[[#This Row],[Lombardy data]]))</f>
        <v>0</v>
      </c>
      <c r="T211" s="145"/>
      <c r="U211" s="145"/>
      <c r="V211" s="145"/>
      <c r="W211" s="10"/>
      <c r="X211" s="10">
        <f>Tabella3[[#This Row],[rest of Italy data]]*NOT(ISBLANK(Tabella3[[#This Row],[rest of Italy data]]))</f>
        <v>0</v>
      </c>
      <c r="Y211" s="95" t="e">
        <f>Tabella8[[#This Row],[rest of Italy fit]]</f>
        <v>#VALUE!</v>
      </c>
      <c r="Z211" s="90" t="e">
        <f>Tabella3[[#This Row],[rest of Italy cumul. Fit]]/Ka</f>
        <v>#VALUE!</v>
      </c>
      <c r="AA211" s="90">
        <f>IFERROR(Ka*_xlfn.LOGNORM.DIST((Tabella3[[#This Row],[Day]]-pa),mu_a,sigma_a,FALSE),0)</f>
        <v>4.4992802628504176</v>
      </c>
      <c r="AB211" s="90">
        <f>Tabella3[[#This Row],[rest of Italy fit]]/y_a_peak</f>
        <v>1.3314831987465375E-3</v>
      </c>
      <c r="AC211" s="10">
        <f>Tabella3[[#This Row],[rest of Italy fit]]*NOT(ISBLANK(Tabella3[[#This Row],[rest of Italy data]]))</f>
        <v>0</v>
      </c>
      <c r="AD211" s="145"/>
      <c r="AE211" s="145"/>
    </row>
    <row r="212" spans="2:31" x14ac:dyDescent="0.3">
      <c r="B212" s="9">
        <v>44035</v>
      </c>
      <c r="C212" s="4">
        <v>205</v>
      </c>
      <c r="D212" s="145"/>
      <c r="E212" s="10"/>
      <c r="F212" s="10">
        <f>Tabella3[[#This Row],[Spain daily cases]]*NOT(ISBLANK(Tabella3[[#This Row],[Spain daily cases]]))</f>
        <v>0</v>
      </c>
      <c r="G212" s="90">
        <f>IFERROR(Kf*_xlfn.LOGNORM.DIST((Tabella3[[#This Row],[Day]]-pf),mu_f,sigma_f,FALSE),0)</f>
        <v>3.5121735332095523</v>
      </c>
      <c r="H212" s="90">
        <f>Tabella3[[#This Row],[Spain daily cases fit]]/y_f_peak</f>
        <v>5.2619466307165521E-4</v>
      </c>
      <c r="I212" s="10">
        <f>Tabella3[[#This Row],[Spain daily cases fit]]*NOT(ISBLANK(Tabella3[[#This Row],[Spain daily cases]]))</f>
        <v>0</v>
      </c>
      <c r="J212" s="145"/>
      <c r="K212" s="145"/>
      <c r="L212" s="145"/>
      <c r="M212" s="10"/>
      <c r="N212" s="10">
        <f>Tabella3[[#This Row],[Lombardy data]]*NOT(ISBLANK(Tabella3[[#This Row],[Lombardy data]]))</f>
        <v>0</v>
      </c>
      <c r="O212" s="95" t="e">
        <f>Tabella8[[#This Row],[Lombardy fit]]</f>
        <v>#VALUE!</v>
      </c>
      <c r="P212" s="90" t="e">
        <f>Tabella3[[#This Row],[Lombardy cumul. Fit]]/Kl</f>
        <v>#VALUE!</v>
      </c>
      <c r="Q212" s="90">
        <f>IFERROR(Kl*_xlfn.LOGNORM.DIST((Tabella3[[#This Row],[Day]]-pl),mu_l,sigma_l,FALSE),0)</f>
        <v>5.544935965945478</v>
      </c>
      <c r="R212" s="90">
        <f>Tabella3[[#This Row],[Lombardy fit]]/y_l_peak</f>
        <v>3.1541977075729205E-3</v>
      </c>
      <c r="S212" s="10">
        <f>Tabella3[[#This Row],[Lombardy fit]]*NOT(ISBLANK(Tabella3[[#This Row],[Lombardy data]]))</f>
        <v>0</v>
      </c>
      <c r="T212" s="145"/>
      <c r="U212" s="145"/>
      <c r="V212" s="145"/>
      <c r="W212" s="10"/>
      <c r="X212" s="10">
        <f>Tabella3[[#This Row],[rest of Italy data]]*NOT(ISBLANK(Tabella3[[#This Row],[rest of Italy data]]))</f>
        <v>0</v>
      </c>
      <c r="Y212" s="95" t="e">
        <f>Tabella8[[#This Row],[rest of Italy fit]]</f>
        <v>#VALUE!</v>
      </c>
      <c r="Z212" s="90" t="e">
        <f>Tabella3[[#This Row],[rest of Italy cumul. Fit]]/Ka</f>
        <v>#VALUE!</v>
      </c>
      <c r="AA212" s="90">
        <f>IFERROR(Ka*_xlfn.LOGNORM.DIST((Tabella3[[#This Row],[Day]]-pa),mu_a,sigma_a,FALSE),0)</f>
        <v>4.2033137060657424</v>
      </c>
      <c r="AB212" s="90">
        <f>Tabella3[[#This Row],[rest of Italy fit]]/y_a_peak</f>
        <v>1.2438970794724292E-3</v>
      </c>
      <c r="AC212" s="10">
        <f>Tabella3[[#This Row],[rest of Italy fit]]*NOT(ISBLANK(Tabella3[[#This Row],[rest of Italy data]]))</f>
        <v>0</v>
      </c>
      <c r="AD212" s="145"/>
      <c r="AE212" s="145"/>
    </row>
    <row r="213" spans="2:31" x14ac:dyDescent="0.3">
      <c r="B213" s="9">
        <v>44036</v>
      </c>
      <c r="C213" s="4">
        <v>206</v>
      </c>
      <c r="D213" s="145"/>
      <c r="E213" s="10"/>
      <c r="F213" s="10">
        <f>Tabella3[[#This Row],[Spain daily cases]]*NOT(ISBLANK(Tabella3[[#This Row],[Spain daily cases]]))</f>
        <v>0</v>
      </c>
      <c r="G213" s="90">
        <f>IFERROR(Kf*_xlfn.LOGNORM.DIST((Tabella3[[#This Row],[Day]]-pf),mu_f,sigma_f,FALSE),0)</f>
        <v>3.2268818167133615</v>
      </c>
      <c r="H213" s="90">
        <f>Tabella3[[#This Row],[Spain daily cases fit]]/y_f_peak</f>
        <v>4.8345219114668083E-4</v>
      </c>
      <c r="I213" s="10">
        <f>Tabella3[[#This Row],[Spain daily cases fit]]*NOT(ISBLANK(Tabella3[[#This Row],[Spain daily cases]]))</f>
        <v>0</v>
      </c>
      <c r="J213" s="145"/>
      <c r="K213" s="145"/>
      <c r="L213" s="145"/>
      <c r="M213" s="10"/>
      <c r="N213" s="10">
        <f>Tabella3[[#This Row],[Lombardy data]]*NOT(ISBLANK(Tabella3[[#This Row],[Lombardy data]]))</f>
        <v>0</v>
      </c>
      <c r="O213" s="95" t="e">
        <f>Tabella8[[#This Row],[Lombardy fit]]</f>
        <v>#VALUE!</v>
      </c>
      <c r="P213" s="90" t="e">
        <f>Tabella3[[#This Row],[Lombardy cumul. Fit]]/Kl</f>
        <v>#VALUE!</v>
      </c>
      <c r="Q213" s="90">
        <f>IFERROR(Kl*_xlfn.LOGNORM.DIST((Tabella3[[#This Row],[Day]]-pl),mu_l,sigma_l,FALSE),0)</f>
        <v>5.2359030076835298</v>
      </c>
      <c r="R213" s="90">
        <f>Tabella3[[#This Row],[Lombardy fit]]/y_l_peak</f>
        <v>2.9784064893332868E-3</v>
      </c>
      <c r="S213" s="10">
        <f>Tabella3[[#This Row],[Lombardy fit]]*NOT(ISBLANK(Tabella3[[#This Row],[Lombardy data]]))</f>
        <v>0</v>
      </c>
      <c r="T213" s="145"/>
      <c r="U213" s="145"/>
      <c r="V213" s="145"/>
      <c r="W213" s="10"/>
      <c r="X213" s="10">
        <f>Tabella3[[#This Row],[rest of Italy data]]*NOT(ISBLANK(Tabella3[[#This Row],[rest of Italy data]]))</f>
        <v>0</v>
      </c>
      <c r="Y213" s="95" t="e">
        <f>Tabella8[[#This Row],[rest of Italy fit]]</f>
        <v>#VALUE!</v>
      </c>
      <c r="Z213" s="90" t="e">
        <f>Tabella3[[#This Row],[rest of Italy cumul. Fit]]/Ka</f>
        <v>#VALUE!</v>
      </c>
      <c r="AA213" s="90">
        <f>IFERROR(Ka*_xlfn.LOGNORM.DIST((Tabella3[[#This Row],[Day]]-pa),mu_a,sigma_a,FALSE),0)</f>
        <v>3.9270549178529928</v>
      </c>
      <c r="AB213" s="90">
        <f>Tabella3[[#This Row],[rest of Italy fit]]/y_a_peak</f>
        <v>1.1621431291687597E-3</v>
      </c>
      <c r="AC213" s="10">
        <f>Tabella3[[#This Row],[rest of Italy fit]]*NOT(ISBLANK(Tabella3[[#This Row],[rest of Italy data]]))</f>
        <v>0</v>
      </c>
      <c r="AD213" s="145"/>
      <c r="AE213" s="145"/>
    </row>
    <row r="214" spans="2:31" x14ac:dyDescent="0.3">
      <c r="B214" s="9">
        <v>44037</v>
      </c>
      <c r="C214" s="4">
        <v>207</v>
      </c>
      <c r="D214" s="145"/>
      <c r="E214" s="10"/>
      <c r="F214" s="10">
        <f>Tabella3[[#This Row],[Spain daily cases]]*NOT(ISBLANK(Tabella3[[#This Row],[Spain daily cases]]))</f>
        <v>0</v>
      </c>
      <c r="G214" s="90">
        <f>IFERROR(Kf*_xlfn.LOGNORM.DIST((Tabella3[[#This Row],[Day]]-pf),mu_f,sigma_f,FALSE),0)</f>
        <v>2.9648338734785433</v>
      </c>
      <c r="H214" s="90">
        <f>Tabella3[[#This Row],[Spain daily cases fit]]/y_f_peak</f>
        <v>4.4419210678716509E-4</v>
      </c>
      <c r="I214" s="10">
        <f>Tabella3[[#This Row],[Spain daily cases fit]]*NOT(ISBLANK(Tabella3[[#This Row],[Spain daily cases]]))</f>
        <v>0</v>
      </c>
      <c r="J214" s="145"/>
      <c r="K214" s="145"/>
      <c r="L214" s="145"/>
      <c r="M214" s="10"/>
      <c r="N214" s="10">
        <f>Tabella3[[#This Row],[Lombardy data]]*NOT(ISBLANK(Tabella3[[#This Row],[Lombardy data]]))</f>
        <v>0</v>
      </c>
      <c r="O214" s="95" t="e">
        <f>Tabella8[[#This Row],[Lombardy fit]]</f>
        <v>#VALUE!</v>
      </c>
      <c r="P214" s="90" t="e">
        <f>Tabella3[[#This Row],[Lombardy cumul. Fit]]/Kl</f>
        <v>#VALUE!</v>
      </c>
      <c r="Q214" s="90">
        <f>IFERROR(Kl*_xlfn.LOGNORM.DIST((Tabella3[[#This Row],[Day]]-pl),mu_l,sigma_l,FALSE),0)</f>
        <v>4.9443181807676106</v>
      </c>
      <c r="R214" s="90">
        <f>Tabella3[[#This Row],[Lombardy fit]]/y_l_peak</f>
        <v>2.8125405175223003E-3</v>
      </c>
      <c r="S214" s="10">
        <f>Tabella3[[#This Row],[Lombardy fit]]*NOT(ISBLANK(Tabella3[[#This Row],[Lombardy data]]))</f>
        <v>0</v>
      </c>
      <c r="T214" s="145"/>
      <c r="U214" s="145"/>
      <c r="V214" s="145"/>
      <c r="W214" s="10"/>
      <c r="X214" s="10">
        <f>Tabella3[[#This Row],[rest of Italy data]]*NOT(ISBLANK(Tabella3[[#This Row],[rest of Italy data]]))</f>
        <v>0</v>
      </c>
      <c r="Y214" s="95" t="e">
        <f>Tabella8[[#This Row],[rest of Italy fit]]</f>
        <v>#VALUE!</v>
      </c>
      <c r="Z214" s="90" t="e">
        <f>Tabella3[[#This Row],[rest of Italy cumul. Fit]]/Ka</f>
        <v>#VALUE!</v>
      </c>
      <c r="AA214" s="90">
        <f>IFERROR(Ka*_xlfn.LOGNORM.DIST((Tabella3[[#This Row],[Day]]-pa),mu_a,sigma_a,FALSE),0)</f>
        <v>3.6691809514300835</v>
      </c>
      <c r="AB214" s="90">
        <f>Tabella3[[#This Row],[rest of Italy fit]]/y_a_peak</f>
        <v>1.0858298449038875E-3</v>
      </c>
      <c r="AC214" s="10">
        <f>Tabella3[[#This Row],[rest of Italy fit]]*NOT(ISBLANK(Tabella3[[#This Row],[rest of Italy data]]))</f>
        <v>0</v>
      </c>
      <c r="AD214" s="145"/>
      <c r="AE214" s="145"/>
    </row>
    <row r="215" spans="2:31" x14ac:dyDescent="0.3">
      <c r="B215" s="9">
        <v>44038</v>
      </c>
      <c r="C215" s="4">
        <v>208</v>
      </c>
      <c r="D215" s="145"/>
      <c r="E215" s="10"/>
      <c r="F215" s="10">
        <f>Tabella3[[#This Row],[Spain daily cases]]*NOT(ISBLANK(Tabella3[[#This Row],[Spain daily cases]]))</f>
        <v>0</v>
      </c>
      <c r="G215" s="90">
        <f>IFERROR(Kf*_xlfn.LOGNORM.DIST((Tabella3[[#This Row],[Day]]-pf),mu_f,sigma_f,FALSE),0)</f>
        <v>2.7241369172273018</v>
      </c>
      <c r="H215" s="90">
        <f>Tabella3[[#This Row],[Spain daily cases fit]]/y_f_peak</f>
        <v>4.0813083230872144E-4</v>
      </c>
      <c r="I215" s="10">
        <f>Tabella3[[#This Row],[Spain daily cases fit]]*NOT(ISBLANK(Tabella3[[#This Row],[Spain daily cases]]))</f>
        <v>0</v>
      </c>
      <c r="J215" s="145"/>
      <c r="K215" s="145"/>
      <c r="L215" s="145"/>
      <c r="M215" s="10"/>
      <c r="N215" s="10">
        <f>Tabella3[[#This Row],[Lombardy data]]*NOT(ISBLANK(Tabella3[[#This Row],[Lombardy data]]))</f>
        <v>0</v>
      </c>
      <c r="O215" s="95" t="e">
        <f>Tabella8[[#This Row],[Lombardy fit]]</f>
        <v>#VALUE!</v>
      </c>
      <c r="P215" s="90" t="e">
        <f>Tabella3[[#This Row],[Lombardy cumul. Fit]]/Kl</f>
        <v>#VALUE!</v>
      </c>
      <c r="Q215" s="90">
        <f>IFERROR(Kl*_xlfn.LOGNORM.DIST((Tabella3[[#This Row],[Day]]-pl),mu_l,sigma_l,FALSE),0)</f>
        <v>4.6691890407165877</v>
      </c>
      <c r="R215" s="90">
        <f>Tabella3[[#This Row],[Lombardy fit]]/y_l_peak</f>
        <v>2.6560352470980505E-3</v>
      </c>
      <c r="S215" s="10">
        <f>Tabella3[[#This Row],[Lombardy fit]]*NOT(ISBLANK(Tabella3[[#This Row],[Lombardy data]]))</f>
        <v>0</v>
      </c>
      <c r="T215" s="145"/>
      <c r="U215" s="145"/>
      <c r="V215" s="145"/>
      <c r="W215" s="10"/>
      <c r="X215" s="10">
        <f>Tabella3[[#This Row],[rest of Italy data]]*NOT(ISBLANK(Tabella3[[#This Row],[rest of Italy data]]))</f>
        <v>0</v>
      </c>
      <c r="Y215" s="95" t="e">
        <f>Tabella8[[#This Row],[rest of Italy fit]]</f>
        <v>#VALUE!</v>
      </c>
      <c r="Z215" s="90" t="e">
        <f>Tabella3[[#This Row],[rest of Italy cumul. Fit]]/Ka</f>
        <v>#VALUE!</v>
      </c>
      <c r="AA215" s="90">
        <f>IFERROR(Ka*_xlfn.LOGNORM.DIST((Tabella3[[#This Row],[Day]]-pa),mu_a,sigma_a,FALSE),0)</f>
        <v>3.4284579038724243</v>
      </c>
      <c r="AB215" s="90">
        <f>Tabella3[[#This Row],[rest of Italy fit]]/y_a_peak</f>
        <v>1.0145920747163888E-3</v>
      </c>
      <c r="AC215" s="10">
        <f>Tabella3[[#This Row],[rest of Italy fit]]*NOT(ISBLANK(Tabella3[[#This Row],[rest of Italy data]]))</f>
        <v>0</v>
      </c>
      <c r="AD215" s="145"/>
      <c r="AE215" s="145"/>
    </row>
    <row r="216" spans="2:31" x14ac:dyDescent="0.3">
      <c r="B216" s="9">
        <v>44039</v>
      </c>
      <c r="C216" s="4">
        <v>209</v>
      </c>
      <c r="D216" s="145"/>
      <c r="E216" s="10"/>
      <c r="F216" s="10">
        <f>Tabella3[[#This Row],[Spain daily cases]]*NOT(ISBLANK(Tabella3[[#This Row],[Spain daily cases]]))</f>
        <v>0</v>
      </c>
      <c r="G216" s="90">
        <f>IFERROR(Kf*_xlfn.LOGNORM.DIST((Tabella3[[#This Row],[Day]]-pf),mu_f,sigma_f,FALSE),0)</f>
        <v>2.5030515033167084</v>
      </c>
      <c r="H216" s="90">
        <f>Tabella3[[#This Row],[Spain daily cases fit]]/y_f_peak</f>
        <v>3.7500776370668915E-4</v>
      </c>
      <c r="I216" s="10">
        <f>Tabella3[[#This Row],[Spain daily cases fit]]*NOT(ISBLANK(Tabella3[[#This Row],[Spain daily cases]]))</f>
        <v>0</v>
      </c>
      <c r="J216" s="145"/>
      <c r="K216" s="145"/>
      <c r="L216" s="145"/>
      <c r="M216" s="10"/>
      <c r="N216" s="10">
        <f>Tabella3[[#This Row],[Lombardy data]]*NOT(ISBLANK(Tabella3[[#This Row],[Lombardy data]]))</f>
        <v>0</v>
      </c>
      <c r="O216" s="95" t="e">
        <f>Tabella8[[#This Row],[Lombardy fit]]</f>
        <v>#VALUE!</v>
      </c>
      <c r="P216" s="90" t="e">
        <f>Tabella3[[#This Row],[Lombardy cumul. Fit]]/Kl</f>
        <v>#VALUE!</v>
      </c>
      <c r="Q216" s="90">
        <f>IFERROR(Kl*_xlfn.LOGNORM.DIST((Tabella3[[#This Row],[Day]]-pl),mu_l,sigma_l,FALSE),0)</f>
        <v>4.4095795755502216</v>
      </c>
      <c r="R216" s="90">
        <f>Tabella3[[#This Row],[Lombardy fit]]/y_l_peak</f>
        <v>2.5083582342486587E-3</v>
      </c>
      <c r="S216" s="10">
        <f>Tabella3[[#This Row],[Lombardy fit]]*NOT(ISBLANK(Tabella3[[#This Row],[Lombardy data]]))</f>
        <v>0</v>
      </c>
      <c r="T216" s="145"/>
      <c r="U216" s="145"/>
      <c r="V216" s="145"/>
      <c r="W216" s="10"/>
      <c r="X216" s="10">
        <f>Tabella3[[#This Row],[rest of Italy data]]*NOT(ISBLANK(Tabella3[[#This Row],[rest of Italy data]]))</f>
        <v>0</v>
      </c>
      <c r="Y216" s="95" t="e">
        <f>Tabella8[[#This Row],[rest of Italy fit]]</f>
        <v>#VALUE!</v>
      </c>
      <c r="Z216" s="90" t="e">
        <f>Tabella3[[#This Row],[rest of Italy cumul. Fit]]/Ka</f>
        <v>#VALUE!</v>
      </c>
      <c r="AA216" s="90">
        <f>IFERROR(Ka*_xlfn.LOGNORM.DIST((Tabella3[[#This Row],[Day]]-pa),mu_a,sigma_a,FALSE),0)</f>
        <v>3.2037349522287442</v>
      </c>
      <c r="AB216" s="90">
        <f>Tabella3[[#This Row],[rest of Italy fit]]/y_a_peak</f>
        <v>9.4808925270797938E-4</v>
      </c>
      <c r="AC216" s="10">
        <f>Tabella3[[#This Row],[rest of Italy fit]]*NOT(ISBLANK(Tabella3[[#This Row],[rest of Italy data]]))</f>
        <v>0</v>
      </c>
      <c r="AD216" s="145"/>
      <c r="AE216" s="145"/>
    </row>
    <row r="217" spans="2:31" x14ac:dyDescent="0.3">
      <c r="B217" s="9">
        <v>44040</v>
      </c>
      <c r="C217" s="4">
        <v>210</v>
      </c>
      <c r="D217" s="145"/>
      <c r="E217" s="10"/>
      <c r="F217" s="10">
        <f>Tabella3[[#This Row],[Spain daily cases]]*NOT(ISBLANK(Tabella3[[#This Row],[Spain daily cases]]))</f>
        <v>0</v>
      </c>
      <c r="G217" s="90">
        <f>IFERROR(Kf*_xlfn.LOGNORM.DIST((Tabella3[[#This Row],[Day]]-pf),mu_f,sigma_f,FALSE),0)</f>
        <v>2.2999792489783486</v>
      </c>
      <c r="H217" s="90">
        <f>Tabella3[[#This Row],[Spain daily cases fit]]/y_f_peak</f>
        <v>3.4458343089955527E-4</v>
      </c>
      <c r="I217" s="10">
        <f>Tabella3[[#This Row],[Spain daily cases fit]]*NOT(ISBLANK(Tabella3[[#This Row],[Spain daily cases]]))</f>
        <v>0</v>
      </c>
      <c r="J217" s="145"/>
      <c r="K217" s="145"/>
      <c r="L217" s="145"/>
      <c r="M217" s="10"/>
      <c r="N217" s="10">
        <f>Tabella3[[#This Row],[Lombardy data]]*NOT(ISBLANK(Tabella3[[#This Row],[Lombardy data]]))</f>
        <v>0</v>
      </c>
      <c r="O217" s="95" t="e">
        <f>Tabella8[[#This Row],[Lombardy fit]]</f>
        <v>#VALUE!</v>
      </c>
      <c r="P217" s="90" t="e">
        <f>Tabella3[[#This Row],[Lombardy cumul. Fit]]/Kl</f>
        <v>#VALUE!</v>
      </c>
      <c r="Q217" s="90">
        <f>IFERROR(Kl*_xlfn.LOGNORM.DIST((Tabella3[[#This Row],[Day]]-pl),mu_l,sigma_l,FALSE),0)</f>
        <v>4.1646070346273749</v>
      </c>
      <c r="R217" s="90">
        <f>Tabella3[[#This Row],[Lombardy fit]]/y_l_peak</f>
        <v>2.3690073324992636E-3</v>
      </c>
      <c r="S217" s="10">
        <f>Tabella3[[#This Row],[Lombardy fit]]*NOT(ISBLANK(Tabella3[[#This Row],[Lombardy data]]))</f>
        <v>0</v>
      </c>
      <c r="T217" s="145"/>
      <c r="U217" s="145"/>
      <c r="V217" s="145"/>
      <c r="W217" s="10"/>
      <c r="X217" s="10">
        <f>Tabella3[[#This Row],[rest of Italy data]]*NOT(ISBLANK(Tabella3[[#This Row],[rest of Italy data]]))</f>
        <v>0</v>
      </c>
      <c r="Y217" s="95" t="e">
        <f>Tabella8[[#This Row],[rest of Italy fit]]</f>
        <v>#VALUE!</v>
      </c>
      <c r="Z217" s="90" t="e">
        <f>Tabella3[[#This Row],[rest of Italy cumul. Fit]]/Ka</f>
        <v>#VALUE!</v>
      </c>
      <c r="AA217" s="90">
        <f>IFERROR(Ka*_xlfn.LOGNORM.DIST((Tabella3[[#This Row],[Day]]-pa),mu_a,sigma_a,FALSE),0)</f>
        <v>2.9939387825922967</v>
      </c>
      <c r="AB217" s="90">
        <f>Tabella3[[#This Row],[rest of Italy fit]]/y_a_peak</f>
        <v>8.8600375042470123E-4</v>
      </c>
      <c r="AC217" s="10">
        <f>Tabella3[[#This Row],[rest of Italy fit]]*NOT(ISBLANK(Tabella3[[#This Row],[rest of Italy data]]))</f>
        <v>0</v>
      </c>
      <c r="AD217" s="145"/>
      <c r="AE217" s="145"/>
    </row>
    <row r="218" spans="2:31" x14ac:dyDescent="0.3">
      <c r="B218" s="9">
        <v>44041</v>
      </c>
      <c r="C218" s="4">
        <v>211</v>
      </c>
      <c r="D218" s="145"/>
      <c r="E218" s="10"/>
      <c r="F218" s="10">
        <f>Tabella3[[#This Row],[Spain daily cases]]*NOT(ISBLANK(Tabella3[[#This Row],[Spain daily cases]]))</f>
        <v>0</v>
      </c>
      <c r="G218" s="90">
        <f>IFERROR(Kf*_xlfn.LOGNORM.DIST((Tabella3[[#This Row],[Day]]-pf),mu_f,sigma_f,FALSE),0)</f>
        <v>2.1134515164166685</v>
      </c>
      <c r="H218" s="90">
        <f>Tabella3[[#This Row],[Spain daily cases fit]]/y_f_peak</f>
        <v>3.1663780222809264E-4</v>
      </c>
      <c r="I218" s="10">
        <f>Tabella3[[#This Row],[Spain daily cases fit]]*NOT(ISBLANK(Tabella3[[#This Row],[Spain daily cases]]))</f>
        <v>0</v>
      </c>
      <c r="J218" s="145"/>
      <c r="K218" s="145"/>
      <c r="L218" s="145"/>
      <c r="M218" s="10"/>
      <c r="N218" s="10">
        <f>Tabella3[[#This Row],[Lombardy data]]*NOT(ISBLANK(Tabella3[[#This Row],[Lombardy data]]))</f>
        <v>0</v>
      </c>
      <c r="O218" s="95" t="e">
        <f>Tabella8[[#This Row],[Lombardy fit]]</f>
        <v>#VALUE!</v>
      </c>
      <c r="P218" s="90" t="e">
        <f>Tabella3[[#This Row],[Lombardy cumul. Fit]]/Kl</f>
        <v>#VALUE!</v>
      </c>
      <c r="Q218" s="90">
        <f>IFERROR(Kl*_xlfn.LOGNORM.DIST((Tabella3[[#This Row],[Day]]-pl),mu_l,sigma_l,FALSE),0)</f>
        <v>3.9334389302597814</v>
      </c>
      <c r="R218" s="90">
        <f>Tabella3[[#This Row],[Lombardy fit]]/y_l_peak</f>
        <v>2.2375089871011643E-3</v>
      </c>
      <c r="S218" s="10">
        <f>Tabella3[[#This Row],[Lombardy fit]]*NOT(ISBLANK(Tabella3[[#This Row],[Lombardy data]]))</f>
        <v>0</v>
      </c>
      <c r="T218" s="145"/>
      <c r="U218" s="145"/>
      <c r="V218" s="145"/>
      <c r="W218" s="10"/>
      <c r="X218" s="10">
        <f>Tabella3[[#This Row],[rest of Italy data]]*NOT(ISBLANK(Tabella3[[#This Row],[rest of Italy data]]))</f>
        <v>0</v>
      </c>
      <c r="Y218" s="95" t="e">
        <f>Tabella8[[#This Row],[rest of Italy fit]]</f>
        <v>#VALUE!</v>
      </c>
      <c r="Z218" s="90" t="e">
        <f>Tabella3[[#This Row],[rest of Italy cumul. Fit]]/Ka</f>
        <v>#VALUE!</v>
      </c>
      <c r="AA218" s="90">
        <f>IFERROR(Ka*_xlfn.LOGNORM.DIST((Tabella3[[#This Row],[Day]]-pa),mu_a,sigma_a,FALSE),0)</f>
        <v>2.7980683871407384</v>
      </c>
      <c r="AB218" s="90">
        <f>Tabella3[[#This Row],[rest of Italy fit]]/y_a_peak</f>
        <v>8.2803933713199217E-4</v>
      </c>
      <c r="AC218" s="10">
        <f>Tabella3[[#This Row],[rest of Italy fit]]*NOT(ISBLANK(Tabella3[[#This Row],[rest of Italy data]]))</f>
        <v>0</v>
      </c>
      <c r="AD218" s="145"/>
      <c r="AE218" s="145"/>
    </row>
    <row r="219" spans="2:31" x14ac:dyDescent="0.3">
      <c r="B219" s="9">
        <v>44042</v>
      </c>
      <c r="C219" s="4">
        <v>212</v>
      </c>
      <c r="D219" s="145"/>
      <c r="E219" s="10"/>
      <c r="F219" s="10">
        <f>Tabella3[[#This Row],[Spain daily cases]]*NOT(ISBLANK(Tabella3[[#This Row],[Spain daily cases]]))</f>
        <v>0</v>
      </c>
      <c r="G219" s="90">
        <f>IFERROR(Kf*_xlfn.LOGNORM.DIST((Tabella3[[#This Row],[Day]]-pf),mu_f,sigma_f,FALSE),0)</f>
        <v>1.9421189859676919</v>
      </c>
      <c r="H219" s="90">
        <f>Tabella3[[#This Row],[Spain daily cases fit]]/y_f_peak</f>
        <v>2.9096872230355172E-4</v>
      </c>
      <c r="I219" s="10">
        <f>Tabella3[[#This Row],[Spain daily cases fit]]*NOT(ISBLANK(Tabella3[[#This Row],[Spain daily cases]]))</f>
        <v>0</v>
      </c>
      <c r="J219" s="145"/>
      <c r="K219" s="145"/>
      <c r="L219" s="145"/>
      <c r="M219" s="10"/>
      <c r="N219" s="10">
        <f>Tabella3[[#This Row],[Lombardy data]]*NOT(ISBLANK(Tabella3[[#This Row],[Lombardy data]]))</f>
        <v>0</v>
      </c>
      <c r="O219" s="95" t="e">
        <f>Tabella8[[#This Row],[Lombardy fit]]</f>
        <v>#VALUE!</v>
      </c>
      <c r="P219" s="90" t="e">
        <f>Tabella3[[#This Row],[Lombardy cumul. Fit]]/Kl</f>
        <v>#VALUE!</v>
      </c>
      <c r="Q219" s="90">
        <f>IFERROR(Kl*_xlfn.LOGNORM.DIST((Tabella3[[#This Row],[Day]]-pl),mu_l,sigma_l,FALSE),0)</f>
        <v>3.715290203303137</v>
      </c>
      <c r="R219" s="90">
        <f>Tabella3[[#This Row],[Lombardy fit]]/y_l_peak</f>
        <v>2.1134166226983104E-3</v>
      </c>
      <c r="S219" s="10">
        <f>Tabella3[[#This Row],[Lombardy fit]]*NOT(ISBLANK(Tabella3[[#This Row],[Lombardy data]]))</f>
        <v>0</v>
      </c>
      <c r="T219" s="145"/>
      <c r="U219" s="145"/>
      <c r="V219" s="145"/>
      <c r="W219" s="10"/>
      <c r="X219" s="10">
        <f>Tabella3[[#This Row],[rest of Italy data]]*NOT(ISBLANK(Tabella3[[#This Row],[rest of Italy data]]))</f>
        <v>0</v>
      </c>
      <c r="Y219" s="95" t="e">
        <f>Tabella8[[#This Row],[rest of Italy fit]]</f>
        <v>#VALUE!</v>
      </c>
      <c r="Z219" s="90" t="e">
        <f>Tabella3[[#This Row],[rest of Italy cumul. Fit]]/Ka</f>
        <v>#VALUE!</v>
      </c>
      <c r="AA219" s="90">
        <f>IFERROR(Ka*_xlfn.LOGNORM.DIST((Tabella3[[#This Row],[Day]]-pa),mu_a,sigma_a,FALSE),0)</f>
        <v>2.6151902056350362</v>
      </c>
      <c r="AB219" s="90">
        <f>Tabella3[[#This Row],[rest of Italy fit]]/y_a_peak</f>
        <v>7.7391974202637435E-4</v>
      </c>
      <c r="AC219" s="10">
        <f>Tabella3[[#This Row],[rest of Italy fit]]*NOT(ISBLANK(Tabella3[[#This Row],[rest of Italy data]]))</f>
        <v>0</v>
      </c>
      <c r="AD219" s="145"/>
      <c r="AE219" s="145"/>
    </row>
    <row r="220" spans="2:31" x14ac:dyDescent="0.3">
      <c r="B220" s="9">
        <v>44043</v>
      </c>
      <c r="C220" s="4">
        <v>213</v>
      </c>
      <c r="D220" s="145"/>
      <c r="E220" s="10"/>
      <c r="F220" s="10">
        <f>Tabella3[[#This Row],[Spain daily cases]]*NOT(ISBLANK(Tabella3[[#This Row],[Spain daily cases]]))</f>
        <v>0</v>
      </c>
      <c r="G220" s="90">
        <f>IFERROR(Kf*_xlfn.LOGNORM.DIST((Tabella3[[#This Row],[Day]]-pf),mu_f,sigma_f,FALSE),0)</f>
        <v>1.7847420516804255</v>
      </c>
      <c r="H220" s="90">
        <f>Tabella3[[#This Row],[Spain daily cases fit]]/y_f_peak</f>
        <v>2.6739047307141239E-4</v>
      </c>
      <c r="I220" s="10">
        <f>Tabella3[[#This Row],[Spain daily cases fit]]*NOT(ISBLANK(Tabella3[[#This Row],[Spain daily cases]]))</f>
        <v>0</v>
      </c>
      <c r="J220" s="145"/>
      <c r="K220" s="145"/>
      <c r="L220" s="145"/>
      <c r="M220" s="10"/>
      <c r="N220" s="10">
        <f>Tabella3[[#This Row],[Lombardy data]]*NOT(ISBLANK(Tabella3[[#This Row],[Lombardy data]]))</f>
        <v>0</v>
      </c>
      <c r="O220" s="95" t="e">
        <f>Tabella8[[#This Row],[Lombardy fit]]</f>
        <v>#VALUE!</v>
      </c>
      <c r="P220" s="90" t="e">
        <f>Tabella3[[#This Row],[Lombardy cumul. Fit]]/Kl</f>
        <v>#VALUE!</v>
      </c>
      <c r="Q220" s="90">
        <f>IFERROR(Kl*_xlfn.LOGNORM.DIST((Tabella3[[#This Row],[Day]]-pl),mu_l,sigma_l,FALSE),0)</f>
        <v>3.5094205443131448</v>
      </c>
      <c r="R220" s="90">
        <f>Tabella3[[#This Row],[Lombardy fit]]/y_l_peak</f>
        <v>1.9963091194858127E-3</v>
      </c>
      <c r="S220" s="10">
        <f>Tabella3[[#This Row],[Lombardy fit]]*NOT(ISBLANK(Tabella3[[#This Row],[Lombardy data]]))</f>
        <v>0</v>
      </c>
      <c r="T220" s="145"/>
      <c r="U220" s="145"/>
      <c r="V220" s="145"/>
      <c r="W220" s="10"/>
      <c r="X220" s="10">
        <f>Tabella3[[#This Row],[rest of Italy data]]*NOT(ISBLANK(Tabella3[[#This Row],[rest of Italy data]]))</f>
        <v>0</v>
      </c>
      <c r="Y220" s="95" t="e">
        <f>Tabella8[[#This Row],[rest of Italy fit]]</f>
        <v>#VALUE!</v>
      </c>
      <c r="Z220" s="90" t="e">
        <f>Tabella3[[#This Row],[rest of Italy cumul. Fit]]/Ka</f>
        <v>#VALUE!</v>
      </c>
      <c r="AA220" s="90">
        <f>IFERROR(Ka*_xlfn.LOGNORM.DIST((Tabella3[[#This Row],[Day]]-pa),mu_a,sigma_a,FALSE),0)</f>
        <v>2.4444335892707545</v>
      </c>
      <c r="AB220" s="90">
        <f>Tabella3[[#This Row],[rest of Italy fit]]/y_a_peak</f>
        <v>7.2338731184168282E-4</v>
      </c>
      <c r="AC220" s="10">
        <f>Tabella3[[#This Row],[rest of Italy fit]]*NOT(ISBLANK(Tabella3[[#This Row],[rest of Italy data]]))</f>
        <v>0</v>
      </c>
      <c r="AD220" s="145"/>
      <c r="AE220" s="145"/>
    </row>
    <row r="221" spans="2:31" x14ac:dyDescent="0.3">
      <c r="B221" s="9">
        <v>44044</v>
      </c>
      <c r="C221" s="4">
        <v>214</v>
      </c>
      <c r="D221" s="145"/>
      <c r="E221" s="10"/>
      <c r="F221" s="10">
        <f>Tabella3[[#This Row],[Spain daily cases]]*NOT(ISBLANK(Tabella3[[#This Row],[Spain daily cases]]))</f>
        <v>0</v>
      </c>
      <c r="G221" s="90">
        <f>IFERROR(Kf*_xlfn.LOGNORM.DIST((Tabella3[[#This Row],[Day]]-pf),mu_f,sigma_f,FALSE),0)</f>
        <v>1.6401819765220238</v>
      </c>
      <c r="H221" s="90">
        <f>Tabella3[[#This Row],[Spain daily cases fit]]/y_f_peak</f>
        <v>2.4573244868214604E-4</v>
      </c>
      <c r="I221" s="10">
        <f>Tabella3[[#This Row],[Spain daily cases fit]]*NOT(ISBLANK(Tabella3[[#This Row],[Spain daily cases]]))</f>
        <v>0</v>
      </c>
      <c r="J221" s="145"/>
      <c r="K221" s="145"/>
      <c r="L221" s="145"/>
      <c r="M221" s="10"/>
      <c r="N221" s="10">
        <f>Tabella3[[#This Row],[Lombardy data]]*NOT(ISBLANK(Tabella3[[#This Row],[Lombardy data]]))</f>
        <v>0</v>
      </c>
      <c r="O221" s="95" t="e">
        <f>Tabella8[[#This Row],[Lombardy fit]]</f>
        <v>#VALUE!</v>
      </c>
      <c r="P221" s="90" t="e">
        <f>Tabella3[[#This Row],[Lombardy cumul. Fit]]/Kl</f>
        <v>#VALUE!</v>
      </c>
      <c r="Q221" s="90">
        <f>IFERROR(Kl*_xlfn.LOGNORM.DIST((Tabella3[[#This Row],[Day]]-pl),mu_l,sigma_l,FALSE),0)</f>
        <v>3.3151318622232631</v>
      </c>
      <c r="R221" s="90">
        <f>Tabella3[[#This Row],[Lombardy fit]]/y_l_peak</f>
        <v>1.8857893732851414E-3</v>
      </c>
      <c r="S221" s="10">
        <f>Tabella3[[#This Row],[Lombardy fit]]*NOT(ISBLANK(Tabella3[[#This Row],[Lombardy data]]))</f>
        <v>0</v>
      </c>
      <c r="T221" s="145"/>
      <c r="U221" s="145"/>
      <c r="V221" s="145"/>
      <c r="W221" s="10"/>
      <c r="X221" s="10">
        <f>Tabella3[[#This Row],[rest of Italy data]]*NOT(ISBLANK(Tabella3[[#This Row],[rest of Italy data]]))</f>
        <v>0</v>
      </c>
      <c r="Y221" s="95" t="e">
        <f>Tabella8[[#This Row],[rest of Italy fit]]</f>
        <v>#VALUE!</v>
      </c>
      <c r="Z221" s="90" t="e">
        <f>Tabella3[[#This Row],[rest of Italy cumul. Fit]]/Ka</f>
        <v>#VALUE!</v>
      </c>
      <c r="AA221" s="90">
        <f>IFERROR(Ka*_xlfn.LOGNORM.DIST((Tabella3[[#This Row],[Day]]-pa),mu_a,sigma_a,FALSE),0)</f>
        <v>2.2849865661061091</v>
      </c>
      <c r="AB221" s="90">
        <f>Tabella3[[#This Row],[rest of Italy fit]]/y_a_peak</f>
        <v>6.7620175770165757E-4</v>
      </c>
      <c r="AC221" s="10">
        <f>Tabella3[[#This Row],[rest of Italy fit]]*NOT(ISBLANK(Tabella3[[#This Row],[rest of Italy data]]))</f>
        <v>0</v>
      </c>
      <c r="AD221" s="145"/>
      <c r="AE221" s="145"/>
    </row>
    <row r="222" spans="2:31" x14ac:dyDescent="0.3">
      <c r="B222" s="9">
        <v>44045</v>
      </c>
      <c r="C222" s="4">
        <v>215</v>
      </c>
      <c r="D222" s="145"/>
      <c r="E222" s="10"/>
      <c r="F222" s="10">
        <f>Tabella3[[#This Row],[Spain daily cases]]*NOT(ISBLANK(Tabella3[[#This Row],[Spain daily cases]]))</f>
        <v>0</v>
      </c>
      <c r="G222" s="90">
        <f>IFERROR(Kf*_xlfn.LOGNORM.DIST((Tabella3[[#This Row],[Day]]-pf),mu_f,sigma_f,FALSE),0)</f>
        <v>1.5073927489377104</v>
      </c>
      <c r="H222" s="90">
        <f>Tabella3[[#This Row],[Spain daily cases fit]]/y_f_peak</f>
        <v>2.258379354391114E-4</v>
      </c>
      <c r="I222" s="10">
        <f>Tabella3[[#This Row],[Spain daily cases fit]]*NOT(ISBLANK(Tabella3[[#This Row],[Spain daily cases]]))</f>
        <v>0</v>
      </c>
      <c r="J222" s="145"/>
      <c r="K222" s="145"/>
      <c r="L222" s="145"/>
      <c r="M222" s="10"/>
      <c r="N222" s="10">
        <f>Tabella3[[#This Row],[Lombardy data]]*NOT(ISBLANK(Tabella3[[#This Row],[Lombardy data]]))</f>
        <v>0</v>
      </c>
      <c r="O222" s="95" t="e">
        <f>Tabella8[[#This Row],[Lombardy fit]]</f>
        <v>#VALUE!</v>
      </c>
      <c r="P222" s="90" t="e">
        <f>Tabella3[[#This Row],[Lombardy cumul. Fit]]/Kl</f>
        <v>#VALUE!</v>
      </c>
      <c r="Q222" s="90">
        <f>IFERROR(Kl*_xlfn.LOGNORM.DIST((Tabella3[[#This Row],[Day]]-pl),mu_l,sigma_l,FALSE),0)</f>
        <v>3.1317658928650469</v>
      </c>
      <c r="R222" s="90">
        <f>Tabella3[[#This Row],[Lombardy fit]]/y_l_peak</f>
        <v>1.7814829351677894E-3</v>
      </c>
      <c r="S222" s="10">
        <f>Tabella3[[#This Row],[Lombardy fit]]*NOT(ISBLANK(Tabella3[[#This Row],[Lombardy data]]))</f>
        <v>0</v>
      </c>
      <c r="T222" s="145"/>
      <c r="U222" s="145"/>
      <c r="V222" s="145"/>
      <c r="W222" s="10"/>
      <c r="X222" s="10">
        <f>Tabella3[[#This Row],[rest of Italy data]]*NOT(ISBLANK(Tabella3[[#This Row],[rest of Italy data]]))</f>
        <v>0</v>
      </c>
      <c r="Y222" s="95" t="e">
        <f>Tabella8[[#This Row],[rest of Italy fit]]</f>
        <v>#VALUE!</v>
      </c>
      <c r="Z222" s="90" t="e">
        <f>Tabella3[[#This Row],[rest of Italy cumul. Fit]]/Ka</f>
        <v>#VALUE!</v>
      </c>
      <c r="AA222" s="90">
        <f>IFERROR(Ka*_xlfn.LOGNORM.DIST((Tabella3[[#This Row],[Day]]-pa),mu_a,sigma_a,FALSE),0)</f>
        <v>2.1360918885530822</v>
      </c>
      <c r="AB222" s="90">
        <f>Tabella3[[#This Row],[rest of Italy fit]]/y_a_peak</f>
        <v>6.3213898544415854E-4</v>
      </c>
      <c r="AC222" s="10">
        <f>Tabella3[[#This Row],[rest of Italy fit]]*NOT(ISBLANK(Tabella3[[#This Row],[rest of Italy data]]))</f>
        <v>0</v>
      </c>
      <c r="AD222" s="145"/>
      <c r="AE222" s="145"/>
    </row>
    <row r="223" spans="2:31" x14ac:dyDescent="0.3">
      <c r="B223" s="9">
        <v>44046</v>
      </c>
      <c r="C223" s="4">
        <v>216</v>
      </c>
      <c r="D223" s="145"/>
      <c r="E223" s="10"/>
      <c r="F223" s="10">
        <f>Tabella3[[#This Row],[Spain daily cases]]*NOT(ISBLANK(Tabella3[[#This Row],[Spain daily cases]]))</f>
        <v>0</v>
      </c>
      <c r="G223" s="90">
        <f>IFERROR(Kf*_xlfn.LOGNORM.DIST((Tabella3[[#This Row],[Day]]-pf),mu_f,sigma_f,FALSE),0)</f>
        <v>1.3854135867341484</v>
      </c>
      <c r="H223" s="90">
        <f>Tabella3[[#This Row],[Spain daily cases fit]]/y_f_peak</f>
        <v>2.0756298872860201E-4</v>
      </c>
      <c r="I223" s="10">
        <f>Tabella3[[#This Row],[Spain daily cases fit]]*NOT(ISBLANK(Tabella3[[#This Row],[Spain daily cases]]))</f>
        <v>0</v>
      </c>
      <c r="J223" s="145"/>
      <c r="K223" s="145"/>
      <c r="L223" s="145"/>
      <c r="M223" s="10"/>
      <c r="N223" s="10">
        <f>Tabella3[[#This Row],[Lombardy data]]*NOT(ISBLANK(Tabella3[[#This Row],[Lombardy data]]))</f>
        <v>0</v>
      </c>
      <c r="O223" s="95" t="e">
        <f>Tabella8[[#This Row],[Lombardy fit]]</f>
        <v>#VALUE!</v>
      </c>
      <c r="P223" s="90" t="e">
        <f>Tabella3[[#This Row],[Lombardy cumul. Fit]]/Kl</f>
        <v>#VALUE!</v>
      </c>
      <c r="Q223" s="90">
        <f>IFERROR(Kl*_xlfn.LOGNORM.DIST((Tabella3[[#This Row],[Day]]-pl),mu_l,sigma_l,FALSE),0)</f>
        <v>2.9587019400030021</v>
      </c>
      <c r="R223" s="90">
        <f>Tabella3[[#This Row],[Lombardy fit]]/y_l_peak</f>
        <v>1.6830367264588867E-3</v>
      </c>
      <c r="S223" s="10">
        <f>Tabella3[[#This Row],[Lombardy fit]]*NOT(ISBLANK(Tabella3[[#This Row],[Lombardy data]]))</f>
        <v>0</v>
      </c>
      <c r="T223" s="145"/>
      <c r="U223" s="145"/>
      <c r="V223" s="145"/>
      <c r="W223" s="10"/>
      <c r="X223" s="10">
        <f>Tabella3[[#This Row],[rest of Italy data]]*NOT(ISBLANK(Tabella3[[#This Row],[rest of Italy data]]))</f>
        <v>0</v>
      </c>
      <c r="Y223" s="95" t="e">
        <f>Tabella8[[#This Row],[rest of Italy fit]]</f>
        <v>#VALUE!</v>
      </c>
      <c r="Z223" s="90" t="e">
        <f>Tabella3[[#This Row],[rest of Italy cumul. Fit]]/Ka</f>
        <v>#VALUE!</v>
      </c>
      <c r="AA223" s="90">
        <f>IFERROR(Ka*_xlfn.LOGNORM.DIST((Tabella3[[#This Row],[Day]]-pa),mu_a,sigma_a,FALSE),0)</f>
        <v>1.9970433446124605</v>
      </c>
      <c r="AB223" s="90">
        <f>Tabella3[[#This Row],[rest of Italy fit]]/y_a_peak</f>
        <v>5.9099000399577561E-4</v>
      </c>
      <c r="AC223" s="10">
        <f>Tabella3[[#This Row],[rest of Italy fit]]*NOT(ISBLANK(Tabella3[[#This Row],[rest of Italy data]]))</f>
        <v>0</v>
      </c>
      <c r="AD223" s="145"/>
      <c r="AE223" s="145"/>
    </row>
    <row r="224" spans="2:31" x14ac:dyDescent="0.3">
      <c r="B224" s="9">
        <v>44047</v>
      </c>
      <c r="C224" s="4">
        <v>217</v>
      </c>
      <c r="D224" s="145"/>
      <c r="E224" s="10"/>
      <c r="F224" s="10">
        <f>Tabella3[[#This Row],[Spain daily cases]]*NOT(ISBLANK(Tabella3[[#This Row],[Spain daily cases]]))</f>
        <v>0</v>
      </c>
      <c r="G224" s="90">
        <f>IFERROR(Kf*_xlfn.LOGNORM.DIST((Tabella3[[#This Row],[Day]]-pf),mu_f,sigma_f,FALSE),0)</f>
        <v>1.2733620382137607</v>
      </c>
      <c r="H224" s="90">
        <f>Tabella3[[#This Row],[Spain daily cases fit]]/y_f_peak</f>
        <v>1.9077539943017062E-4</v>
      </c>
      <c r="I224" s="10">
        <f>Tabella3[[#This Row],[Spain daily cases fit]]*NOT(ISBLANK(Tabella3[[#This Row],[Spain daily cases]]))</f>
        <v>0</v>
      </c>
      <c r="J224" s="145"/>
      <c r="K224" s="145"/>
      <c r="L224" s="145"/>
      <c r="M224" s="10"/>
      <c r="N224" s="10">
        <f>Tabella3[[#This Row],[Lombardy data]]*NOT(ISBLANK(Tabella3[[#This Row],[Lombardy data]]))</f>
        <v>0</v>
      </c>
      <c r="O224" s="95" t="e">
        <f>Tabella8[[#This Row],[Lombardy fit]]</f>
        <v>#VALUE!</v>
      </c>
      <c r="P224" s="90" t="e">
        <f>Tabella3[[#This Row],[Lombardy cumul. Fit]]/Kl</f>
        <v>#VALUE!</v>
      </c>
      <c r="Q224" s="90">
        <f>IFERROR(Kl*_xlfn.LOGNORM.DIST((Tabella3[[#This Row],[Day]]-pl),mu_l,sigma_l,FALSE),0)</f>
        <v>2.7953547418971674</v>
      </c>
      <c r="R224" s="90">
        <f>Tabella3[[#This Row],[Lombardy fit]]/y_l_peak</f>
        <v>1.5901178251463751E-3</v>
      </c>
      <c r="S224" s="10">
        <f>Tabella3[[#This Row],[Lombardy fit]]*NOT(ISBLANK(Tabella3[[#This Row],[Lombardy data]]))</f>
        <v>0</v>
      </c>
      <c r="T224" s="145"/>
      <c r="U224" s="145"/>
      <c r="V224" s="145"/>
      <c r="W224" s="10"/>
      <c r="X224" s="10">
        <f>Tabella3[[#This Row],[rest of Italy data]]*NOT(ISBLANK(Tabella3[[#This Row],[rest of Italy data]]))</f>
        <v>0</v>
      </c>
      <c r="Y224" s="95" t="e">
        <f>Tabella8[[#This Row],[rest of Italy fit]]</f>
        <v>#VALUE!</v>
      </c>
      <c r="Z224" s="90" t="e">
        <f>Tabella3[[#This Row],[rest of Italy cumul. Fit]]/Ka</f>
        <v>#VALUE!</v>
      </c>
      <c r="AA224" s="90">
        <f>IFERROR(Ka*_xlfn.LOGNORM.DIST((Tabella3[[#This Row],[Day]]-pa),mu_a,sigma_a,FALSE),0)</f>
        <v>1.8671823156621152</v>
      </c>
      <c r="AB224" s="90">
        <f>Tabella3[[#This Row],[rest of Italy fit]]/y_a_peak</f>
        <v>5.5255990670955303E-4</v>
      </c>
      <c r="AC224" s="10">
        <f>Tabella3[[#This Row],[rest of Italy fit]]*NOT(ISBLANK(Tabella3[[#This Row],[rest of Italy data]]))</f>
        <v>0</v>
      </c>
      <c r="AD224" s="145"/>
      <c r="AE224" s="145"/>
    </row>
    <row r="225" spans="2:31" x14ac:dyDescent="0.3">
      <c r="B225" s="9">
        <v>44048</v>
      </c>
      <c r="C225" s="4">
        <v>218</v>
      </c>
      <c r="D225" s="145"/>
      <c r="E225" s="10"/>
      <c r="F225" s="10">
        <f>Tabella3[[#This Row],[Spain daily cases]]*NOT(ISBLANK(Tabella3[[#This Row],[Spain daily cases]]))</f>
        <v>0</v>
      </c>
      <c r="G225" s="90">
        <f>IFERROR(Kf*_xlfn.LOGNORM.DIST((Tabella3[[#This Row],[Day]]-pf),mu_f,sigma_f,FALSE),0)</f>
        <v>1.170427634181652</v>
      </c>
      <c r="H225" s="90">
        <f>Tabella3[[#This Row],[Spain daily cases fit]]/y_f_peak</f>
        <v>1.7535374285881651E-4</v>
      </c>
      <c r="I225" s="10">
        <f>Tabella3[[#This Row],[Spain daily cases fit]]*NOT(ISBLANK(Tabella3[[#This Row],[Spain daily cases]]))</f>
        <v>0</v>
      </c>
      <c r="J225" s="145"/>
      <c r="K225" s="145"/>
      <c r="L225" s="145"/>
      <c r="M225" s="10"/>
      <c r="N225" s="10">
        <f>Tabella3[[#This Row],[Lombardy data]]*NOT(ISBLANK(Tabella3[[#This Row],[Lombardy data]]))</f>
        <v>0</v>
      </c>
      <c r="O225" s="95" t="e">
        <f>Tabella8[[#This Row],[Lombardy fit]]</f>
        <v>#VALUE!</v>
      </c>
      <c r="P225" s="90" t="e">
        <f>Tabella3[[#This Row],[Lombardy cumul. Fit]]/Kl</f>
        <v>#VALUE!</v>
      </c>
      <c r="Q225" s="90">
        <f>IFERROR(Kl*_xlfn.LOGNORM.DIST((Tabella3[[#This Row],[Day]]-pl),mu_l,sigma_l,FALSE),0)</f>
        <v>2.6411724567360562</v>
      </c>
      <c r="R225" s="90">
        <f>Tabella3[[#This Row],[Lombardy fit]]/y_l_peak</f>
        <v>1.5024123199087493E-3</v>
      </c>
      <c r="S225" s="10">
        <f>Tabella3[[#This Row],[Lombardy fit]]*NOT(ISBLANK(Tabella3[[#This Row],[Lombardy data]]))</f>
        <v>0</v>
      </c>
      <c r="T225" s="145"/>
      <c r="U225" s="145"/>
      <c r="V225" s="145"/>
      <c r="W225" s="10"/>
      <c r="X225" s="10">
        <f>Tabella3[[#This Row],[rest of Italy data]]*NOT(ISBLANK(Tabella3[[#This Row],[rest of Italy data]]))</f>
        <v>0</v>
      </c>
      <c r="Y225" s="95" t="e">
        <f>Tabella8[[#This Row],[rest of Italy fit]]</f>
        <v>#VALUE!</v>
      </c>
      <c r="Z225" s="90" t="e">
        <f>Tabella3[[#This Row],[rest of Italy cumul. Fit]]/Ka</f>
        <v>#VALUE!</v>
      </c>
      <c r="AA225" s="90">
        <f>IFERROR(Ka*_xlfn.LOGNORM.DIST((Tabella3[[#This Row],[Day]]-pa),mu_a,sigma_a,FALSE),0)</f>
        <v>1.7458945646766422</v>
      </c>
      <c r="AB225" s="90">
        <f>Tabella3[[#This Row],[rest of Italy fit]]/y_a_peak</f>
        <v>5.1666692089483938E-4</v>
      </c>
      <c r="AC225" s="10">
        <f>Tabella3[[#This Row],[rest of Italy fit]]*NOT(ISBLANK(Tabella3[[#This Row],[rest of Italy data]]))</f>
        <v>0</v>
      </c>
      <c r="AD225" s="145"/>
      <c r="AE225" s="145"/>
    </row>
    <row r="226" spans="2:31" x14ac:dyDescent="0.3">
      <c r="B226" s="9">
        <v>44049</v>
      </c>
      <c r="C226" s="4">
        <v>219</v>
      </c>
      <c r="D226" s="145"/>
      <c r="E226" s="10"/>
      <c r="F226" s="10">
        <f>Tabella3[[#This Row],[Spain daily cases]]*NOT(ISBLANK(Tabella3[[#This Row],[Spain daily cases]]))</f>
        <v>0</v>
      </c>
      <c r="G226" s="90">
        <f>IFERROR(Kf*_xlfn.LOGNORM.DIST((Tabella3[[#This Row],[Day]]-pf),mu_f,sigma_f,FALSE),0)</f>
        <v>1.0758660478917694</v>
      </c>
      <c r="H226" s="90">
        <f>Tabella3[[#This Row],[Spain daily cases fit]]/y_f_peak</f>
        <v>1.611865038067485E-4</v>
      </c>
      <c r="I226" s="10">
        <f>Tabella3[[#This Row],[Spain daily cases fit]]*NOT(ISBLANK(Tabella3[[#This Row],[Spain daily cases]]))</f>
        <v>0</v>
      </c>
      <c r="J226" s="145"/>
      <c r="K226" s="145"/>
      <c r="L226" s="145"/>
      <c r="M226" s="10"/>
      <c r="N226" s="10">
        <f>Tabella3[[#This Row],[Lombardy data]]*NOT(ISBLANK(Tabella3[[#This Row],[Lombardy data]]))</f>
        <v>0</v>
      </c>
      <c r="O226" s="95" t="e">
        <f>Tabella8[[#This Row],[Lombardy fit]]</f>
        <v>#VALUE!</v>
      </c>
      <c r="P226" s="90" t="e">
        <f>Tabella3[[#This Row],[Lombardy cumul. Fit]]/Kl</f>
        <v>#VALUE!</v>
      </c>
      <c r="Q226" s="90">
        <f>IFERROR(Kl*_xlfn.LOGNORM.DIST((Tabella3[[#This Row],[Day]]-pl),mu_l,sigma_l,FALSE),0)</f>
        <v>2.4956347606012477</v>
      </c>
      <c r="R226" s="90">
        <f>Tabella3[[#This Row],[Lombardy fit]]/y_l_peak</f>
        <v>1.4196242281556315E-3</v>
      </c>
      <c r="S226" s="10">
        <f>Tabella3[[#This Row],[Lombardy fit]]*NOT(ISBLANK(Tabella3[[#This Row],[Lombardy data]]))</f>
        <v>0</v>
      </c>
      <c r="T226" s="145"/>
      <c r="U226" s="145"/>
      <c r="V226" s="145"/>
      <c r="W226" s="10"/>
      <c r="X226" s="10">
        <f>Tabella3[[#This Row],[rest of Italy data]]*NOT(ISBLANK(Tabella3[[#This Row],[rest of Italy data]]))</f>
        <v>0</v>
      </c>
      <c r="Y226" s="95" t="e">
        <f>Tabella8[[#This Row],[rest of Italy fit]]</f>
        <v>#VALUE!</v>
      </c>
      <c r="Z226" s="90" t="e">
        <f>Tabella3[[#This Row],[rest of Italy cumul. Fit]]/Ka</f>
        <v>#VALUE!</v>
      </c>
      <c r="AA226" s="90">
        <f>IFERROR(Ka*_xlfn.LOGNORM.DIST((Tabella3[[#This Row],[Day]]-pa),mu_a,sigma_a,FALSE),0)</f>
        <v>1.6326072397624227</v>
      </c>
      <c r="AB226" s="90">
        <f>Tabella3[[#This Row],[rest of Italy fit]]/y_a_peak</f>
        <v>4.8314152106596504E-4</v>
      </c>
      <c r="AC226" s="10">
        <f>Tabella3[[#This Row],[rest of Italy fit]]*NOT(ISBLANK(Tabella3[[#This Row],[rest of Italy data]]))</f>
        <v>0</v>
      </c>
      <c r="AD226" s="145"/>
      <c r="AE226" s="145"/>
    </row>
    <row r="227" spans="2:31" x14ac:dyDescent="0.3">
      <c r="B227" s="9">
        <v>44050</v>
      </c>
      <c r="C227" s="4">
        <v>220</v>
      </c>
      <c r="D227" s="145"/>
      <c r="E227" s="10"/>
      <c r="F227" s="10">
        <f>Tabella3[[#This Row],[Spain daily cases]]*NOT(ISBLANK(Tabella3[[#This Row],[Spain daily cases]]))</f>
        <v>0</v>
      </c>
      <c r="G227" s="325">
        <f>IFERROR(Kf*_xlfn.LOGNORM.DIST((Tabella3[[#This Row],[Day]]-pf),mu_f,sigma_f,FALSE),0)</f>
        <v>0.98899372320751844</v>
      </c>
      <c r="H227" s="90">
        <f>Tabella3[[#This Row],[Spain daily cases fit]]/y_f_peak</f>
        <v>1.4817127173314768E-4</v>
      </c>
      <c r="I227" s="10">
        <f>Tabella3[[#This Row],[Spain daily cases fit]]*NOT(ISBLANK(Tabella3[[#This Row],[Spain daily cases]]))</f>
        <v>0</v>
      </c>
      <c r="J227" s="145"/>
      <c r="K227" s="145"/>
      <c r="L227" s="145"/>
      <c r="M227" s="10"/>
      <c r="N227" s="10">
        <f>Tabella3[[#This Row],[Lombardy data]]*NOT(ISBLANK(Tabella3[[#This Row],[Lombardy data]]))</f>
        <v>0</v>
      </c>
      <c r="O227" s="95" t="e">
        <f>Tabella8[[#This Row],[Lombardy fit]]</f>
        <v>#VALUE!</v>
      </c>
      <c r="P227" s="90" t="e">
        <f>Tabella3[[#This Row],[Lombardy cumul. Fit]]/Kl</f>
        <v>#VALUE!</v>
      </c>
      <c r="Q227" s="90">
        <f>IFERROR(Kl*_xlfn.LOGNORM.DIST((Tabella3[[#This Row],[Day]]-pl),mu_l,sigma_l,FALSE),0)</f>
        <v>2.3582510519313353</v>
      </c>
      <c r="R227" s="90">
        <f>Tabella3[[#This Row],[Lombardy fit]]/y_l_peak</f>
        <v>1.3414744746497557E-3</v>
      </c>
      <c r="S227" s="10">
        <f>Tabella3[[#This Row],[Lombardy fit]]*NOT(ISBLANK(Tabella3[[#This Row],[Lombardy data]]))</f>
        <v>0</v>
      </c>
      <c r="T227" s="145"/>
      <c r="U227" s="145"/>
      <c r="V227" s="145"/>
      <c r="W227" s="10"/>
      <c r="X227" s="10">
        <f>Tabella3[[#This Row],[rest of Italy data]]*NOT(ISBLANK(Tabella3[[#This Row],[rest of Italy data]]))</f>
        <v>0</v>
      </c>
      <c r="Y227" s="95" t="e">
        <f>Tabella8[[#This Row],[rest of Italy fit]]</f>
        <v>#VALUE!</v>
      </c>
      <c r="Z227" s="90" t="e">
        <f>Tabella3[[#This Row],[rest of Italy cumul. Fit]]/Ka</f>
        <v>#VALUE!</v>
      </c>
      <c r="AA227" s="90">
        <f>IFERROR(Ka*_xlfn.LOGNORM.DIST((Tabella3[[#This Row],[Day]]-pa),mu_a,sigma_a,FALSE),0)</f>
        <v>1.5267860788432863</v>
      </c>
      <c r="AB227" s="90">
        <f>Tabella3[[#This Row],[rest of Italy fit]]/y_a_peak</f>
        <v>4.5182560171791794E-4</v>
      </c>
      <c r="AC227" s="10">
        <f>Tabella3[[#This Row],[rest of Italy fit]]*NOT(ISBLANK(Tabella3[[#This Row],[rest of Italy data]]))</f>
        <v>0</v>
      </c>
      <c r="AD227" s="145"/>
      <c r="AE227" s="145"/>
    </row>
    <row r="228" spans="2:31" x14ac:dyDescent="0.3">
      <c r="B228" s="9">
        <v>44051</v>
      </c>
      <c r="C228" s="4">
        <v>221</v>
      </c>
      <c r="D228" s="145"/>
      <c r="E228" s="10"/>
      <c r="F228" s="10">
        <f>Tabella3[[#This Row],[Spain daily cases]]*NOT(ISBLANK(Tabella3[[#This Row],[Spain daily cases]]))</f>
        <v>0</v>
      </c>
      <c r="G228" s="90">
        <f>IFERROR(Kf*_xlfn.LOGNORM.DIST((Tabella3[[#This Row],[Day]]-pf),mu_f,sigma_f,FALSE),0)</f>
        <v>0.90918293423861296</v>
      </c>
      <c r="H228" s="90">
        <f>Tabella3[[#This Row],[Spain daily cases fit]]/y_f_peak</f>
        <v>1.3621400059780071E-4</v>
      </c>
      <c r="I228" s="10">
        <f>Tabella3[[#This Row],[Spain daily cases fit]]*NOT(ISBLANK(Tabella3[[#This Row],[Spain daily cases]]))</f>
        <v>0</v>
      </c>
      <c r="J228" s="145"/>
      <c r="K228" s="145"/>
      <c r="L228" s="145"/>
      <c r="M228" s="10"/>
      <c r="N228" s="10">
        <f>Tabella3[[#This Row],[Lombardy data]]*NOT(ISBLANK(Tabella3[[#This Row],[Lombardy data]]))</f>
        <v>0</v>
      </c>
      <c r="O228" s="95" t="e">
        <f>Tabella8[[#This Row],[Lombardy fit]]</f>
        <v>#VALUE!</v>
      </c>
      <c r="P228" s="90" t="e">
        <f>Tabella3[[#This Row],[Lombardy cumul. Fit]]/Kl</f>
        <v>#VALUE!</v>
      </c>
      <c r="Q228" s="90">
        <f>IFERROR(Kl*_xlfn.LOGNORM.DIST((Tabella3[[#This Row],[Day]]-pl),mu_l,sigma_l,FALSE),0)</f>
        <v>2.2285587567489626</v>
      </c>
      <c r="R228" s="90">
        <f>Tabella3[[#This Row],[Lombardy fit]]/y_l_peak</f>
        <v>1.2676999274473233E-3</v>
      </c>
      <c r="S228" s="10">
        <f>Tabella3[[#This Row],[Lombardy fit]]*NOT(ISBLANK(Tabella3[[#This Row],[Lombardy data]]))</f>
        <v>0</v>
      </c>
      <c r="T228" s="145"/>
      <c r="U228" s="145"/>
      <c r="V228" s="145"/>
      <c r="W228" s="10"/>
      <c r="X228" s="10">
        <f>Tabella3[[#This Row],[rest of Italy data]]*NOT(ISBLANK(Tabella3[[#This Row],[rest of Italy data]]))</f>
        <v>0</v>
      </c>
      <c r="Y228" s="95" t="e">
        <f>Tabella8[[#This Row],[rest of Italy fit]]</f>
        <v>#VALUE!</v>
      </c>
      <c r="Z228" s="90" t="e">
        <f>Tabella3[[#This Row],[rest of Italy cumul. Fit]]/Ka</f>
        <v>#VALUE!</v>
      </c>
      <c r="AA228" s="90">
        <f>IFERROR(Ka*_xlfn.LOGNORM.DIST((Tabella3[[#This Row],[Day]]-pa),mu_a,sigma_a,FALSE),0)</f>
        <v>1.4279328022269551</v>
      </c>
      <c r="AB228" s="90">
        <f>Tabella3[[#This Row],[rest of Italy fit]]/y_a_peak</f>
        <v>4.2257170570204645E-4</v>
      </c>
      <c r="AC228" s="10">
        <f>Tabella3[[#This Row],[rest of Italy fit]]*NOT(ISBLANK(Tabella3[[#This Row],[rest of Italy data]]))</f>
        <v>0</v>
      </c>
      <c r="AD228" s="145"/>
      <c r="AE228" s="145"/>
    </row>
    <row r="229" spans="2:31" x14ac:dyDescent="0.3">
      <c r="B229" s="9">
        <v>44052</v>
      </c>
      <c r="C229" s="4">
        <v>222</v>
      </c>
      <c r="D229" s="145"/>
      <c r="E229" s="10"/>
      <c r="F229" s="10">
        <f>Tabella3[[#This Row],[Spain daily cases]]*NOT(ISBLANK(Tabella3[[#This Row],[Spain daily cases]]))</f>
        <v>0</v>
      </c>
      <c r="G229" s="90">
        <f>IFERROR(Kf*_xlfn.LOGNORM.DIST((Tabella3[[#This Row],[Day]]-pf),mu_f,sigma_f,FALSE),0)</f>
        <v>0.83585724249322391</v>
      </c>
      <c r="H229" s="90">
        <f>Tabella3[[#This Row],[Spain daily cases fit]]/y_f_peak</f>
        <v>1.2522832825056851E-4</v>
      </c>
      <c r="I229" s="10">
        <f>Tabella3[[#This Row],[Spain daily cases fit]]*NOT(ISBLANK(Tabella3[[#This Row],[Spain daily cases]]))</f>
        <v>0</v>
      </c>
      <c r="J229" s="145"/>
      <c r="K229" s="145"/>
      <c r="L229" s="145"/>
      <c r="M229" s="10"/>
      <c r="N229" s="10">
        <f>Tabella3[[#This Row],[Lombardy data]]*NOT(ISBLANK(Tabella3[[#This Row],[Lombardy data]]))</f>
        <v>0</v>
      </c>
      <c r="O229" s="95" t="e">
        <f>Tabella8[[#This Row],[Lombardy fit]]</f>
        <v>#VALUE!</v>
      </c>
      <c r="P229" s="90" t="e">
        <f>Tabella3[[#This Row],[Lombardy cumul. Fit]]/Kl</f>
        <v>#VALUE!</v>
      </c>
      <c r="Q229" s="90">
        <f>IFERROR(Kl*_xlfn.LOGNORM.DIST((Tabella3[[#This Row],[Day]]-pl),mu_l,sigma_l,FALSE),0)</f>
        <v>2.1061217291979557</v>
      </c>
      <c r="R229" s="90">
        <f>Tabella3[[#This Row],[Lombardy fit]]/y_l_peak</f>
        <v>1.1980524880548327E-3</v>
      </c>
      <c r="S229" s="10">
        <f>Tabella3[[#This Row],[Lombardy fit]]*NOT(ISBLANK(Tabella3[[#This Row],[Lombardy data]]))</f>
        <v>0</v>
      </c>
      <c r="T229" s="145"/>
      <c r="U229" s="145"/>
      <c r="V229" s="145"/>
      <c r="W229" s="10"/>
      <c r="X229" s="10">
        <f>Tabella3[[#This Row],[rest of Italy data]]*NOT(ISBLANK(Tabella3[[#This Row],[rest of Italy data]]))</f>
        <v>0</v>
      </c>
      <c r="Y229" s="95" t="e">
        <f>Tabella8[[#This Row],[rest of Italy fit]]</f>
        <v>#VALUE!</v>
      </c>
      <c r="Z229" s="90" t="e">
        <f>Tabella3[[#This Row],[rest of Italy cumul. Fit]]/Ka</f>
        <v>#VALUE!</v>
      </c>
      <c r="AA229" s="90">
        <f>IFERROR(Ka*_xlfn.LOGNORM.DIST((Tabella3[[#This Row],[Day]]-pa),mu_a,sigma_a,FALSE),0)</f>
        <v>1.3355826806260067</v>
      </c>
      <c r="AB229" s="90">
        <f>Tabella3[[#This Row],[rest of Italy fit]]/y_a_peak</f>
        <v>3.9524230452445407E-4</v>
      </c>
      <c r="AC229" s="10">
        <f>Tabella3[[#This Row],[rest of Italy fit]]*NOT(ISBLANK(Tabella3[[#This Row],[rest of Italy data]]))</f>
        <v>0</v>
      </c>
      <c r="AD229" s="145"/>
      <c r="AE229" s="145"/>
    </row>
    <row r="230" spans="2:31" x14ac:dyDescent="0.3">
      <c r="B230" s="9">
        <v>44053</v>
      </c>
      <c r="C230" s="4">
        <v>223</v>
      </c>
      <c r="D230" s="145"/>
      <c r="E230" s="10"/>
      <c r="F230" s="10">
        <f>Tabella3[[#This Row],[Spain daily cases]]*NOT(ISBLANK(Tabella3[[#This Row],[Spain daily cases]]))</f>
        <v>0</v>
      </c>
      <c r="G230" s="90">
        <f>IFERROR(Kf*_xlfn.LOGNORM.DIST((Tabella3[[#This Row],[Day]]-pf),mu_f,sigma_f,FALSE),0)</f>
        <v>0.76848732016495958</v>
      </c>
      <c r="H230" s="90">
        <f>Tabella3[[#This Row],[Spain daily cases fit]]/y_f_peak</f>
        <v>1.1513495067526133E-4</v>
      </c>
      <c r="I230" s="10">
        <f>Tabella3[[#This Row],[Spain daily cases fit]]*NOT(ISBLANK(Tabella3[[#This Row],[Spain daily cases]]))</f>
        <v>0</v>
      </c>
      <c r="J230" s="145"/>
      <c r="K230" s="145"/>
      <c r="L230" s="145"/>
      <c r="M230" s="10"/>
      <c r="N230" s="10">
        <f>Tabella3[[#This Row],[Lombardy data]]*NOT(ISBLANK(Tabella3[[#This Row],[Lombardy data]]))</f>
        <v>0</v>
      </c>
      <c r="O230" s="95" t="e">
        <f>Tabella8[[#This Row],[Lombardy fit]]</f>
        <v>#VALUE!</v>
      </c>
      <c r="P230" s="90" t="e">
        <f>Tabella3[[#This Row],[Lombardy cumul. Fit]]/Kl</f>
        <v>#VALUE!</v>
      </c>
      <c r="Q230" s="90">
        <f>IFERROR(Kl*_xlfn.LOGNORM.DIST((Tabella3[[#This Row],[Day]]-pl),mu_l,sigma_l,FALSE),0)</f>
        <v>1.9905287422103664</v>
      </c>
      <c r="R230" s="90">
        <f>Tabella3[[#This Row],[Lombardy fit]]/y_l_peak</f>
        <v>1.1322982328556763E-3</v>
      </c>
      <c r="S230" s="10">
        <f>Tabella3[[#This Row],[Lombardy fit]]*NOT(ISBLANK(Tabella3[[#This Row],[Lombardy data]]))</f>
        <v>0</v>
      </c>
      <c r="T230" s="145"/>
      <c r="U230" s="145"/>
      <c r="V230" s="145"/>
      <c r="W230" s="10"/>
      <c r="X230" s="10">
        <f>Tabella3[[#This Row],[rest of Italy data]]*NOT(ISBLANK(Tabella3[[#This Row],[rest of Italy data]]))</f>
        <v>0</v>
      </c>
      <c r="Y230" s="95" t="e">
        <f>Tabella8[[#This Row],[rest of Italy fit]]</f>
        <v>#VALUE!</v>
      </c>
      <c r="Z230" s="90" t="e">
        <f>Tabella3[[#This Row],[rest of Italy cumul. Fit]]/Ka</f>
        <v>#VALUE!</v>
      </c>
      <c r="AA230" s="90">
        <f>IFERROR(Ka*_xlfn.LOGNORM.DIST((Tabella3[[#This Row],[Day]]-pa),mu_a,sigma_a,FALSE),0)</f>
        <v>1.2493022670008072</v>
      </c>
      <c r="AB230" s="90">
        <f>Tabella3[[#This Row],[rest of Italy fit]]/y_a_peak</f>
        <v>3.6970912712463706E-4</v>
      </c>
      <c r="AC230" s="10">
        <f>Tabella3[[#This Row],[rest of Italy fit]]*NOT(ISBLANK(Tabella3[[#This Row],[rest of Italy data]]))</f>
        <v>0</v>
      </c>
      <c r="AD230" s="145"/>
      <c r="AE230" s="145"/>
    </row>
    <row r="231" spans="2:31" x14ac:dyDescent="0.3">
      <c r="B231" s="9">
        <v>44054</v>
      </c>
      <c r="C231" s="4">
        <v>224</v>
      </c>
      <c r="D231" s="145"/>
      <c r="E231" s="10"/>
      <c r="F231" s="10">
        <f>Tabella3[[#This Row],[Spain daily cases]]*NOT(ISBLANK(Tabella3[[#This Row],[Spain daily cases]]))</f>
        <v>0</v>
      </c>
      <c r="G231" s="90">
        <f>IFERROR(Kf*_xlfn.LOGNORM.DIST((Tabella3[[#This Row],[Day]]-pf),mu_f,sigma_f,FALSE),0)</f>
        <v>0.70658711057125556</v>
      </c>
      <c r="H231" s="90">
        <f>Tabella3[[#This Row],[Spain daily cases fit]]/y_f_peak</f>
        <v>1.0586104674561727E-4</v>
      </c>
      <c r="I231" s="10">
        <f>Tabella3[[#This Row],[Spain daily cases fit]]*NOT(ISBLANK(Tabella3[[#This Row],[Spain daily cases]]))</f>
        <v>0</v>
      </c>
      <c r="J231" s="145"/>
      <c r="K231" s="145"/>
      <c r="L231" s="145"/>
      <c r="M231" s="10"/>
      <c r="N231" s="10">
        <f>Tabella3[[#This Row],[Lombardy data]]*NOT(ISBLANK(Tabella3[[#This Row],[Lombardy data]]))</f>
        <v>0</v>
      </c>
      <c r="O231" s="95" t="e">
        <f>Tabella8[[#This Row],[Lombardy fit]]</f>
        <v>#VALUE!</v>
      </c>
      <c r="P231" s="90" t="e">
        <f>Tabella3[[#This Row],[Lombardy cumul. Fit]]/Kl</f>
        <v>#VALUE!</v>
      </c>
      <c r="Q231" s="90">
        <f>IFERROR(Kl*_xlfn.LOGNORM.DIST((Tabella3[[#This Row],[Day]]-pl),mu_l,sigma_l,FALSE),0)</f>
        <v>1.8813920633845929</v>
      </c>
      <c r="R231" s="90">
        <f>Tabella3[[#This Row],[Lombardy fit]]/y_l_peak</f>
        <v>1.0702166030084539E-3</v>
      </c>
      <c r="S231" s="10">
        <f>Tabella3[[#This Row],[Lombardy fit]]*NOT(ISBLANK(Tabella3[[#This Row],[Lombardy data]]))</f>
        <v>0</v>
      </c>
      <c r="T231" s="145"/>
      <c r="U231" s="145"/>
      <c r="V231" s="145"/>
      <c r="W231" s="10"/>
      <c r="X231" s="10">
        <f>Tabella3[[#This Row],[rest of Italy data]]*NOT(ISBLANK(Tabella3[[#This Row],[rest of Italy data]]))</f>
        <v>0</v>
      </c>
      <c r="Y231" s="95" t="e">
        <f>Tabella8[[#This Row],[rest of Italy fit]]</f>
        <v>#VALUE!</v>
      </c>
      <c r="Z231" s="90" t="e">
        <f>Tabella3[[#This Row],[rest of Italy cumul. Fit]]/Ka</f>
        <v>#VALUE!</v>
      </c>
      <c r="AA231" s="90">
        <f>IFERROR(Ka*_xlfn.LOGNORM.DIST((Tabella3[[#This Row],[Day]]-pa),mu_a,sigma_a,FALSE),0)</f>
        <v>1.16868728133835</v>
      </c>
      <c r="AB231" s="90">
        <f>Tabella3[[#This Row],[rest of Italy fit]]/y_a_peak</f>
        <v>3.4585253391282558E-4</v>
      </c>
      <c r="AC231" s="10">
        <f>Tabella3[[#This Row],[rest of Italy fit]]*NOT(ISBLANK(Tabella3[[#This Row],[rest of Italy data]]))</f>
        <v>0</v>
      </c>
      <c r="AD231" s="145"/>
      <c r="AE231" s="145"/>
    </row>
    <row r="232" spans="2:31" x14ac:dyDescent="0.3">
      <c r="B232" s="9">
        <v>44055</v>
      </c>
      <c r="C232" s="4">
        <v>225</v>
      </c>
      <c r="D232" s="145"/>
      <c r="E232" s="10"/>
      <c r="F232" s="10">
        <f>Tabella3[[#This Row],[Spain daily cases]]*NOT(ISBLANK(Tabella3[[#This Row],[Spain daily cases]]))</f>
        <v>0</v>
      </c>
      <c r="G232" s="90">
        <f>IFERROR(Kf*_xlfn.LOGNORM.DIST((Tabella3[[#This Row],[Day]]-pf),mu_f,sigma_f,FALSE),0)</f>
        <v>0.64971029898300414</v>
      </c>
      <c r="H232" s="90">
        <f>Tabella3[[#This Row],[Spain daily cases fit]]/y_f_peak</f>
        <v>9.7339749484168911E-5</v>
      </c>
      <c r="I232" s="10">
        <f>Tabella3[[#This Row],[Spain daily cases fit]]*NOT(ISBLANK(Tabella3[[#This Row],[Spain daily cases]]))</f>
        <v>0</v>
      </c>
      <c r="J232" s="145"/>
      <c r="K232" s="145"/>
      <c r="L232" s="145"/>
      <c r="M232" s="10"/>
      <c r="N232" s="10">
        <f>Tabella3[[#This Row],[Lombardy data]]*NOT(ISBLANK(Tabella3[[#This Row],[Lombardy data]]))</f>
        <v>0</v>
      </c>
      <c r="O232" s="95" t="e">
        <f>Tabella8[[#This Row],[Lombardy fit]]</f>
        <v>#VALUE!</v>
      </c>
      <c r="P232" s="90" t="e">
        <f>Tabella3[[#This Row],[Lombardy cumul. Fit]]/Kl</f>
        <v>#VALUE!</v>
      </c>
      <c r="Q232" s="90">
        <f>IFERROR(Kl*_xlfn.LOGNORM.DIST((Tabella3[[#This Row],[Day]]-pl),mu_l,sigma_l,FALSE),0)</f>
        <v>1.7783461114061818</v>
      </c>
      <c r="R232" s="90">
        <f>Tabella3[[#This Row],[Lombardy fit]]/y_l_peak</f>
        <v>1.0115996401614262E-3</v>
      </c>
      <c r="S232" s="10">
        <f>Tabella3[[#This Row],[Lombardy fit]]*NOT(ISBLANK(Tabella3[[#This Row],[Lombardy data]]))</f>
        <v>0</v>
      </c>
      <c r="T232" s="145"/>
      <c r="U232" s="145"/>
      <c r="V232" s="145"/>
      <c r="W232" s="10"/>
      <c r="X232" s="10">
        <f>Tabella3[[#This Row],[rest of Italy data]]*NOT(ISBLANK(Tabella3[[#This Row],[rest of Italy data]]))</f>
        <v>0</v>
      </c>
      <c r="Y232" s="95" t="e">
        <f>Tabella8[[#This Row],[rest of Italy fit]]</f>
        <v>#VALUE!</v>
      </c>
      <c r="Z232" s="90" t="e">
        <f>Tabella3[[#This Row],[rest of Italy cumul. Fit]]/Ka</f>
        <v>#VALUE!</v>
      </c>
      <c r="AA232" s="90">
        <f>IFERROR(Ka*_xlfn.LOGNORM.DIST((Tabella3[[#This Row],[Day]]-pa),mu_a,sigma_a,FALSE),0)</f>
        <v>1.0933606381825307</v>
      </c>
      <c r="AB232" s="90">
        <f>Tabella3[[#This Row],[rest of Italy fit]]/y_a_peak</f>
        <v>3.2356093305211173E-4</v>
      </c>
      <c r="AC232" s="10">
        <f>Tabella3[[#This Row],[rest of Italy fit]]*NOT(ISBLANK(Tabella3[[#This Row],[rest of Italy data]]))</f>
        <v>0</v>
      </c>
      <c r="AD232" s="145"/>
      <c r="AE232" s="145"/>
    </row>
    <row r="233" spans="2:31" x14ac:dyDescent="0.3">
      <c r="B233" s="9">
        <v>44056</v>
      </c>
      <c r="C233" s="4">
        <v>226</v>
      </c>
      <c r="D233" s="145"/>
      <c r="E233" s="10"/>
      <c r="F233" s="10">
        <f>Tabella3[[#This Row],[Spain daily cases]]*NOT(ISBLANK(Tabella3[[#This Row],[Spain daily cases]]))</f>
        <v>0</v>
      </c>
      <c r="G233" s="90">
        <f>IFERROR(Kf*_xlfn.LOGNORM.DIST((Tabella3[[#This Row],[Day]]-pf),mu_f,sigma_f,FALSE),0)</f>
        <v>0.59744706914801915</v>
      </c>
      <c r="H233" s="90">
        <f>Tabella3[[#This Row],[Spain daily cases fit]]/y_f_peak</f>
        <v>8.9509660123827616E-5</v>
      </c>
      <c r="I233" s="10">
        <f>Tabella3[[#This Row],[Spain daily cases fit]]*NOT(ISBLANK(Tabella3[[#This Row],[Spain daily cases]]))</f>
        <v>0</v>
      </c>
      <c r="J233" s="145"/>
      <c r="K233" s="145"/>
      <c r="L233" s="145"/>
      <c r="M233" s="10"/>
      <c r="N233" s="10">
        <f>Tabella3[[#This Row],[Lombardy data]]*NOT(ISBLANK(Tabella3[[#This Row],[Lombardy data]]))</f>
        <v>0</v>
      </c>
      <c r="O233" s="95" t="e">
        <f>Tabella8[[#This Row],[Lombardy fit]]</f>
        <v>#VALUE!</v>
      </c>
      <c r="P233" s="90" t="e">
        <f>Tabella3[[#This Row],[Lombardy cumul. Fit]]/Kl</f>
        <v>#VALUE!</v>
      </c>
      <c r="Q233" s="90">
        <f>IFERROR(Kl*_xlfn.LOGNORM.DIST((Tabella3[[#This Row],[Day]]-pl),mu_l,sigma_l,FALSE),0)</f>
        <v>1.681046188582225</v>
      </c>
      <c r="R233" s="90">
        <f>Tabella3[[#This Row],[Lombardy fit]]/y_l_peak</f>
        <v>9.5625126546364638E-4</v>
      </c>
      <c r="S233" s="10">
        <f>Tabella3[[#This Row],[Lombardy fit]]*NOT(ISBLANK(Tabella3[[#This Row],[Lombardy data]]))</f>
        <v>0</v>
      </c>
      <c r="T233" s="145"/>
      <c r="U233" s="145"/>
      <c r="V233" s="145"/>
      <c r="W233" s="10"/>
      <c r="X233" s="10">
        <f>Tabella3[[#This Row],[rest of Italy data]]*NOT(ISBLANK(Tabella3[[#This Row],[rest of Italy data]]))</f>
        <v>0</v>
      </c>
      <c r="Y233" s="95" t="e">
        <f>Tabella8[[#This Row],[rest of Italy fit]]</f>
        <v>#VALUE!</v>
      </c>
      <c r="Z233" s="90" t="e">
        <f>Tabella3[[#This Row],[rest of Italy cumul. Fit]]/Ka</f>
        <v>#VALUE!</v>
      </c>
      <c r="AA233" s="90">
        <f>IFERROR(Ka*_xlfn.LOGNORM.DIST((Tabella3[[#This Row],[Day]]-pa),mu_a,sigma_a,FALSE),0)</f>
        <v>1.022970607390824</v>
      </c>
      <c r="AB233" s="90">
        <f>Tabella3[[#This Row],[rest of Italy fit]]/y_a_peak</f>
        <v>3.0273023616659856E-4</v>
      </c>
      <c r="AC233" s="10">
        <f>Tabella3[[#This Row],[rest of Italy fit]]*NOT(ISBLANK(Tabella3[[#This Row],[rest of Italy data]]))</f>
        <v>0</v>
      </c>
      <c r="AD233" s="145"/>
      <c r="AE233" s="145"/>
    </row>
    <row r="234" spans="2:31" x14ac:dyDescent="0.3">
      <c r="B234" s="9">
        <v>44057</v>
      </c>
      <c r="C234" s="4">
        <v>227</v>
      </c>
      <c r="D234" s="145"/>
      <c r="E234" s="10"/>
      <c r="F234" s="10">
        <f>Tabella3[[#This Row],[Spain daily cases]]*NOT(ISBLANK(Tabella3[[#This Row],[Spain daily cases]]))</f>
        <v>0</v>
      </c>
      <c r="G234" s="90">
        <f>IFERROR(Kf*_xlfn.LOGNORM.DIST((Tabella3[[#This Row],[Day]]-pf),mu_f,sigma_f,FALSE),0)</f>
        <v>0.54942112272177901</v>
      </c>
      <c r="H234" s="90">
        <f>Tabella3[[#This Row],[Spain daily cases fit]]/y_f_peak</f>
        <v>8.2314401558297896E-5</v>
      </c>
      <c r="I234" s="10">
        <f>Tabella3[[#This Row],[Spain daily cases fit]]*NOT(ISBLANK(Tabella3[[#This Row],[Spain daily cases]]))</f>
        <v>0</v>
      </c>
      <c r="J234" s="145"/>
      <c r="K234" s="145"/>
      <c r="L234" s="145"/>
      <c r="M234" s="10"/>
      <c r="N234" s="10">
        <f>Tabella3[[#This Row],[Lombardy data]]*NOT(ISBLANK(Tabella3[[#This Row],[Lombardy data]]))</f>
        <v>0</v>
      </c>
      <c r="O234" s="95" t="e">
        <f>Tabella8[[#This Row],[Lombardy fit]]</f>
        <v>#VALUE!</v>
      </c>
      <c r="P234" s="90" t="e">
        <f>Tabella3[[#This Row],[Lombardy cumul. Fit]]/Kl</f>
        <v>#VALUE!</v>
      </c>
      <c r="Q234" s="90">
        <f>IFERROR(Kl*_xlfn.LOGNORM.DIST((Tabella3[[#This Row],[Day]]-pl),mu_l,sigma_l,FALSE),0)</f>
        <v>1.5891672852894634</v>
      </c>
      <c r="R234" s="90">
        <f>Tabella3[[#This Row],[Lombardy fit]]/y_l_peak</f>
        <v>9.0398659948369799E-4</v>
      </c>
      <c r="S234" s="10">
        <f>Tabella3[[#This Row],[Lombardy fit]]*NOT(ISBLANK(Tabella3[[#This Row],[Lombardy data]]))</f>
        <v>0</v>
      </c>
      <c r="T234" s="145"/>
      <c r="U234" s="145"/>
      <c r="V234" s="145"/>
      <c r="W234" s="10"/>
      <c r="X234" s="10">
        <f>Tabella3[[#This Row],[rest of Italy data]]*NOT(ISBLANK(Tabella3[[#This Row],[rest of Italy data]]))</f>
        <v>0</v>
      </c>
      <c r="Y234" s="95" t="e">
        <f>Tabella8[[#This Row],[rest of Italy fit]]</f>
        <v>#VALUE!</v>
      </c>
      <c r="Z234" s="90" t="e">
        <f>Tabella3[[#This Row],[rest of Italy cumul. Fit]]/Ka</f>
        <v>#VALUE!</v>
      </c>
      <c r="AA234" s="90">
        <f>IFERROR(Ka*_xlfn.LOGNORM.DIST((Tabella3[[#This Row],[Day]]-pa),mu_a,sigma_a,FALSE),0)</f>
        <v>0.95718909921094275</v>
      </c>
      <c r="AB234" s="90">
        <f>Tabella3[[#This Row],[rest of Italy fit]]/y_a_peak</f>
        <v>2.8326335083987057E-4</v>
      </c>
      <c r="AC234" s="10">
        <f>Tabella3[[#This Row],[rest of Italy fit]]*NOT(ISBLANK(Tabella3[[#This Row],[rest of Italy data]]))</f>
        <v>0</v>
      </c>
      <c r="AD234" s="145"/>
      <c r="AE234" s="145"/>
    </row>
    <row r="235" spans="2:31" x14ac:dyDescent="0.3">
      <c r="B235" s="9">
        <v>44058</v>
      </c>
      <c r="C235" s="4">
        <v>228</v>
      </c>
      <c r="D235" s="145"/>
      <c r="E235" s="10"/>
      <c r="F235" s="10">
        <f>Tabella3[[#This Row],[Spain daily cases]]*NOT(ISBLANK(Tabella3[[#This Row],[Spain daily cases]]))</f>
        <v>0</v>
      </c>
      <c r="G235" s="90">
        <f>IFERROR(Kf*_xlfn.LOGNORM.DIST((Tabella3[[#This Row],[Day]]-pf),mu_f,sigma_f,FALSE),0)</f>
        <v>0.50528694058973833</v>
      </c>
      <c r="H235" s="90">
        <f>Tabella3[[#This Row],[Spain daily cases fit]]/y_f_peak</f>
        <v>7.5702208032743363E-5</v>
      </c>
      <c r="I235" s="10">
        <f>Tabella3[[#This Row],[Spain daily cases fit]]*NOT(ISBLANK(Tabella3[[#This Row],[Spain daily cases]]))</f>
        <v>0</v>
      </c>
      <c r="J235" s="145"/>
      <c r="K235" s="145"/>
      <c r="L235" s="145"/>
      <c r="M235" s="10"/>
      <c r="N235" s="10">
        <f>Tabella3[[#This Row],[Lombardy data]]*NOT(ISBLANK(Tabella3[[#This Row],[Lombardy data]]))</f>
        <v>0</v>
      </c>
      <c r="O235" s="95" t="e">
        <f>Tabella8[[#This Row],[Lombardy fit]]</f>
        <v>#VALUE!</v>
      </c>
      <c r="P235" s="90" t="e">
        <f>Tabella3[[#This Row],[Lombardy cumul. Fit]]/Kl</f>
        <v>#VALUE!</v>
      </c>
      <c r="Q235" s="90">
        <f>IFERROR(Kl*_xlfn.LOGNORM.DIST((Tabella3[[#This Row],[Day]]-pl),mu_l,sigma_l,FALSE),0)</f>
        <v>1.5024029523548661</v>
      </c>
      <c r="R235" s="90">
        <f>Tabella3[[#This Row],[Lombardy fit]]/y_l_peak</f>
        <v>8.5463132077134298E-4</v>
      </c>
      <c r="S235" s="10">
        <f>Tabella3[[#This Row],[Lombardy fit]]*NOT(ISBLANK(Tabella3[[#This Row],[Lombardy data]]))</f>
        <v>0</v>
      </c>
      <c r="T235" s="145"/>
      <c r="U235" s="145"/>
      <c r="V235" s="145"/>
      <c r="W235" s="10"/>
      <c r="X235" s="10">
        <f>Tabella3[[#This Row],[rest of Italy data]]*NOT(ISBLANK(Tabella3[[#This Row],[rest of Italy data]]))</f>
        <v>0</v>
      </c>
      <c r="Y235" s="95" t="e">
        <f>Tabella8[[#This Row],[rest of Italy fit]]</f>
        <v>#VALUE!</v>
      </c>
      <c r="Z235" s="90" t="e">
        <f>Tabella3[[#This Row],[rest of Italy cumul. Fit]]/Ka</f>
        <v>#VALUE!</v>
      </c>
      <c r="AA235" s="90">
        <f>IFERROR(Ka*_xlfn.LOGNORM.DIST((Tabella3[[#This Row],[Day]]-pa),mu_a,sigma_a,FALSE),0)</f>
        <v>0.89571006535222097</v>
      </c>
      <c r="AB235" s="90">
        <f>Tabella3[[#This Row],[rest of Italy fit]]/y_a_peak</f>
        <v>2.6506970744007087E-4</v>
      </c>
      <c r="AC235" s="10">
        <f>Tabella3[[#This Row],[rest of Italy fit]]*NOT(ISBLANK(Tabella3[[#This Row],[rest of Italy data]]))</f>
        <v>0</v>
      </c>
      <c r="AD235" s="145"/>
      <c r="AE235" s="145"/>
    </row>
    <row r="236" spans="2:31" x14ac:dyDescent="0.3">
      <c r="B236" s="9">
        <v>44059</v>
      </c>
      <c r="C236" s="4">
        <v>229</v>
      </c>
      <c r="D236" s="145"/>
      <c r="E236" s="10"/>
      <c r="F236" s="10">
        <f>Tabella3[[#This Row],[Spain daily cases]]*NOT(ISBLANK(Tabella3[[#This Row],[Spain daily cases]]))</f>
        <v>0</v>
      </c>
      <c r="G236" s="90">
        <f>IFERROR(Kf*_xlfn.LOGNORM.DIST((Tabella3[[#This Row],[Day]]-pf),mu_f,sigma_f,FALSE),0)</f>
        <v>0.46472726670408215</v>
      </c>
      <c r="H236" s="90">
        <f>Tabella3[[#This Row],[Spain daily cases fit]]/y_f_peak</f>
        <v>6.9625548171618651E-5</v>
      </c>
      <c r="I236" s="10">
        <f>Tabella3[[#This Row],[Spain daily cases fit]]*NOT(ISBLANK(Tabella3[[#This Row],[Spain daily cases]]))</f>
        <v>0</v>
      </c>
      <c r="J236" s="145"/>
      <c r="K236" s="145"/>
      <c r="L236" s="145"/>
      <c r="M236" s="10"/>
      <c r="N236" s="10">
        <f>Tabella3[[#This Row],[Lombardy data]]*NOT(ISBLANK(Tabella3[[#This Row],[Lombardy data]]))</f>
        <v>0</v>
      </c>
      <c r="O236" s="95" t="e">
        <f>Tabella8[[#This Row],[Lombardy fit]]</f>
        <v>#VALUE!</v>
      </c>
      <c r="P236" s="90" t="e">
        <f>Tabella3[[#This Row],[Lombardy cumul. Fit]]/Kl</f>
        <v>#VALUE!</v>
      </c>
      <c r="Q236" s="90">
        <f>IFERROR(Kl*_xlfn.LOGNORM.DIST((Tabella3[[#This Row],[Day]]-pl),mu_l,sigma_l,FALSE),0)</f>
        <v>1.4204642375960852</v>
      </c>
      <c r="R236" s="90">
        <f>Tabella3[[#This Row],[Lombardy fit]]/y_l_peak</f>
        <v>8.0802106091606095E-4</v>
      </c>
      <c r="S236" s="10">
        <f>Tabella3[[#This Row],[Lombardy fit]]*NOT(ISBLANK(Tabella3[[#This Row],[Lombardy data]]))</f>
        <v>0</v>
      </c>
      <c r="T236" s="145"/>
      <c r="U236" s="145"/>
      <c r="V236" s="145"/>
      <c r="W236" s="10"/>
      <c r="X236" s="10">
        <f>Tabella3[[#This Row],[rest of Italy data]]*NOT(ISBLANK(Tabella3[[#This Row],[rest of Italy data]]))</f>
        <v>0</v>
      </c>
      <c r="Y236" s="95" t="e">
        <f>Tabella8[[#This Row],[rest of Italy fit]]</f>
        <v>#VALUE!</v>
      </c>
      <c r="Z236" s="90" t="e">
        <f>Tabella3[[#This Row],[rest of Italy cumul. Fit]]/Ka</f>
        <v>#VALUE!</v>
      </c>
      <c r="AA236" s="90">
        <f>IFERROR(Ka*_xlfn.LOGNORM.DIST((Tabella3[[#This Row],[Day]]-pa),mu_a,sigma_a,FALSE),0)</f>
        <v>0.83824800827094559</v>
      </c>
      <c r="AB236" s="90">
        <f>Tabella3[[#This Row],[rest of Italy fit]]/y_a_peak</f>
        <v>2.4806481796900204E-4</v>
      </c>
      <c r="AC236" s="10">
        <f>Tabella3[[#This Row],[rest of Italy fit]]*NOT(ISBLANK(Tabella3[[#This Row],[rest of Italy data]]))</f>
        <v>0</v>
      </c>
      <c r="AD236" s="145"/>
      <c r="AE236" s="145"/>
    </row>
    <row r="237" spans="2:31" x14ac:dyDescent="0.3">
      <c r="B237" s="9">
        <v>44060</v>
      </c>
      <c r="C237" s="4">
        <v>230</v>
      </c>
      <c r="D237" s="145"/>
      <c r="E237" s="10"/>
      <c r="F237" s="10">
        <f>Tabella3[[#This Row],[Spain daily cases]]*NOT(ISBLANK(Tabella3[[#This Row],[Spain daily cases]]))</f>
        <v>0</v>
      </c>
      <c r="G237" s="90">
        <f>IFERROR(Kf*_xlfn.LOGNORM.DIST((Tabella3[[#This Row],[Day]]-pf),mu_f,sigma_f,FALSE),0)</f>
        <v>0.42745079657445401</v>
      </c>
      <c r="H237" s="90">
        <f>Tabella3[[#This Row],[Spain daily cases fit]]/y_f_peak</f>
        <v>6.4040778667807794E-5</v>
      </c>
      <c r="I237" s="10">
        <f>Tabella3[[#This Row],[Spain daily cases fit]]*NOT(ISBLANK(Tabella3[[#This Row],[Spain daily cases]]))</f>
        <v>0</v>
      </c>
      <c r="J237" s="145"/>
      <c r="K237" s="145"/>
      <c r="L237" s="145"/>
      <c r="M237" s="10"/>
      <c r="N237" s="10">
        <f>Tabella3[[#This Row],[Lombardy data]]*NOT(ISBLANK(Tabella3[[#This Row],[Lombardy data]]))</f>
        <v>0</v>
      </c>
      <c r="O237" s="95" t="e">
        <f>Tabella8[[#This Row],[Lombardy fit]]</f>
        <v>#VALUE!</v>
      </c>
      <c r="P237" s="90" t="e">
        <f>Tabella3[[#This Row],[Lombardy cumul. Fit]]/Kl</f>
        <v>#VALUE!</v>
      </c>
      <c r="Q237" s="90">
        <f>IFERROR(Kl*_xlfn.LOGNORM.DIST((Tabella3[[#This Row],[Day]]-pl),mu_l,sigma_l,FALSE),0)</f>
        <v>1.3430786829485246</v>
      </c>
      <c r="R237" s="90">
        <f>Tabella3[[#This Row],[Lombardy fit]]/y_l_peak</f>
        <v>7.6400083406985705E-4</v>
      </c>
      <c r="S237" s="10">
        <f>Tabella3[[#This Row],[Lombardy fit]]*NOT(ISBLANK(Tabella3[[#This Row],[Lombardy data]]))</f>
        <v>0</v>
      </c>
      <c r="T237" s="145"/>
      <c r="U237" s="145"/>
      <c r="V237" s="145"/>
      <c r="W237" s="10"/>
      <c r="X237" s="10">
        <f>Tabella3[[#This Row],[rest of Italy data]]*NOT(ISBLANK(Tabella3[[#This Row],[rest of Italy data]]))</f>
        <v>0</v>
      </c>
      <c r="Y237" s="95" t="e">
        <f>Tabella8[[#This Row],[rest of Italy fit]]</f>
        <v>#VALUE!</v>
      </c>
      <c r="Z237" s="90" t="e">
        <f>Tabella3[[#This Row],[rest of Italy cumul. Fit]]/Ka</f>
        <v>#VALUE!</v>
      </c>
      <c r="AA237" s="90">
        <f>IFERROR(Ka*_xlfn.LOGNORM.DIST((Tabella3[[#This Row],[Day]]-pa),mu_a,sigma_a,FALSE),0)</f>
        <v>0.78453659140013077</v>
      </c>
      <c r="AB237" s="90">
        <f>Tabella3[[#This Row],[rest of Italy fit]]/y_a_peak</f>
        <v>2.3216986478396664E-4</v>
      </c>
      <c r="AC237" s="10">
        <f>Tabella3[[#This Row],[rest of Italy fit]]*NOT(ISBLANK(Tabella3[[#This Row],[rest of Italy data]]))</f>
        <v>0</v>
      </c>
      <c r="AD237" s="145"/>
      <c r="AE237" s="145"/>
    </row>
    <row r="238" spans="2:31" x14ac:dyDescent="0.3">
      <c r="B238" s="9">
        <v>44061</v>
      </c>
      <c r="C238" s="4">
        <v>231</v>
      </c>
      <c r="D238" s="145"/>
      <c r="E238" s="10"/>
      <c r="F238" s="10">
        <f>Tabella3[[#This Row],[Spain daily cases]]*NOT(ISBLANK(Tabella3[[#This Row],[Spain daily cases]]))</f>
        <v>0</v>
      </c>
      <c r="G238" s="90">
        <f>IFERROR(Kf*_xlfn.LOGNORM.DIST((Tabella3[[#This Row],[Day]]-pf),mu_f,sigma_f,FALSE),0)</f>
        <v>0.39319005395464368</v>
      </c>
      <c r="H238" s="90">
        <f>Tabella3[[#This Row],[Spain daily cases fit]]/y_f_peak</f>
        <v>5.890782616732548E-5</v>
      </c>
      <c r="I238" s="10">
        <f>Tabella3[[#This Row],[Spain daily cases fit]]*NOT(ISBLANK(Tabella3[[#This Row],[Spain daily cases]]))</f>
        <v>0</v>
      </c>
      <c r="J238" s="145"/>
      <c r="K238" s="145"/>
      <c r="L238" s="145"/>
      <c r="M238" s="10"/>
      <c r="N238" s="10">
        <f>Tabella3[[#This Row],[Lombardy data]]*NOT(ISBLANK(Tabella3[[#This Row],[Lombardy data]]))</f>
        <v>0</v>
      </c>
      <c r="O238" s="95" t="e">
        <f>Tabella8[[#This Row],[Lombardy fit]]</f>
        <v>#VALUE!</v>
      </c>
      <c r="P238" s="90" t="e">
        <f>Tabella3[[#This Row],[Lombardy cumul. Fit]]/Kl</f>
        <v>#VALUE!</v>
      </c>
      <c r="Q238" s="90">
        <f>IFERROR(Kl*_xlfn.LOGNORM.DIST((Tabella3[[#This Row],[Day]]-pl),mu_l,sigma_l,FALSE),0)</f>
        <v>1.2699893787952741</v>
      </c>
      <c r="R238" s="90">
        <f>Tabella3[[#This Row],[Lombardy fit]]/y_l_peak</f>
        <v>7.2242449900951637E-4</v>
      </c>
      <c r="S238" s="10">
        <f>Tabella3[[#This Row],[Lombardy fit]]*NOT(ISBLANK(Tabella3[[#This Row],[Lombardy data]]))</f>
        <v>0</v>
      </c>
      <c r="T238" s="145"/>
      <c r="U238" s="145"/>
      <c r="V238" s="145"/>
      <c r="W238" s="10"/>
      <c r="X238" s="10">
        <f>Tabella3[[#This Row],[rest of Italy data]]*NOT(ISBLANK(Tabella3[[#This Row],[rest of Italy data]]))</f>
        <v>0</v>
      </c>
      <c r="Y238" s="95" t="e">
        <f>Tabella8[[#This Row],[rest of Italy fit]]</f>
        <v>#VALUE!</v>
      </c>
      <c r="Z238" s="90" t="e">
        <f>Tabella3[[#This Row],[rest of Italy cumul. Fit]]/Ka</f>
        <v>#VALUE!</v>
      </c>
      <c r="AA238" s="90">
        <f>IFERROR(Ka*_xlfn.LOGNORM.DIST((Tabella3[[#This Row],[Day]]-pa),mu_a,sigma_a,FALSE),0)</f>
        <v>0.7343273435325578</v>
      </c>
      <c r="AB238" s="90">
        <f>Tabella3[[#This Row],[rest of Italy fit]]/y_a_peak</f>
        <v>2.1731131718261744E-4</v>
      </c>
      <c r="AC238" s="10">
        <f>Tabella3[[#This Row],[rest of Italy fit]]*NOT(ISBLANK(Tabella3[[#This Row],[rest of Italy data]]))</f>
        <v>0</v>
      </c>
      <c r="AD238" s="145"/>
      <c r="AE238" s="145"/>
    </row>
    <row r="239" spans="2:31" x14ac:dyDescent="0.3">
      <c r="B239" s="9">
        <v>44062</v>
      </c>
      <c r="C239" s="4">
        <v>232</v>
      </c>
      <c r="D239" s="145"/>
      <c r="E239" s="10"/>
      <c r="F239" s="10">
        <f>Tabella3[[#This Row],[Spain daily cases]]*NOT(ISBLANK(Tabella3[[#This Row],[Spain daily cases]]))</f>
        <v>0</v>
      </c>
      <c r="G239" s="90">
        <f>IFERROR(Kf*_xlfn.LOGNORM.DIST((Tabella3[[#This Row],[Day]]-pf),mu_f,sigma_f,FALSE),0)</f>
        <v>0.36169944056370762</v>
      </c>
      <c r="H239" s="90">
        <f>Tabella3[[#This Row],[Spain daily cases fit]]/y_f_peak</f>
        <v>5.4189895078077478E-5</v>
      </c>
      <c r="I239" s="10">
        <f>Tabella3[[#This Row],[Spain daily cases fit]]*NOT(ISBLANK(Tabella3[[#This Row],[Spain daily cases]]))</f>
        <v>0</v>
      </c>
      <c r="J239" s="145"/>
      <c r="K239" s="145"/>
      <c r="L239" s="145"/>
      <c r="M239" s="10"/>
      <c r="N239" s="10">
        <f>Tabella3[[#This Row],[Lombardy data]]*NOT(ISBLANK(Tabella3[[#This Row],[Lombardy data]]))</f>
        <v>0</v>
      </c>
      <c r="O239" s="95" t="e">
        <f>Tabella8[[#This Row],[Lombardy fit]]</f>
        <v>#VALUE!</v>
      </c>
      <c r="P239" s="90" t="e">
        <f>Tabella3[[#This Row],[Lombardy cumul. Fit]]/Kl</f>
        <v>#VALUE!</v>
      </c>
      <c r="Q239" s="90">
        <f>IFERROR(Kl*_xlfn.LOGNORM.DIST((Tabella3[[#This Row],[Day]]-pl),mu_l,sigma_l,FALSE),0)</f>
        <v>1.2009540722966696</v>
      </c>
      <c r="R239" s="90">
        <f>Tabella3[[#This Row],[Lombardy fit]]/y_l_peak</f>
        <v>6.8315425191616463E-4</v>
      </c>
      <c r="S239" s="10">
        <f>Tabella3[[#This Row],[Lombardy fit]]*NOT(ISBLANK(Tabella3[[#This Row],[Lombardy data]]))</f>
        <v>0</v>
      </c>
      <c r="T239" s="145"/>
      <c r="U239" s="145"/>
      <c r="V239" s="145"/>
      <c r="W239" s="10"/>
      <c r="X239" s="10">
        <f>Tabella3[[#This Row],[rest of Italy data]]*NOT(ISBLANK(Tabella3[[#This Row],[rest of Italy data]]))</f>
        <v>0</v>
      </c>
      <c r="Y239" s="95" t="e">
        <f>Tabella8[[#This Row],[rest of Italy fit]]</f>
        <v>#VALUE!</v>
      </c>
      <c r="Z239" s="90" t="e">
        <f>Tabella3[[#This Row],[rest of Italy cumul. Fit]]/Ka</f>
        <v>#VALUE!</v>
      </c>
      <c r="AA239" s="90">
        <f>IFERROR(Ka*_xlfn.LOGNORM.DIST((Tabella3[[#This Row],[Day]]-pa),mu_a,sigma_a,FALSE),0)</f>
        <v>0.68738845101461243</v>
      </c>
      <c r="AB239" s="90">
        <f>Tabella3[[#This Row],[rest of Italy fit]]/y_a_peak</f>
        <v>2.0342057397387602E-4</v>
      </c>
      <c r="AC239" s="10">
        <f>Tabella3[[#This Row],[rest of Italy fit]]*NOT(ISBLANK(Tabella3[[#This Row],[rest of Italy data]]))</f>
        <v>0</v>
      </c>
      <c r="AD239" s="145"/>
      <c r="AE239" s="145"/>
    </row>
    <row r="240" spans="2:31" x14ac:dyDescent="0.3">
      <c r="B240" s="9">
        <v>44063</v>
      </c>
      <c r="C240" s="4">
        <v>233</v>
      </c>
      <c r="D240" s="145"/>
      <c r="E240" s="10"/>
      <c r="F240" s="10">
        <f>Tabella3[[#This Row],[Spain daily cases]]*NOT(ISBLANK(Tabella3[[#This Row],[Spain daily cases]]))</f>
        <v>0</v>
      </c>
      <c r="G240" s="90">
        <f>IFERROR(Kf*_xlfn.LOGNORM.DIST((Tabella3[[#This Row],[Day]]-pf),mu_f,sigma_f,FALSE),0)</f>
        <v>0.33275344487782954</v>
      </c>
      <c r="H240" s="90">
        <f>Tabella3[[#This Row],[Spain daily cases fit]]/y_f_peak</f>
        <v>4.9853199210636856E-5</v>
      </c>
      <c r="I240" s="10">
        <f>Tabella3[[#This Row],[Spain daily cases fit]]*NOT(ISBLANK(Tabella3[[#This Row],[Spain daily cases]]))</f>
        <v>0</v>
      </c>
      <c r="J240" s="145"/>
      <c r="K240" s="145"/>
      <c r="L240" s="145"/>
      <c r="M240" s="10"/>
      <c r="N240" s="10">
        <f>Tabella3[[#This Row],[Lombardy data]]*NOT(ISBLANK(Tabella3[[#This Row],[Lombardy data]]))</f>
        <v>0</v>
      </c>
      <c r="O240" s="95" t="e">
        <f>Tabella8[[#This Row],[Lombardy fit]]</f>
        <v>#VALUE!</v>
      </c>
      <c r="P240" s="90" t="e">
        <f>Tabella3[[#This Row],[Lombardy cumul. Fit]]/Kl</f>
        <v>#VALUE!</v>
      </c>
      <c r="Q240" s="90">
        <f>IFERROR(Kl*_xlfn.LOGNORM.DIST((Tabella3[[#This Row],[Day]]-pl),mu_l,sigma_l,FALSE),0)</f>
        <v>1.1357443266885185</v>
      </c>
      <c r="R240" s="90">
        <f>Tabella3[[#This Row],[Lombardy fit]]/y_l_peak</f>
        <v>6.4606014814799393E-4</v>
      </c>
      <c r="S240" s="10">
        <f>Tabella3[[#This Row],[Lombardy fit]]*NOT(ISBLANK(Tabella3[[#This Row],[Lombardy data]]))</f>
        <v>0</v>
      </c>
      <c r="T240" s="145"/>
      <c r="U240" s="145"/>
      <c r="V240" s="145"/>
      <c r="W240" s="10"/>
      <c r="X240" s="10">
        <f>Tabella3[[#This Row],[rest of Italy data]]*NOT(ISBLANK(Tabella3[[#This Row],[rest of Italy data]]))</f>
        <v>0</v>
      </c>
      <c r="Y240" s="95" t="e">
        <f>Tabella8[[#This Row],[rest of Italy fit]]</f>
        <v>#VALUE!</v>
      </c>
      <c r="Z240" s="90" t="e">
        <f>Tabella3[[#This Row],[rest of Italy cumul. Fit]]/Ka</f>
        <v>#VALUE!</v>
      </c>
      <c r="AA240" s="90">
        <f>IFERROR(Ka*_xlfn.LOGNORM.DIST((Tabella3[[#This Row],[Day]]-pa),mu_a,sigma_a,FALSE),0)</f>
        <v>0.64350363182859471</v>
      </c>
      <c r="AB240" s="90">
        <f>Tabella3[[#This Row],[rest of Italy fit]]/y_a_peak</f>
        <v>1.9043363028231009E-4</v>
      </c>
      <c r="AC240" s="10">
        <f>Tabella3[[#This Row],[rest of Italy fit]]*NOT(ISBLANK(Tabella3[[#This Row],[rest of Italy data]]))</f>
        <v>0</v>
      </c>
      <c r="AD240" s="145"/>
      <c r="AE240" s="145"/>
    </row>
    <row r="241" spans="2:31" x14ac:dyDescent="0.3">
      <c r="B241" s="9">
        <v>44064</v>
      </c>
      <c r="C241" s="4">
        <v>234</v>
      </c>
      <c r="D241" s="145"/>
      <c r="E241" s="10"/>
      <c r="F241" s="10">
        <f>Tabella3[[#This Row],[Spain daily cases]]*NOT(ISBLANK(Tabella3[[#This Row],[Spain daily cases]]))</f>
        <v>0</v>
      </c>
      <c r="G241" s="90">
        <f>IFERROR(Kf*_xlfn.LOGNORM.DIST((Tabella3[[#This Row],[Day]]-pf),mu_f,sigma_f,FALSE),0)</f>
        <v>0.30614499713581039</v>
      </c>
      <c r="H241" s="90">
        <f>Tabella3[[#This Row],[Spain daily cases fit]]/y_f_peak</f>
        <v>4.5866715324780371E-5</v>
      </c>
      <c r="I241" s="10">
        <f>Tabella3[[#This Row],[Spain daily cases fit]]*NOT(ISBLANK(Tabella3[[#This Row],[Spain daily cases]]))</f>
        <v>0</v>
      </c>
      <c r="J241" s="145"/>
      <c r="K241" s="145"/>
      <c r="L241" s="145"/>
      <c r="M241" s="10"/>
      <c r="N241" s="10">
        <f>Tabella3[[#This Row],[Lombardy data]]*NOT(ISBLANK(Tabella3[[#This Row],[Lombardy data]]))</f>
        <v>0</v>
      </c>
      <c r="O241" s="95" t="e">
        <f>Tabella8[[#This Row],[Lombardy fit]]</f>
        <v>#VALUE!</v>
      </c>
      <c r="P241" s="90" t="e">
        <f>Tabella3[[#This Row],[Lombardy cumul. Fit]]/Kl</f>
        <v>#VALUE!</v>
      </c>
      <c r="Q241" s="90">
        <f>IFERROR(Kl*_xlfn.LOGNORM.DIST((Tabella3[[#This Row],[Day]]-pl),mu_l,sigma_l,FALSE),0)</f>
        <v>1.074144728681137</v>
      </c>
      <c r="R241" s="90">
        <f>Tabella3[[#This Row],[Lombardy fit]]/y_l_peak</f>
        <v>6.1101965137479695E-4</v>
      </c>
      <c r="S241" s="10">
        <f>Tabella3[[#This Row],[Lombardy fit]]*NOT(ISBLANK(Tabella3[[#This Row],[Lombardy data]]))</f>
        <v>0</v>
      </c>
      <c r="T241" s="145"/>
      <c r="U241" s="145"/>
      <c r="V241" s="145"/>
      <c r="W241" s="10"/>
      <c r="X241" s="10">
        <f>Tabella3[[#This Row],[rest of Italy data]]*NOT(ISBLANK(Tabella3[[#This Row],[rest of Italy data]]))</f>
        <v>0</v>
      </c>
      <c r="Y241" s="95" t="e">
        <f>Tabella8[[#This Row],[rest of Italy fit]]</f>
        <v>#VALUE!</v>
      </c>
      <c r="Z241" s="90" t="e">
        <f>Tabella3[[#This Row],[rest of Italy cumul. Fit]]/Ka</f>
        <v>#VALUE!</v>
      </c>
      <c r="AA241" s="90">
        <f>IFERROR(Ka*_xlfn.LOGNORM.DIST((Tabella3[[#This Row],[Day]]-pa),mu_a,sigma_a,FALSE),0)</f>
        <v>0.60247108603400246</v>
      </c>
      <c r="AB241" s="90">
        <f>Tabella3[[#This Row],[rest of Italy fit]]/y_a_peak</f>
        <v>1.7829076694961225E-4</v>
      </c>
      <c r="AC241" s="10">
        <f>Tabella3[[#This Row],[rest of Italy fit]]*NOT(ISBLANK(Tabella3[[#This Row],[rest of Italy data]]))</f>
        <v>0</v>
      </c>
      <c r="AD241" s="145"/>
      <c r="AE241" s="145"/>
    </row>
    <row r="242" spans="2:31" x14ac:dyDescent="0.3">
      <c r="B242" s="9">
        <v>44065</v>
      </c>
      <c r="C242" s="4">
        <v>235</v>
      </c>
      <c r="D242" s="145"/>
      <c r="E242" s="10"/>
      <c r="F242" s="10">
        <f>Tabella3[[#This Row],[Spain daily cases]]*NOT(ISBLANK(Tabella3[[#This Row],[Spain daily cases]]))</f>
        <v>0</v>
      </c>
      <c r="G242" s="90">
        <f>IFERROR(Kf*_xlfn.LOGNORM.DIST((Tabella3[[#This Row],[Day]]-pf),mu_f,sigma_f,FALSE),0)</f>
        <v>0.28168395872239677</v>
      </c>
      <c r="H242" s="90">
        <f>Tabella3[[#This Row],[Spain daily cases fit]]/y_f_peak</f>
        <v>4.2201956808544197E-5</v>
      </c>
      <c r="I242" s="10">
        <f>Tabella3[[#This Row],[Spain daily cases fit]]*NOT(ISBLANK(Tabella3[[#This Row],[Spain daily cases]]))</f>
        <v>0</v>
      </c>
      <c r="J242" s="145"/>
      <c r="K242" s="145"/>
      <c r="L242" s="145"/>
      <c r="M242" s="10"/>
      <c r="N242" s="10">
        <f>Tabella3[[#This Row],[Lombardy data]]*NOT(ISBLANK(Tabella3[[#This Row],[Lombardy data]]))</f>
        <v>0</v>
      </c>
      <c r="O242" s="95" t="e">
        <f>Tabella8[[#This Row],[Lombardy fit]]</f>
        <v>#VALUE!</v>
      </c>
      <c r="P242" s="90" t="e">
        <f>Tabella3[[#This Row],[Lombardy cumul. Fit]]/Kl</f>
        <v>#VALUE!</v>
      </c>
      <c r="Q242" s="90">
        <f>IFERROR(Kl*_xlfn.LOGNORM.DIST((Tabella3[[#This Row],[Day]]-pl),mu_l,sigma_l,FALSE),0)</f>
        <v>1.0159521412471268</v>
      </c>
      <c r="R242" s="90">
        <f>Tabella3[[#This Row],[Lombardy fit]]/y_l_peak</f>
        <v>5.7791720853156501E-4</v>
      </c>
      <c r="S242" s="10">
        <f>Tabella3[[#This Row],[Lombardy fit]]*NOT(ISBLANK(Tabella3[[#This Row],[Lombardy data]]))</f>
        <v>0</v>
      </c>
      <c r="T242" s="145"/>
      <c r="U242" s="145"/>
      <c r="V242" s="145"/>
      <c r="W242" s="10"/>
      <c r="X242" s="10">
        <f>Tabella3[[#This Row],[rest of Italy data]]*NOT(ISBLANK(Tabella3[[#This Row],[rest of Italy data]]))</f>
        <v>0</v>
      </c>
      <c r="Y242" s="95" t="e">
        <f>Tabella8[[#This Row],[rest of Italy fit]]</f>
        <v>#VALUE!</v>
      </c>
      <c r="Z242" s="90" t="e">
        <f>Tabella3[[#This Row],[rest of Italy cumul. Fit]]/Ka</f>
        <v>#VALUE!</v>
      </c>
      <c r="AA242" s="90">
        <f>IFERROR(Ka*_xlfn.LOGNORM.DIST((Tabella3[[#This Row],[Day]]-pa),mu_a,sigma_a,FALSE),0)</f>
        <v>0.56410251740668005</v>
      </c>
      <c r="AB242" s="90">
        <f>Tabella3[[#This Row],[rest of Italy fit]]/y_a_peak</f>
        <v>1.6693626100583976E-4</v>
      </c>
      <c r="AC242" s="10">
        <f>Tabella3[[#This Row],[rest of Italy fit]]*NOT(ISBLANK(Tabella3[[#This Row],[rest of Italy data]]))</f>
        <v>0</v>
      </c>
      <c r="AD242" s="145"/>
      <c r="AE242" s="145"/>
    </row>
    <row r="243" spans="2:31" x14ac:dyDescent="0.3">
      <c r="B243" s="9">
        <v>44066</v>
      </c>
      <c r="C243" s="4">
        <v>236</v>
      </c>
      <c r="D243" s="145"/>
      <c r="E243" s="10"/>
      <c r="F243" s="10">
        <f>Tabella3[[#This Row],[Spain daily cases]]*NOT(ISBLANK(Tabella3[[#This Row],[Spain daily cases]]))</f>
        <v>0</v>
      </c>
      <c r="G243" s="90">
        <f>IFERROR(Kf*_xlfn.LOGNORM.DIST((Tabella3[[#This Row],[Day]]-pf),mu_f,sigma_f,FALSE),0)</f>
        <v>0.2591957350365251</v>
      </c>
      <c r="H243" s="90">
        <f>Tabella3[[#This Row],[Spain daily cases fit]]/y_f_peak</f>
        <v>3.8832765857818688E-5</v>
      </c>
      <c r="I243" s="10">
        <f>Tabella3[[#This Row],[Spain daily cases fit]]*NOT(ISBLANK(Tabella3[[#This Row],[Spain daily cases]]))</f>
        <v>0</v>
      </c>
      <c r="J243" s="145"/>
      <c r="K243" s="145"/>
      <c r="L243" s="145"/>
      <c r="M243" s="10"/>
      <c r="N243" s="10">
        <f>Tabella3[[#This Row],[Lombardy data]]*NOT(ISBLANK(Tabella3[[#This Row],[Lombardy data]]))</f>
        <v>0</v>
      </c>
      <c r="O243" s="95" t="e">
        <f>Tabella8[[#This Row],[Lombardy fit]]</f>
        <v>#VALUE!</v>
      </c>
      <c r="P243" s="90" t="e">
        <f>Tabella3[[#This Row],[Lombardy cumul. Fit]]/Kl</f>
        <v>#VALUE!</v>
      </c>
      <c r="Q243" s="90">
        <f>IFERROR(Kl*_xlfn.LOGNORM.DIST((Tabella3[[#This Row],[Day]]-pl),mu_l,sigma_l,FALSE),0)</f>
        <v>0.96097499923311935</v>
      </c>
      <c r="R243" s="90">
        <f>Tabella3[[#This Row],[Lombardy fit]]/y_l_peak</f>
        <v>5.4664384913219726E-4</v>
      </c>
      <c r="S243" s="10">
        <f>Tabella3[[#This Row],[Lombardy fit]]*NOT(ISBLANK(Tabella3[[#This Row],[Lombardy data]]))</f>
        <v>0</v>
      </c>
      <c r="T243" s="145"/>
      <c r="U243" s="145"/>
      <c r="V243" s="145"/>
      <c r="W243" s="10"/>
      <c r="X243" s="10">
        <f>Tabella3[[#This Row],[rest of Italy data]]*NOT(ISBLANK(Tabella3[[#This Row],[rest of Italy data]]))</f>
        <v>0</v>
      </c>
      <c r="Y243" s="95" t="e">
        <f>Tabella8[[#This Row],[rest of Italy fit]]</f>
        <v>#VALUE!</v>
      </c>
      <c r="Z243" s="90" t="e">
        <f>Tabella3[[#This Row],[rest of Italy cumul. Fit]]/Ka</f>
        <v>#VALUE!</v>
      </c>
      <c r="AA243" s="90">
        <f>IFERROR(Ka*_xlfn.LOGNORM.DIST((Tabella3[[#This Row],[Day]]-pa),mu_a,sigma_a,FALSE),0)</f>
        <v>0.52822222145863951</v>
      </c>
      <c r="AB243" s="90">
        <f>Tabella3[[#This Row],[rest of Italy fit]]/y_a_peak</f>
        <v>1.5631811578485207E-4</v>
      </c>
      <c r="AC243" s="10">
        <f>Tabella3[[#This Row],[rest of Italy fit]]*NOT(ISBLANK(Tabella3[[#This Row],[rest of Italy data]]))</f>
        <v>0</v>
      </c>
      <c r="AD243" s="145"/>
      <c r="AE243" s="145"/>
    </row>
    <row r="244" spans="2:31" x14ac:dyDescent="0.3">
      <c r="B244" s="9">
        <v>44067</v>
      </c>
      <c r="C244" s="4">
        <v>237</v>
      </c>
      <c r="D244" s="145"/>
      <c r="E244" s="10"/>
      <c r="F244" s="10">
        <f>Tabella3[[#This Row],[Spain daily cases]]*NOT(ISBLANK(Tabella3[[#This Row],[Spain daily cases]]))</f>
        <v>0</v>
      </c>
      <c r="G244" s="90">
        <f>IFERROR(Kf*_xlfn.LOGNORM.DIST((Tabella3[[#This Row],[Day]]-pf),mu_f,sigma_f,FALSE),0)</f>
        <v>0.2385200018212025</v>
      </c>
      <c r="H244" s="90">
        <f>Tabella3[[#This Row],[Spain daily cases fit]]/y_f_peak</f>
        <v>3.5735122654792196E-5</v>
      </c>
      <c r="I244" s="10">
        <f>Tabella3[[#This Row],[Spain daily cases fit]]*NOT(ISBLANK(Tabella3[[#This Row],[Spain daily cases]]))</f>
        <v>0</v>
      </c>
      <c r="J244" s="145"/>
      <c r="K244" s="145"/>
      <c r="L244" s="145"/>
      <c r="M244" s="10"/>
      <c r="N244" s="10">
        <f>Tabella3[[#This Row],[Lombardy data]]*NOT(ISBLANK(Tabella3[[#This Row],[Lombardy data]]))</f>
        <v>0</v>
      </c>
      <c r="O244" s="95" t="e">
        <f>Tabella8[[#This Row],[Lombardy fit]]</f>
        <v>#VALUE!</v>
      </c>
      <c r="P244" s="90" t="e">
        <f>Tabella3[[#This Row],[Lombardy cumul. Fit]]/Kl</f>
        <v>#VALUE!</v>
      </c>
      <c r="Q244" s="90">
        <f>IFERROR(Kl*_xlfn.LOGNORM.DIST((Tabella3[[#This Row],[Day]]-pl),mu_l,sigma_l,FALSE),0)</f>
        <v>0.90903264537120754</v>
      </c>
      <c r="R244" s="90">
        <f>Tabella3[[#This Row],[Lombardy fit]]/y_l_peak</f>
        <v>5.1709680756428843E-4</v>
      </c>
      <c r="S244" s="10">
        <f>Tabella3[[#This Row],[Lombardy fit]]*NOT(ISBLANK(Tabella3[[#This Row],[Lombardy data]]))</f>
        <v>0</v>
      </c>
      <c r="T244" s="145"/>
      <c r="U244" s="145"/>
      <c r="V244" s="145"/>
      <c r="W244" s="10"/>
      <c r="X244" s="10">
        <f>Tabella3[[#This Row],[rest of Italy data]]*NOT(ISBLANK(Tabella3[[#This Row],[rest of Italy data]]))</f>
        <v>0</v>
      </c>
      <c r="Y244" s="95" t="e">
        <f>Tabella8[[#This Row],[rest of Italy fit]]</f>
        <v>#VALUE!</v>
      </c>
      <c r="Z244" s="90" t="e">
        <f>Tabella3[[#This Row],[rest of Italy cumul. Fit]]/Ka</f>
        <v>#VALUE!</v>
      </c>
      <c r="AA244" s="90">
        <f>IFERROR(Ka*_xlfn.LOGNORM.DIST((Tabella3[[#This Row],[Day]]-pa),mu_a,sigma_a,FALSE),0)</f>
        <v>0.49466623534351584</v>
      </c>
      <c r="AB244" s="90">
        <f>Tabella3[[#This Row],[rest of Italy fit]]/y_a_peak</f>
        <v>1.4638780935371775E-4</v>
      </c>
      <c r="AC244" s="10">
        <f>Tabella3[[#This Row],[rest of Italy fit]]*NOT(ISBLANK(Tabella3[[#This Row],[rest of Italy data]]))</f>
        <v>0</v>
      </c>
      <c r="AD244" s="145"/>
      <c r="AE244" s="145"/>
    </row>
    <row r="245" spans="2:31" x14ac:dyDescent="0.3">
      <c r="B245" s="9">
        <v>44068</v>
      </c>
      <c r="C245" s="4">
        <v>238</v>
      </c>
      <c r="D245" s="145"/>
      <c r="E245" s="10"/>
      <c r="F245" s="10">
        <f>Tabella3[[#This Row],[Spain daily cases]]*NOT(ISBLANK(Tabella3[[#This Row],[Spain daily cases]]))</f>
        <v>0</v>
      </c>
      <c r="G245" s="90">
        <f>IFERROR(Kf*_xlfn.LOGNORM.DIST((Tabella3[[#This Row],[Day]]-pf),mu_f,sigma_f,FALSE),0)</f>
        <v>0.21950953573395698</v>
      </c>
      <c r="H245" s="90">
        <f>Tabella3[[#This Row],[Spain daily cases fit]]/y_f_peak</f>
        <v>3.2886970163741454E-5</v>
      </c>
      <c r="I245" s="10">
        <f>Tabella3[[#This Row],[Spain daily cases fit]]*NOT(ISBLANK(Tabella3[[#This Row],[Spain daily cases]]))</f>
        <v>0</v>
      </c>
      <c r="J245" s="145"/>
      <c r="K245" s="145"/>
      <c r="L245" s="145"/>
      <c r="M245" s="10"/>
      <c r="N245" s="10">
        <f>Tabella3[[#This Row],[Lombardy data]]*NOT(ISBLANK(Tabella3[[#This Row],[Lombardy data]]))</f>
        <v>0</v>
      </c>
      <c r="O245" s="95" t="e">
        <f>Tabella8[[#This Row],[Lombardy fit]]</f>
        <v>#VALUE!</v>
      </c>
      <c r="P245" s="90" t="e">
        <f>Tabella3[[#This Row],[Lombardy cumul. Fit]]/Kl</f>
        <v>#VALUE!</v>
      </c>
      <c r="Q245" s="90">
        <f>IFERROR(Kl*_xlfn.LOGNORM.DIST((Tabella3[[#This Row],[Day]]-pl),mu_l,sigma_l,FALSE),0)</f>
        <v>0.85995470439869859</v>
      </c>
      <c r="R245" s="90">
        <f>Tabella3[[#This Row],[Lombardy fit]]/y_l_peak</f>
        <v>4.8917916706156506E-4</v>
      </c>
      <c r="S245" s="10">
        <f>Tabella3[[#This Row],[Lombardy fit]]*NOT(ISBLANK(Tabella3[[#This Row],[Lombardy data]]))</f>
        <v>0</v>
      </c>
      <c r="T245" s="145"/>
      <c r="U245" s="145"/>
      <c r="V245" s="145"/>
      <c r="W245" s="10"/>
      <c r="X245" s="10">
        <f>Tabella3[[#This Row],[rest of Italy data]]*NOT(ISBLANK(Tabella3[[#This Row],[rest of Italy data]]))</f>
        <v>0</v>
      </c>
      <c r="Y245" s="95" t="e">
        <f>Tabella8[[#This Row],[rest of Italy fit]]</f>
        <v>#VALUE!</v>
      </c>
      <c r="Z245" s="90" t="e">
        <f>Tabella3[[#This Row],[rest of Italy cumul. Fit]]/Ka</f>
        <v>#VALUE!</v>
      </c>
      <c r="AA245" s="90">
        <f>IFERROR(Ka*_xlfn.LOGNORM.DIST((Tabella3[[#This Row],[Day]]-pa),mu_a,sigma_a,FALSE),0)</f>
        <v>0.46328154545346967</v>
      </c>
      <c r="AB245" s="90">
        <f>Tabella3[[#This Row],[rest of Italy fit]]/y_a_peak</f>
        <v>1.3710006001489507E-4</v>
      </c>
      <c r="AC245" s="10">
        <f>Tabella3[[#This Row],[rest of Italy fit]]*NOT(ISBLANK(Tabella3[[#This Row],[rest of Italy data]]))</f>
        <v>0</v>
      </c>
      <c r="AD245" s="145"/>
      <c r="AE245" s="145"/>
    </row>
    <row r="246" spans="2:31" x14ac:dyDescent="0.3">
      <c r="B246" s="9">
        <v>44069</v>
      </c>
      <c r="C246" s="4">
        <v>239</v>
      </c>
      <c r="D246" s="145"/>
      <c r="E246" s="10"/>
      <c r="F246" s="10">
        <f>Tabella3[[#This Row],[Spain daily cases]]*NOT(ISBLANK(Tabella3[[#This Row],[Spain daily cases]]))</f>
        <v>0</v>
      </c>
      <c r="G246" s="90">
        <f>IFERROR(Kf*_xlfn.LOGNORM.DIST((Tabella3[[#This Row],[Day]]-pf),mu_f,sigma_f,FALSE),0)</f>
        <v>0.20202914067618258</v>
      </c>
      <c r="H246" s="90">
        <f>Tabella3[[#This Row],[Spain daily cases fit]]/y_f_peak</f>
        <v>3.026805327344205E-5</v>
      </c>
      <c r="I246" s="10">
        <f>Tabella3[[#This Row],[Spain daily cases fit]]*NOT(ISBLANK(Tabella3[[#This Row],[Spain daily cases]]))</f>
        <v>0</v>
      </c>
      <c r="J246" s="145"/>
      <c r="K246" s="145"/>
      <c r="L246" s="145"/>
      <c r="M246" s="10"/>
      <c r="N246" s="10">
        <f>Tabella3[[#This Row],[Lombardy data]]*NOT(ISBLANK(Tabella3[[#This Row],[Lombardy data]]))</f>
        <v>0</v>
      </c>
      <c r="O246" s="95" t="e">
        <f>Tabella8[[#This Row],[Lombardy fit]]</f>
        <v>#VALUE!</v>
      </c>
      <c r="P246" s="90" t="e">
        <f>Tabella3[[#This Row],[Lombardy cumul. Fit]]/Kl</f>
        <v>#VALUE!</v>
      </c>
      <c r="Q246" s="90">
        <f>IFERROR(Kl*_xlfn.LOGNORM.DIST((Tabella3[[#This Row],[Day]]-pl),mu_l,sigma_l,FALSE),0)</f>
        <v>0.81358049312119352</v>
      </c>
      <c r="R246" s="90">
        <f>Tabella3[[#This Row],[Lombardy fit]]/y_l_peak</f>
        <v>4.6279952412243015E-4</v>
      </c>
      <c r="S246" s="10">
        <f>Tabella3[[#This Row],[Lombardy fit]]*NOT(ISBLANK(Tabella3[[#This Row],[Lombardy data]]))</f>
        <v>0</v>
      </c>
      <c r="T246" s="145"/>
      <c r="U246" s="145"/>
      <c r="V246" s="145"/>
      <c r="W246" s="10"/>
      <c r="X246" s="10">
        <f>Tabella3[[#This Row],[rest of Italy data]]*NOT(ISBLANK(Tabella3[[#This Row],[rest of Italy data]]))</f>
        <v>0</v>
      </c>
      <c r="Y246" s="95" t="e">
        <f>Tabella8[[#This Row],[rest of Italy fit]]</f>
        <v>#VALUE!</v>
      </c>
      <c r="Z246" s="90" t="e">
        <f>Tabella3[[#This Row],[rest of Italy cumul. Fit]]/Ka</f>
        <v>#VALUE!</v>
      </c>
      <c r="AA246" s="90">
        <f>IFERROR(Ka*_xlfn.LOGNORM.DIST((Tabella3[[#This Row],[Day]]-pa),mu_a,sigma_a,FALSE),0)</f>
        <v>0.43392534879496003</v>
      </c>
      <c r="AB246" s="90">
        <f>Tabella3[[#This Row],[rest of Italy fit]]/y_a_peak</f>
        <v>1.2841260772332745E-4</v>
      </c>
      <c r="AC246" s="10">
        <f>Tabella3[[#This Row],[rest of Italy fit]]*NOT(ISBLANK(Tabella3[[#This Row],[rest of Italy data]]))</f>
        <v>0</v>
      </c>
      <c r="AD246" s="145"/>
      <c r="AE246" s="145"/>
    </row>
    <row r="247" spans="2:31" x14ac:dyDescent="0.3">
      <c r="B247" s="9">
        <v>44070</v>
      </c>
      <c r="C247" s="4">
        <v>240</v>
      </c>
      <c r="D247" s="145"/>
      <c r="E247" s="10"/>
      <c r="F247" s="10">
        <f>Tabella3[[#This Row],[Spain daily cases]]*NOT(ISBLANK(Tabella3[[#This Row],[Spain daily cases]]))</f>
        <v>0</v>
      </c>
      <c r="G247" s="90">
        <f>IFERROR(Kf*_xlfn.LOGNORM.DIST((Tabella3[[#This Row],[Day]]-pf),mu_f,sigma_f,FALSE),0)</f>
        <v>0.18595466208146982</v>
      </c>
      <c r="H247" s="90">
        <f>Tabella3[[#This Row],[Spain daily cases fit]]/y_f_peak</f>
        <v>2.7859771117614771E-5</v>
      </c>
      <c r="I247" s="10">
        <f>Tabella3[[#This Row],[Spain daily cases fit]]*NOT(ISBLANK(Tabella3[[#This Row],[Spain daily cases]]))</f>
        <v>0</v>
      </c>
      <c r="J247" s="145"/>
      <c r="K247" s="145"/>
      <c r="L247" s="145"/>
      <c r="M247" s="10"/>
      <c r="N247" s="10">
        <f>Tabella3[[#This Row],[Lombardy data]]*NOT(ISBLANK(Tabella3[[#This Row],[Lombardy data]]))</f>
        <v>0</v>
      </c>
      <c r="O247" s="95" t="e">
        <f>Tabella8[[#This Row],[Lombardy fit]]</f>
        <v>#VALUE!</v>
      </c>
      <c r="P247" s="90" t="e">
        <f>Tabella3[[#This Row],[Lombardy cumul. Fit]]/Kl</f>
        <v>#VALUE!</v>
      </c>
      <c r="Q247" s="90">
        <f>IFERROR(Kl*_xlfn.LOGNORM.DIST((Tabella3[[#This Row],[Day]]-pl),mu_l,sigma_l,FALSE),0)</f>
        <v>0.76975846437346696</v>
      </c>
      <c r="R247" s="90">
        <f>Tabella3[[#This Row],[Lombardy fit]]/y_l_peak</f>
        <v>4.3787167221103211E-4</v>
      </c>
      <c r="S247" s="10">
        <f>Tabella3[[#This Row],[Lombardy fit]]*NOT(ISBLANK(Tabella3[[#This Row],[Lombardy data]]))</f>
        <v>0</v>
      </c>
      <c r="T247" s="145"/>
      <c r="U247" s="145"/>
      <c r="V247" s="145"/>
      <c r="W247" s="10"/>
      <c r="X247" s="10">
        <f>Tabella3[[#This Row],[rest of Italy data]]*NOT(ISBLANK(Tabella3[[#This Row],[rest of Italy data]]))</f>
        <v>0</v>
      </c>
      <c r="Y247" s="95" t="e">
        <f>Tabella8[[#This Row],[rest of Italy fit]]</f>
        <v>#VALUE!</v>
      </c>
      <c r="Z247" s="90" t="e">
        <f>Tabella3[[#This Row],[rest of Italy cumul. Fit]]/Ka</f>
        <v>#VALUE!</v>
      </c>
      <c r="AA247" s="90">
        <f>IFERROR(Ka*_xlfn.LOGNORM.DIST((Tabella3[[#This Row],[Day]]-pa),mu_a,sigma_a,FALSE),0)</f>
        <v>0.40646436449356915</v>
      </c>
      <c r="AB247" s="90">
        <f>Tabella3[[#This Row],[rest of Italy fit]]/y_a_peak</f>
        <v>1.2028601033835367E-4</v>
      </c>
      <c r="AC247" s="10">
        <f>Tabella3[[#This Row],[rest of Italy fit]]*NOT(ISBLANK(Tabella3[[#This Row],[rest of Italy data]]))</f>
        <v>0</v>
      </c>
      <c r="AD247" s="145"/>
      <c r="AE247" s="145"/>
    </row>
    <row r="248" spans="2:31" x14ac:dyDescent="0.3">
      <c r="B248" s="9">
        <v>44071</v>
      </c>
      <c r="C248" s="4">
        <v>241</v>
      </c>
      <c r="D248" s="145"/>
      <c r="E248" s="10"/>
      <c r="F248" s="10">
        <f>Tabella3[[#This Row],[Spain daily cases]]*NOT(ISBLANK(Tabella3[[#This Row],[Spain daily cases]]))</f>
        <v>0</v>
      </c>
      <c r="G248" s="90">
        <f>IFERROR(Kf*_xlfn.LOGNORM.DIST((Tabella3[[#This Row],[Day]]-pf),mu_f,sigma_f,FALSE),0)</f>
        <v>0.17117208199087416</v>
      </c>
      <c r="H248" s="90">
        <f>Tabella3[[#This Row],[Spain daily cases fit]]/y_f_peak</f>
        <v>2.5645041498889909E-5</v>
      </c>
      <c r="I248" s="10">
        <f>Tabella3[[#This Row],[Spain daily cases fit]]*NOT(ISBLANK(Tabella3[[#This Row],[Spain daily cases]]))</f>
        <v>0</v>
      </c>
      <c r="J248" s="145"/>
      <c r="K248" s="145"/>
      <c r="L248" s="145"/>
      <c r="M248" s="10"/>
      <c r="N248" s="10">
        <f>Tabella3[[#This Row],[Lombardy data]]*NOT(ISBLANK(Tabella3[[#This Row],[Lombardy data]]))</f>
        <v>0</v>
      </c>
      <c r="O248" s="95" t="e">
        <f>Tabella8[[#This Row],[Lombardy fit]]</f>
        <v>#VALUE!</v>
      </c>
      <c r="P248" s="90" t="e">
        <f>Tabella3[[#This Row],[Lombardy cumul. Fit]]/Kl</f>
        <v>#VALUE!</v>
      </c>
      <c r="Q248" s="90">
        <f>IFERROR(Kl*_xlfn.LOGNORM.DIST((Tabella3[[#This Row],[Day]]-pl),mu_l,sigma_l,FALSE),0)</f>
        <v>0.72834568294645352</v>
      </c>
      <c r="R248" s="90">
        <f>Tabella3[[#This Row],[Lombardy fit]]/y_l_peak</f>
        <v>4.1431430364202807E-4</v>
      </c>
      <c r="S248" s="10">
        <f>Tabella3[[#This Row],[Lombardy fit]]*NOT(ISBLANK(Tabella3[[#This Row],[Lombardy data]]))</f>
        <v>0</v>
      </c>
      <c r="T248" s="145"/>
      <c r="U248" s="145"/>
      <c r="V248" s="145"/>
      <c r="W248" s="10"/>
      <c r="X248" s="10">
        <f>Tabella3[[#This Row],[rest of Italy data]]*NOT(ISBLANK(Tabella3[[#This Row],[rest of Italy data]]))</f>
        <v>0</v>
      </c>
      <c r="Y248" s="95" t="e">
        <f>Tabella8[[#This Row],[rest of Italy fit]]</f>
        <v>#VALUE!</v>
      </c>
      <c r="Z248" s="90" t="e">
        <f>Tabella3[[#This Row],[rest of Italy cumul. Fit]]/Ka</f>
        <v>#VALUE!</v>
      </c>
      <c r="AA248" s="90">
        <f>IFERROR(Ka*_xlfn.LOGNORM.DIST((Tabella3[[#This Row],[Day]]-pa),mu_a,sigma_a,FALSE),0)</f>
        <v>0.380774192023767</v>
      </c>
      <c r="AB248" s="90">
        <f>Tabella3[[#This Row],[rest of Italy fit]]/y_a_peak</f>
        <v>1.1268345370304598E-4</v>
      </c>
      <c r="AC248" s="10">
        <f>Tabella3[[#This Row],[rest of Italy fit]]*NOT(ISBLANK(Tabella3[[#This Row],[rest of Italy data]]))</f>
        <v>0</v>
      </c>
      <c r="AD248" s="145"/>
      <c r="AE248" s="145"/>
    </row>
    <row r="249" spans="2:31" x14ac:dyDescent="0.3">
      <c r="B249" s="9">
        <v>44072</v>
      </c>
      <c r="C249" s="4">
        <v>242</v>
      </c>
      <c r="D249" s="145"/>
      <c r="E249" s="10"/>
      <c r="F249" s="10">
        <f>Tabella3[[#This Row],[Spain daily cases]]*NOT(ISBLANK(Tabella3[[#This Row],[Spain daily cases]]))</f>
        <v>0</v>
      </c>
      <c r="G249" s="90">
        <f>IFERROR(Kf*_xlfn.LOGNORM.DIST((Tabella3[[#This Row],[Day]]-pf),mu_f,sigma_f,FALSE),0)</f>
        <v>0.15757668832173449</v>
      </c>
      <c r="H249" s="90">
        <f>Tabella3[[#This Row],[Spain daily cases fit]]/y_f_peak</f>
        <v>2.3608176428466683E-5</v>
      </c>
      <c r="I249" s="10">
        <f>Tabella3[[#This Row],[Spain daily cases fit]]*NOT(ISBLANK(Tabella3[[#This Row],[Spain daily cases]]))</f>
        <v>0</v>
      </c>
      <c r="J249" s="145"/>
      <c r="K249" s="145"/>
      <c r="L249" s="145"/>
      <c r="M249" s="10"/>
      <c r="N249" s="10">
        <f>Tabella3[[#This Row],[Lombardy data]]*NOT(ISBLANK(Tabella3[[#This Row],[Lombardy data]]))</f>
        <v>0</v>
      </c>
      <c r="O249" s="95" t="e">
        <f>Tabella8[[#This Row],[Lombardy fit]]</f>
        <v>#VALUE!</v>
      </c>
      <c r="P249" s="90" t="e">
        <f>Tabella3[[#This Row],[Lombardy cumul. Fit]]/Kl</f>
        <v>#VALUE!</v>
      </c>
      <c r="Q249" s="90">
        <f>IFERROR(Kl*_xlfn.LOGNORM.DIST((Tabella3[[#This Row],[Day]]-pl),mu_l,sigma_l,FALSE),0)</f>
        <v>0.68920733165576609</v>
      </c>
      <c r="R249" s="90">
        <f>Tabella3[[#This Row],[Lombardy fit]]/y_l_peak</f>
        <v>3.9205072861114485E-4</v>
      </c>
      <c r="S249" s="10">
        <f>Tabella3[[#This Row],[Lombardy fit]]*NOT(ISBLANK(Tabella3[[#This Row],[Lombardy data]]))</f>
        <v>0</v>
      </c>
      <c r="T249" s="145"/>
      <c r="U249" s="145"/>
      <c r="V249" s="145"/>
      <c r="W249" s="10"/>
      <c r="X249" s="10">
        <f>Tabella3[[#This Row],[rest of Italy data]]*NOT(ISBLANK(Tabella3[[#This Row],[rest of Italy data]]))</f>
        <v>0</v>
      </c>
      <c r="Y249" s="95" t="e">
        <f>Tabella8[[#This Row],[rest of Italy fit]]</f>
        <v>#VALUE!</v>
      </c>
      <c r="Z249" s="90" t="e">
        <f>Tabella3[[#This Row],[rest of Italy cumul. Fit]]/Ka</f>
        <v>#VALUE!</v>
      </c>
      <c r="AA249" s="90">
        <f>IFERROR(Ka*_xlfn.LOGNORM.DIST((Tabella3[[#This Row],[Day]]-pa),mu_a,sigma_a,FALSE),0)</f>
        <v>0.35673871298912757</v>
      </c>
      <c r="AB249" s="90">
        <f>Tabella3[[#This Row],[rest of Italy fit]]/y_a_peak</f>
        <v>1.055705746115416E-4</v>
      </c>
      <c r="AC249" s="10">
        <f>Tabella3[[#This Row],[rest of Italy fit]]*NOT(ISBLANK(Tabella3[[#This Row],[rest of Italy data]]))</f>
        <v>0</v>
      </c>
      <c r="AD249" s="145"/>
      <c r="AE249" s="145"/>
    </row>
    <row r="250" spans="2:31" x14ac:dyDescent="0.3">
      <c r="B250" s="9">
        <v>44073</v>
      </c>
      <c r="C250" s="4">
        <v>243</v>
      </c>
      <c r="D250" s="145"/>
      <c r="E250" s="10"/>
      <c r="F250" s="10">
        <f>Tabella3[[#This Row],[Spain daily cases]]*NOT(ISBLANK(Tabella3[[#This Row],[Spain daily cases]]))</f>
        <v>0</v>
      </c>
      <c r="G250" s="90">
        <f>IFERROR(Kf*_xlfn.LOGNORM.DIST((Tabella3[[#This Row],[Day]]-pf),mu_f,sigma_f,FALSE),0)</f>
        <v>0.14507231226931672</v>
      </c>
      <c r="H250" s="90">
        <f>Tabella3[[#This Row],[Spain daily cases fit]]/y_f_peak</f>
        <v>2.1734767873448493E-5</v>
      </c>
      <c r="I250" s="10">
        <f>Tabella3[[#This Row],[Spain daily cases fit]]*NOT(ISBLANK(Tabella3[[#This Row],[Spain daily cases]]))</f>
        <v>0</v>
      </c>
      <c r="J250" s="145"/>
      <c r="K250" s="145"/>
      <c r="L250" s="145"/>
      <c r="M250" s="10"/>
      <c r="N250" s="10">
        <f>Tabella3[[#This Row],[Lombardy data]]*NOT(ISBLANK(Tabella3[[#This Row],[Lombardy data]]))</f>
        <v>0</v>
      </c>
      <c r="O250" s="95" t="e">
        <f>Tabella8[[#This Row],[Lombardy fit]]</f>
        <v>#VALUE!</v>
      </c>
      <c r="P250" s="90" t="e">
        <f>Tabella3[[#This Row],[Lombardy cumul. Fit]]/Kl</f>
        <v>#VALUE!</v>
      </c>
      <c r="Q250" s="90">
        <f>IFERROR(Kl*_xlfn.LOGNORM.DIST((Tabella3[[#This Row],[Day]]-pl),mu_l,sigma_l,FALSE),0)</f>
        <v>0.65221624582942583</v>
      </c>
      <c r="R250" s="90">
        <f>Tabella3[[#This Row],[Lombardy fit]]/y_l_peak</f>
        <v>3.7100861039180837E-4</v>
      </c>
      <c r="S250" s="10">
        <f>Tabella3[[#This Row],[Lombardy fit]]*NOT(ISBLANK(Tabella3[[#This Row],[Lombardy data]]))</f>
        <v>0</v>
      </c>
      <c r="T250" s="145"/>
      <c r="U250" s="145"/>
      <c r="V250" s="145"/>
      <c r="W250" s="10"/>
      <c r="X250" s="10">
        <f>Tabella3[[#This Row],[rest of Italy data]]*NOT(ISBLANK(Tabella3[[#This Row],[rest of Italy data]]))</f>
        <v>0</v>
      </c>
      <c r="Y250" s="95" t="e">
        <f>Tabella8[[#This Row],[rest of Italy fit]]</f>
        <v>#VALUE!</v>
      </c>
      <c r="Z250" s="90" t="e">
        <f>Tabella3[[#This Row],[rest of Italy cumul. Fit]]/Ka</f>
        <v>#VALUE!</v>
      </c>
      <c r="AA250" s="90">
        <f>IFERROR(Ka*_xlfn.LOGNORM.DIST((Tabella3[[#This Row],[Day]]-pa),mu_a,sigma_a,FALSE),0)</f>
        <v>0.33424953349259295</v>
      </c>
      <c r="AB250" s="90">
        <f>Tabella3[[#This Row],[rest of Italy fit]]/y_a_peak</f>
        <v>9.8915295788288066E-5</v>
      </c>
      <c r="AC250" s="10">
        <f>Tabella3[[#This Row],[rest of Italy fit]]*NOT(ISBLANK(Tabella3[[#This Row],[rest of Italy data]]))</f>
        <v>0</v>
      </c>
      <c r="AD250" s="145"/>
      <c r="AE250" s="145"/>
    </row>
    <row r="251" spans="2:31" x14ac:dyDescent="0.3">
      <c r="B251" s="9">
        <v>44074</v>
      </c>
      <c r="C251" s="4">
        <v>244</v>
      </c>
      <c r="D251" s="145"/>
      <c r="E251" s="10"/>
      <c r="F251" s="10">
        <f>Tabella3[[#This Row],[Spain daily cases]]*NOT(ISBLANK(Tabella3[[#This Row],[Spain daily cases]]))</f>
        <v>0</v>
      </c>
      <c r="G251" s="90">
        <f>IFERROR(Kf*_xlfn.LOGNORM.DIST((Tabella3[[#This Row],[Day]]-pf),mu_f,sigma_f,FALSE),0)</f>
        <v>0.13357062827114596</v>
      </c>
      <c r="H251" s="90">
        <f>Tabella3[[#This Row],[Spain daily cases fit]]/y_f_peak</f>
        <v>2.0011582877334861E-5</v>
      </c>
      <c r="I251" s="10">
        <f>Tabella3[[#This Row],[Spain daily cases fit]]*NOT(ISBLANK(Tabella3[[#This Row],[Spain daily cases]]))</f>
        <v>0</v>
      </c>
      <c r="J251" s="145"/>
      <c r="K251" s="145"/>
      <c r="L251" s="145"/>
      <c r="M251" s="10"/>
      <c r="N251" s="10">
        <f>Tabella3[[#This Row],[Lombardy data]]*NOT(ISBLANK(Tabella3[[#This Row],[Lombardy data]]))</f>
        <v>0</v>
      </c>
      <c r="O251" s="95" t="e">
        <f>Tabella8[[#This Row],[Lombardy fit]]</f>
        <v>#VALUE!</v>
      </c>
      <c r="P251" s="90" t="e">
        <f>Tabella3[[#This Row],[Lombardy cumul. Fit]]/Kl</f>
        <v>#VALUE!</v>
      </c>
      <c r="Q251" s="90">
        <f>IFERROR(Kl*_xlfn.LOGNORM.DIST((Tabella3[[#This Row],[Day]]-pl),mu_l,sigma_l,FALSE),0)</f>
        <v>0.61725247458845545</v>
      </c>
      <c r="R251" s="90">
        <f>Tabella3[[#This Row],[Lombardy fit]]/y_l_peak</f>
        <v>3.5111971577270369E-4</v>
      </c>
      <c r="S251" s="10">
        <f>Tabella3[[#This Row],[Lombardy fit]]*NOT(ISBLANK(Tabella3[[#This Row],[Lombardy data]]))</f>
        <v>0</v>
      </c>
      <c r="T251" s="145"/>
      <c r="U251" s="145"/>
      <c r="V251" s="145"/>
      <c r="W251" s="10"/>
      <c r="X251" s="10">
        <f>Tabella3[[#This Row],[rest of Italy data]]*NOT(ISBLANK(Tabella3[[#This Row],[rest of Italy data]]))</f>
        <v>0</v>
      </c>
      <c r="Y251" s="95" t="e">
        <f>Tabella8[[#This Row],[rest of Italy fit]]</f>
        <v>#VALUE!</v>
      </c>
      <c r="Z251" s="90" t="e">
        <f>Tabella3[[#This Row],[rest of Italy cumul. Fit]]/Ka</f>
        <v>#VALUE!</v>
      </c>
      <c r="AA251" s="90">
        <f>IFERROR(Ka*_xlfn.LOGNORM.DIST((Tabella3[[#This Row],[Day]]-pa),mu_a,sigma_a,FALSE),0)</f>
        <v>0.31320546433671753</v>
      </c>
      <c r="AB251" s="90">
        <f>Tabella3[[#This Row],[rest of Italy fit]]/y_a_peak</f>
        <v>9.2687672062408629E-5</v>
      </c>
      <c r="AC251" s="10">
        <f>Tabella3[[#This Row],[rest of Italy fit]]*NOT(ISBLANK(Tabella3[[#This Row],[rest of Italy data]]))</f>
        <v>0</v>
      </c>
      <c r="AD251" s="145"/>
      <c r="AE251" s="145"/>
    </row>
    <row r="252" spans="2:31" x14ac:dyDescent="0.3">
      <c r="B252" s="9">
        <v>44075</v>
      </c>
      <c r="C252" s="4">
        <v>245</v>
      </c>
      <c r="D252" s="145"/>
      <c r="E252" s="10"/>
      <c r="F252" s="10">
        <f>Tabella3[[#This Row],[Spain daily cases]]*NOT(ISBLANK(Tabella3[[#This Row],[Spain daily cases]]))</f>
        <v>0</v>
      </c>
      <c r="G252" s="90">
        <f>IFERROR(Kf*_xlfn.LOGNORM.DIST((Tabella3[[#This Row],[Day]]-pf),mu_f,sigma_f,FALSE),0)</f>
        <v>0.12299051141529249</v>
      </c>
      <c r="H252" s="90">
        <f>Tabella3[[#This Row],[Spain daily cases fit]]/y_f_peak</f>
        <v>1.8426467286780013E-5</v>
      </c>
      <c r="I252" s="10">
        <f>Tabella3[[#This Row],[Spain daily cases fit]]*NOT(ISBLANK(Tabella3[[#This Row],[Spain daily cases]]))</f>
        <v>0</v>
      </c>
      <c r="J252" s="145"/>
      <c r="K252" s="145"/>
      <c r="L252" s="145"/>
      <c r="M252" s="10"/>
      <c r="N252" s="10">
        <f>Tabella3[[#This Row],[Lombardy data]]*NOT(ISBLANK(Tabella3[[#This Row],[Lombardy data]]))</f>
        <v>0</v>
      </c>
      <c r="O252" s="95" t="e">
        <f>Tabella8[[#This Row],[Lombardy fit]]</f>
        <v>#VALUE!</v>
      </c>
      <c r="P252" s="90" t="e">
        <f>Tabella3[[#This Row],[Lombardy cumul. Fit]]/Kl</f>
        <v>#VALUE!</v>
      </c>
      <c r="Q252" s="90">
        <f>IFERROR(Kl*_xlfn.LOGNORM.DIST((Tabella3[[#This Row],[Day]]-pl),mu_l,sigma_l,FALSE),0)</f>
        <v>0.58420286738576432</v>
      </c>
      <c r="R252" s="90">
        <f>Tabella3[[#This Row],[Lombardy fit]]/y_l_peak</f>
        <v>3.3231967986333704E-4</v>
      </c>
      <c r="S252" s="10">
        <f>Tabella3[[#This Row],[Lombardy fit]]*NOT(ISBLANK(Tabella3[[#This Row],[Lombardy data]]))</f>
        <v>0</v>
      </c>
      <c r="T252" s="145"/>
      <c r="U252" s="145"/>
      <c r="V252" s="145"/>
      <c r="W252" s="10"/>
      <c r="X252" s="10">
        <f>Tabella3[[#This Row],[rest of Italy data]]*NOT(ISBLANK(Tabella3[[#This Row],[rest of Italy data]]))</f>
        <v>0</v>
      </c>
      <c r="Y252" s="95" t="e">
        <f>Tabella8[[#This Row],[rest of Italy fit]]</f>
        <v>#VALUE!</v>
      </c>
      <c r="Z252" s="90" t="e">
        <f>Tabella3[[#This Row],[rest of Italy cumul. Fit]]/Ka</f>
        <v>#VALUE!</v>
      </c>
      <c r="AA252" s="90">
        <f>IFERROR(Ka*_xlfn.LOGNORM.DIST((Tabella3[[#This Row],[Day]]-pa),mu_a,sigma_a,FALSE),0)</f>
        <v>0.29351203648040042</v>
      </c>
      <c r="AB252" s="90">
        <f>Tabella3[[#This Row],[rest of Italy fit]]/y_a_peak</f>
        <v>8.6859746975607917E-5</v>
      </c>
      <c r="AC252" s="10">
        <f>Tabella3[[#This Row],[rest of Italy fit]]*NOT(ISBLANK(Tabella3[[#This Row],[rest of Italy data]]))</f>
        <v>0</v>
      </c>
      <c r="AD252" s="145"/>
      <c r="AE252" s="145"/>
    </row>
    <row r="253" spans="2:31" x14ac:dyDescent="0.3">
      <c r="B253" s="9">
        <v>44076</v>
      </c>
      <c r="C253" s="4">
        <v>246</v>
      </c>
      <c r="D253" s="145"/>
      <c r="E253" s="10"/>
      <c r="F253" s="10">
        <f>Tabella3[[#This Row],[Spain daily cases]]*NOT(ISBLANK(Tabella3[[#This Row],[Spain daily cases]]))</f>
        <v>0</v>
      </c>
      <c r="G253" s="90">
        <f>IFERROR(Kf*_xlfn.LOGNORM.DIST((Tabella3[[#This Row],[Day]]-pf),mu_f,sigma_f,FALSE),0)</f>
        <v>0.11325744758948496</v>
      </c>
      <c r="H253" s="90">
        <f>Tabella3[[#This Row],[Spain daily cases fit]]/y_f_peak</f>
        <v>1.6968257379994597E-5</v>
      </c>
      <c r="I253" s="10">
        <f>Tabella3[[#This Row],[Spain daily cases fit]]*NOT(ISBLANK(Tabella3[[#This Row],[Spain daily cases]]))</f>
        <v>0</v>
      </c>
      <c r="J253" s="145"/>
      <c r="K253" s="145"/>
      <c r="L253" s="145"/>
      <c r="M253" s="10"/>
      <c r="N253" s="10">
        <f>Tabella3[[#This Row],[Lombardy data]]*NOT(ISBLANK(Tabella3[[#This Row],[Lombardy data]]))</f>
        <v>0</v>
      </c>
      <c r="O253" s="95" t="e">
        <f>Tabella8[[#This Row],[Lombardy fit]]</f>
        <v>#VALUE!</v>
      </c>
      <c r="P253" s="90" t="e">
        <f>Tabella3[[#This Row],[Lombardy cumul. Fit]]/Kl</f>
        <v>#VALUE!</v>
      </c>
      <c r="Q253" s="90">
        <f>IFERROR(Kl*_xlfn.LOGNORM.DIST((Tabella3[[#This Row],[Day]]-pl),mu_l,sigma_l,FALSE),0)</f>
        <v>0.55296068435463097</v>
      </c>
      <c r="R253" s="90">
        <f>Tabella3[[#This Row],[Lombardy fit]]/y_l_peak</f>
        <v>3.1454778444351832E-4</v>
      </c>
      <c r="S253" s="10">
        <f>Tabella3[[#This Row],[Lombardy fit]]*NOT(ISBLANK(Tabella3[[#This Row],[Lombardy data]]))</f>
        <v>0</v>
      </c>
      <c r="T253" s="145"/>
      <c r="U253" s="145"/>
      <c r="V253" s="145"/>
      <c r="W253" s="10"/>
      <c r="X253" s="10">
        <f>Tabella3[[#This Row],[rest of Italy data]]*NOT(ISBLANK(Tabella3[[#This Row],[rest of Italy data]]))</f>
        <v>0</v>
      </c>
      <c r="Y253" s="95" t="e">
        <f>Tabella8[[#This Row],[rest of Italy fit]]</f>
        <v>#VALUE!</v>
      </c>
      <c r="Z253" s="90" t="e">
        <f>Tabella3[[#This Row],[rest of Italy cumul. Fit]]/Ka</f>
        <v>#VALUE!</v>
      </c>
      <c r="AA253" s="90">
        <f>IFERROR(Ka*_xlfn.LOGNORM.DIST((Tabella3[[#This Row],[Day]]-pa),mu_a,sigma_a,FALSE),0)</f>
        <v>0.27508104935314132</v>
      </c>
      <c r="AB253" s="90">
        <f>Tabella3[[#This Row],[rest of Italy fit]]/y_a_peak</f>
        <v>8.1405419113686259E-5</v>
      </c>
      <c r="AC253" s="10">
        <f>Tabella3[[#This Row],[rest of Italy fit]]*NOT(ISBLANK(Tabella3[[#This Row],[rest of Italy data]]))</f>
        <v>0</v>
      </c>
      <c r="AD253" s="145"/>
      <c r="AE253" s="145"/>
    </row>
    <row r="254" spans="2:31" x14ac:dyDescent="0.3">
      <c r="B254" s="9">
        <v>44077</v>
      </c>
      <c r="C254" s="4">
        <v>247</v>
      </c>
      <c r="D254" s="145"/>
      <c r="E254" s="10"/>
      <c r="F254" s="10">
        <f>Tabella3[[#This Row],[Spain daily cases]]*NOT(ISBLANK(Tabella3[[#This Row],[Spain daily cases]]))</f>
        <v>0</v>
      </c>
      <c r="G254" s="90">
        <f>IFERROR(Kf*_xlfn.LOGNORM.DIST((Tabella3[[#This Row],[Day]]-pf),mu_f,sigma_f,FALSE),0)</f>
        <v>0.10430299205011626</v>
      </c>
      <c r="H254" s="90">
        <f>Tabella3[[#This Row],[Spain daily cases fit]]/y_f_peak</f>
        <v>1.5626698749427039E-5</v>
      </c>
      <c r="I254" s="10">
        <f>Tabella3[[#This Row],[Spain daily cases fit]]*NOT(ISBLANK(Tabella3[[#This Row],[Spain daily cases]]))</f>
        <v>0</v>
      </c>
      <c r="J254" s="145"/>
      <c r="K254" s="145"/>
      <c r="L254" s="145"/>
      <c r="M254" s="10"/>
      <c r="N254" s="10">
        <f>Tabella3[[#This Row],[Lombardy data]]*NOT(ISBLANK(Tabella3[[#This Row],[Lombardy data]]))</f>
        <v>0</v>
      </c>
      <c r="O254" s="95" t="e">
        <f>Tabella8[[#This Row],[Lombardy fit]]</f>
        <v>#VALUE!</v>
      </c>
      <c r="P254" s="90" t="e">
        <f>Tabella3[[#This Row],[Lombardy cumul. Fit]]/Kl</f>
        <v>#VALUE!</v>
      </c>
      <c r="Q254" s="90">
        <f>IFERROR(Kl*_xlfn.LOGNORM.DIST((Tabella3[[#This Row],[Day]]-pl),mu_l,sigma_l,FALSE),0)</f>
        <v>0.5234252291001773</v>
      </c>
      <c r="R254" s="90">
        <f>Tabella3[[#This Row],[Lombardy fit]]/y_l_peak</f>
        <v>2.9774674907938217E-4</v>
      </c>
      <c r="S254" s="10">
        <f>Tabella3[[#This Row],[Lombardy fit]]*NOT(ISBLANK(Tabella3[[#This Row],[Lombardy data]]))</f>
        <v>0</v>
      </c>
      <c r="T254" s="145"/>
      <c r="U254" s="145"/>
      <c r="V254" s="145"/>
      <c r="W254" s="10"/>
      <c r="X254" s="10">
        <f>Tabella3[[#This Row],[rest of Italy data]]*NOT(ISBLANK(Tabella3[[#This Row],[rest of Italy data]]))</f>
        <v>0</v>
      </c>
      <c r="Y254" s="95" t="e">
        <f>Tabella8[[#This Row],[rest of Italy fit]]</f>
        <v>#VALUE!</v>
      </c>
      <c r="Z254" s="90" t="e">
        <f>Tabella3[[#This Row],[rest of Italy cumul. Fit]]/Ka</f>
        <v>#VALUE!</v>
      </c>
      <c r="AA254" s="90">
        <f>IFERROR(Ka*_xlfn.LOGNORM.DIST((Tabella3[[#This Row],[Day]]-pa),mu_a,sigma_a,FALSE),0)</f>
        <v>0.25783014979044461</v>
      </c>
      <c r="AB254" s="90">
        <f>Tabella3[[#This Row],[rest of Italy fit]]/y_a_peak</f>
        <v>7.6300317499846589E-5</v>
      </c>
      <c r="AC254" s="10">
        <f>Tabella3[[#This Row],[rest of Italy fit]]*NOT(ISBLANK(Tabella3[[#This Row],[rest of Italy data]]))</f>
        <v>0</v>
      </c>
      <c r="AD254" s="145"/>
      <c r="AE254" s="145"/>
    </row>
    <row r="255" spans="2:31" x14ac:dyDescent="0.3">
      <c r="B255" s="9">
        <v>44078</v>
      </c>
      <c r="C255" s="4">
        <v>248</v>
      </c>
      <c r="D255" s="145"/>
      <c r="E255" s="10"/>
      <c r="F255" s="10">
        <f>Tabella3[[#This Row],[Spain daily cases]]*NOT(ISBLANK(Tabella3[[#This Row],[Spain daily cases]]))</f>
        <v>0</v>
      </c>
      <c r="G255" s="90">
        <f>IFERROR(Kf*_xlfn.LOGNORM.DIST((Tabella3[[#This Row],[Day]]-pf),mu_f,sigma_f,FALSE),0)</f>
        <v>9.6064272441913623E-2</v>
      </c>
      <c r="H255" s="90">
        <f>Tabella3[[#This Row],[Spain daily cases fit]]/y_f_peak</f>
        <v>1.439237184405389E-5</v>
      </c>
      <c r="I255" s="10">
        <f>Tabella3[[#This Row],[Spain daily cases fit]]*NOT(ISBLANK(Tabella3[[#This Row],[Spain daily cases]]))</f>
        <v>0</v>
      </c>
      <c r="J255" s="145"/>
      <c r="K255" s="145"/>
      <c r="L255" s="145"/>
      <c r="M255" s="10"/>
      <c r="N255" s="10">
        <f>Tabella3[[#This Row],[Lombardy data]]*NOT(ISBLANK(Tabella3[[#This Row],[Lombardy data]]))</f>
        <v>0</v>
      </c>
      <c r="O255" s="95" t="e">
        <f>Tabella8[[#This Row],[Lombardy fit]]</f>
        <v>#VALUE!</v>
      </c>
      <c r="P255" s="90" t="e">
        <f>Tabella3[[#This Row],[Lombardy cumul. Fit]]/Kl</f>
        <v>#VALUE!</v>
      </c>
      <c r="Q255" s="90">
        <f>IFERROR(Kl*_xlfn.LOGNORM.DIST((Tabella3[[#This Row],[Day]]-pl),mu_l,sigma_l,FALSE),0)</f>
        <v>0.4955015026442452</v>
      </c>
      <c r="R255" s="90">
        <f>Tabella3[[#This Row],[Lombardy fit]]/y_l_peak</f>
        <v>2.8186253427237202E-4</v>
      </c>
      <c r="S255" s="10">
        <f>Tabella3[[#This Row],[Lombardy fit]]*NOT(ISBLANK(Tabella3[[#This Row],[Lombardy data]]))</f>
        <v>0</v>
      </c>
      <c r="T255" s="145"/>
      <c r="U255" s="145"/>
      <c r="V255" s="145"/>
      <c r="W255" s="10"/>
      <c r="X255" s="10">
        <f>Tabella3[[#This Row],[rest of Italy data]]*NOT(ISBLANK(Tabella3[[#This Row],[rest of Italy data]]))</f>
        <v>0</v>
      </c>
      <c r="Y255" s="95" t="e">
        <f>Tabella8[[#This Row],[rest of Italy fit]]</f>
        <v>#VALUE!</v>
      </c>
      <c r="Z255" s="90" t="e">
        <f>Tabella3[[#This Row],[rest of Italy cumul. Fit]]/Ka</f>
        <v>#VALUE!</v>
      </c>
      <c r="AA255" s="90">
        <f>IFERROR(Ka*_xlfn.LOGNORM.DIST((Tabella3[[#This Row],[Day]]-pa),mu_a,sigma_a,FALSE),0)</f>
        <v>0.24168243950584764</v>
      </c>
      <c r="AB255" s="90">
        <f>Tabella3[[#This Row],[rest of Italy fit]]/y_a_peak</f>
        <v>7.1521685432915418E-5</v>
      </c>
      <c r="AC255" s="10">
        <f>Tabella3[[#This Row],[rest of Italy fit]]*NOT(ISBLANK(Tabella3[[#This Row],[rest of Italy data]]))</f>
        <v>0</v>
      </c>
      <c r="AD255" s="145"/>
      <c r="AE255" s="145"/>
    </row>
    <row r="256" spans="2:31" x14ac:dyDescent="0.3">
      <c r="B256" s="9">
        <v>44079</v>
      </c>
      <c r="C256" s="4">
        <v>249</v>
      </c>
      <c r="D256" s="145"/>
      <c r="E256" s="10"/>
      <c r="F256" s="10">
        <f>Tabella3[[#This Row],[Spain daily cases]]*NOT(ISBLANK(Tabella3[[#This Row],[Spain daily cases]]))</f>
        <v>0</v>
      </c>
      <c r="G256" s="90">
        <f>IFERROR(Kf*_xlfn.LOGNORM.DIST((Tabella3[[#This Row],[Day]]-pf),mu_f,sigma_f,FALSE),0)</f>
        <v>8.8483532622466665E-2</v>
      </c>
      <c r="H256" s="90">
        <f>Tabella3[[#This Row],[Spain daily cases fit]]/y_f_peak</f>
        <v>1.3256623625063546E-5</v>
      </c>
      <c r="I256" s="10">
        <f>Tabella3[[#This Row],[Spain daily cases fit]]*NOT(ISBLANK(Tabella3[[#This Row],[Spain daily cases]]))</f>
        <v>0</v>
      </c>
      <c r="J256" s="145"/>
      <c r="K256" s="145"/>
      <c r="L256" s="145"/>
      <c r="M256" s="10"/>
      <c r="N256" s="10">
        <f>Tabella3[[#This Row],[Lombardy data]]*NOT(ISBLANK(Tabella3[[#This Row],[Lombardy data]]))</f>
        <v>0</v>
      </c>
      <c r="O256" s="95" t="e">
        <f>Tabella8[[#This Row],[Lombardy fit]]</f>
        <v>#VALUE!</v>
      </c>
      <c r="P256" s="90" t="e">
        <f>Tabella3[[#This Row],[Lombardy cumul. Fit]]/Kl</f>
        <v>#VALUE!</v>
      </c>
      <c r="Q256" s="90">
        <f>IFERROR(Kl*_xlfn.LOGNORM.DIST((Tabella3[[#This Row],[Day]]-pl),mu_l,sigma_l,FALSE),0)</f>
        <v>0.46909987730729369</v>
      </c>
      <c r="R256" s="90">
        <f>Tabella3[[#This Row],[Lombardy fit]]/y_l_peak</f>
        <v>2.6684415594925787E-4</v>
      </c>
      <c r="S256" s="10">
        <f>Tabella3[[#This Row],[Lombardy fit]]*NOT(ISBLANK(Tabella3[[#This Row],[Lombardy data]]))</f>
        <v>0</v>
      </c>
      <c r="T256" s="145"/>
      <c r="U256" s="145"/>
      <c r="V256" s="145"/>
      <c r="W256" s="10"/>
      <c r="X256" s="10">
        <f>Tabella3[[#This Row],[rest of Italy data]]*NOT(ISBLANK(Tabella3[[#This Row],[rest of Italy data]]))</f>
        <v>0</v>
      </c>
      <c r="Y256" s="95" t="e">
        <f>Tabella8[[#This Row],[rest of Italy fit]]</f>
        <v>#VALUE!</v>
      </c>
      <c r="Z256" s="90" t="e">
        <f>Tabella3[[#This Row],[rest of Italy cumul. Fit]]/Ka</f>
        <v>#VALUE!</v>
      </c>
      <c r="AA256" s="90">
        <f>IFERROR(Ka*_xlfn.LOGNORM.DIST((Tabella3[[#This Row],[Day]]-pa),mu_a,sigma_a,FALSE),0)</f>
        <v>0.22656610915671305</v>
      </c>
      <c r="AB256" s="90">
        <f>Tabella3[[#This Row],[rest of Italy fit]]/y_a_peak</f>
        <v>6.7048272195522645E-5</v>
      </c>
      <c r="AC256" s="10">
        <f>Tabella3[[#This Row],[rest of Italy fit]]*NOT(ISBLANK(Tabella3[[#This Row],[rest of Italy data]]))</f>
        <v>0</v>
      </c>
      <c r="AD256" s="145"/>
      <c r="AE256" s="145"/>
    </row>
    <row r="257" spans="2:31" x14ac:dyDescent="0.3">
      <c r="B257" s="9">
        <v>44080</v>
      </c>
      <c r="C257" s="4">
        <v>250</v>
      </c>
      <c r="D257" s="145"/>
      <c r="E257" s="10"/>
      <c r="F257" s="10">
        <f>Tabella3[[#This Row],[Spain daily cases]]*NOT(ISBLANK(Tabella3[[#This Row],[Spain daily cases]]))</f>
        <v>0</v>
      </c>
      <c r="G257" s="90">
        <f>IFERROR(Kf*_xlfn.LOGNORM.DIST((Tabella3[[#This Row],[Day]]-pf),mu_f,sigma_f,FALSE),0)</f>
        <v>8.1507713943152163E-2</v>
      </c>
      <c r="H257" s="90">
        <f>Tabella3[[#This Row],[Spain daily cases fit]]/y_f_peak</f>
        <v>1.2211504833266123E-5</v>
      </c>
      <c r="I257" s="10">
        <f>Tabella3[[#This Row],[Spain daily cases fit]]*NOT(ISBLANK(Tabella3[[#This Row],[Spain daily cases]]))</f>
        <v>0</v>
      </c>
      <c r="J257" s="145"/>
      <c r="K257" s="145"/>
      <c r="L257" s="145"/>
      <c r="M257" s="10"/>
      <c r="N257" s="10">
        <f>Tabella3[[#This Row],[Lombardy data]]*NOT(ISBLANK(Tabella3[[#This Row],[Lombardy data]]))</f>
        <v>0</v>
      </c>
      <c r="O257" s="95" t="e">
        <f>Tabella8[[#This Row],[Lombardy fit]]</f>
        <v>#VALUE!</v>
      </c>
      <c r="P257" s="90" t="e">
        <f>Tabella3[[#This Row],[Lombardy cumul. Fit]]/Kl</f>
        <v>#VALUE!</v>
      </c>
      <c r="Q257" s="90">
        <f>IFERROR(Kl*_xlfn.LOGNORM.DIST((Tabella3[[#This Row],[Day]]-pl),mu_l,sigma_l,FALSE),0)</f>
        <v>0.44413578937989073</v>
      </c>
      <c r="R257" s="90">
        <f>Tabella3[[#This Row],[Lombardy fit]]/y_l_peak</f>
        <v>2.5264351064048258E-4</v>
      </c>
      <c r="S257" s="10">
        <f>Tabella3[[#This Row],[Lombardy fit]]*NOT(ISBLANK(Tabella3[[#This Row],[Lombardy data]]))</f>
        <v>0</v>
      </c>
      <c r="T257" s="145"/>
      <c r="U257" s="145"/>
      <c r="V257" s="145"/>
      <c r="W257" s="10"/>
      <c r="X257" s="10">
        <f>Tabella3[[#This Row],[rest of Italy data]]*NOT(ISBLANK(Tabella3[[#This Row],[rest of Italy data]]))</f>
        <v>0</v>
      </c>
      <c r="Y257" s="95" t="e">
        <f>Tabella8[[#This Row],[rest of Italy fit]]</f>
        <v>#VALUE!</v>
      </c>
      <c r="Z257" s="90" t="e">
        <f>Tabella3[[#This Row],[rest of Italy cumul. Fit]]/Ka</f>
        <v>#VALUE!</v>
      </c>
      <c r="AA257" s="90">
        <f>IFERROR(Ka*_xlfn.LOGNORM.DIST((Tabella3[[#This Row],[Day]]-pa),mu_a,sigma_a,FALSE),0)</f>
        <v>0.21241409719294341</v>
      </c>
      <c r="AB257" s="90">
        <f>Tabella3[[#This Row],[rest of Italy fit]]/y_a_peak</f>
        <v>6.2860232096353182E-5</v>
      </c>
      <c r="AC257" s="10">
        <f>Tabella3[[#This Row],[rest of Italy fit]]*NOT(ISBLANK(Tabella3[[#This Row],[rest of Italy data]]))</f>
        <v>0</v>
      </c>
      <c r="AD257" s="145"/>
      <c r="AE257" s="145"/>
    </row>
    <row r="258" spans="2:31" x14ac:dyDescent="0.3">
      <c r="B258" s="9">
        <v>44081</v>
      </c>
      <c r="C258" s="4">
        <v>251</v>
      </c>
      <c r="D258" s="145"/>
      <c r="E258" s="10"/>
      <c r="F258" s="10">
        <f>Tabella3[[#This Row],[Spain daily cases]]*NOT(ISBLANK(Tabella3[[#This Row],[Spain daily cases]]))</f>
        <v>0</v>
      </c>
      <c r="G258" s="90">
        <f>IFERROR(Kf*_xlfn.LOGNORM.DIST((Tabella3[[#This Row],[Day]]-pf),mu_f,sigma_f,FALSE),0)</f>
        <v>7.5088070911514079E-2</v>
      </c>
      <c r="H258" s="90">
        <f>Tabella3[[#This Row],[Spain daily cases fit]]/y_f_peak</f>
        <v>1.1249712407541025E-5</v>
      </c>
      <c r="I258" s="10">
        <f>Tabella3[[#This Row],[Spain daily cases fit]]*NOT(ISBLANK(Tabella3[[#This Row],[Spain daily cases]]))</f>
        <v>0</v>
      </c>
      <c r="J258" s="145"/>
      <c r="K258" s="145"/>
      <c r="L258" s="145"/>
      <c r="M258" s="10"/>
      <c r="N258" s="10">
        <f>Tabella3[[#This Row],[Lombardy data]]*NOT(ISBLANK(Tabella3[[#This Row],[Lombardy data]]))</f>
        <v>0</v>
      </c>
      <c r="O258" s="95" t="e">
        <f>Tabella8[[#This Row],[Lombardy fit]]</f>
        <v>#VALUE!</v>
      </c>
      <c r="P258" s="90" t="e">
        <f>Tabella3[[#This Row],[Lombardy cumul. Fit]]/Kl</f>
        <v>#VALUE!</v>
      </c>
      <c r="Q258" s="90">
        <f>IFERROR(Kl*_xlfn.LOGNORM.DIST((Tabella3[[#This Row],[Day]]-pl),mu_l,sigma_l,FALSE),0)</f>
        <v>0.42052944950167509</v>
      </c>
      <c r="R258" s="90">
        <f>Tabella3[[#This Row],[Lombardy fit]]/y_l_peak</f>
        <v>2.3921521073127724E-4</v>
      </c>
      <c r="S258" s="10">
        <f>Tabella3[[#This Row],[Lombardy fit]]*NOT(ISBLANK(Tabella3[[#This Row],[Lombardy data]]))</f>
        <v>0</v>
      </c>
      <c r="T258" s="145"/>
      <c r="U258" s="145"/>
      <c r="V258" s="145"/>
      <c r="W258" s="10"/>
      <c r="X258" s="10">
        <f>Tabella3[[#This Row],[rest of Italy data]]*NOT(ISBLANK(Tabella3[[#This Row],[rest of Italy data]]))</f>
        <v>0</v>
      </c>
      <c r="Y258" s="95" t="e">
        <f>Tabella8[[#This Row],[rest of Italy fit]]</f>
        <v>#VALUE!</v>
      </c>
      <c r="Z258" s="90" t="e">
        <f>Tabella3[[#This Row],[rest of Italy cumul. Fit]]/Ka</f>
        <v>#VALUE!</v>
      </c>
      <c r="AA258" s="90">
        <f>IFERROR(Ka*_xlfn.LOGNORM.DIST((Tabella3[[#This Row],[Day]]-pa),mu_a,sigma_a,FALSE),0)</f>
        <v>0.19916377180109829</v>
      </c>
      <c r="AB258" s="90">
        <f>Tabella3[[#This Row],[rest of Italy fit]]/y_a_peak</f>
        <v>5.8939030347078433E-5</v>
      </c>
      <c r="AC258" s="10">
        <f>Tabella3[[#This Row],[rest of Italy fit]]*NOT(ISBLANK(Tabella3[[#This Row],[rest of Italy data]]))</f>
        <v>0</v>
      </c>
      <c r="AD258" s="145"/>
      <c r="AE258" s="145"/>
    </row>
    <row r="259" spans="2:31" x14ac:dyDescent="0.3">
      <c r="B259" s="9">
        <v>44082</v>
      </c>
      <c r="C259" s="4">
        <v>252</v>
      </c>
      <c r="D259" s="145"/>
      <c r="E259" s="10"/>
      <c r="F259" s="10">
        <f>Tabella3[[#This Row],[Spain daily cases]]*NOT(ISBLANK(Tabella3[[#This Row],[Spain daily cases]]))</f>
        <v>0</v>
      </c>
      <c r="G259" s="90">
        <f>IFERROR(Kf*_xlfn.LOGNORM.DIST((Tabella3[[#This Row],[Day]]-pf),mu_f,sigma_f,FALSE),0)</f>
        <v>6.9179818411394076E-2</v>
      </c>
      <c r="H259" s="90">
        <f>Tabella3[[#This Row],[Spain daily cases fit]]/y_f_peak</f>
        <v>1.0364536631274102E-5</v>
      </c>
      <c r="I259" s="10">
        <f>Tabella3[[#This Row],[Spain daily cases fit]]*NOT(ISBLANK(Tabella3[[#This Row],[Spain daily cases]]))</f>
        <v>0</v>
      </c>
      <c r="J259" s="145"/>
      <c r="K259" s="145"/>
      <c r="L259" s="145"/>
      <c r="M259" s="10"/>
      <c r="N259" s="10">
        <f>Tabella3[[#This Row],[Lombardy data]]*NOT(ISBLANK(Tabella3[[#This Row],[Lombardy data]]))</f>
        <v>0</v>
      </c>
      <c r="O259" s="95" t="e">
        <f>Tabella8[[#This Row],[Lombardy fit]]</f>
        <v>#VALUE!</v>
      </c>
      <c r="P259" s="90" t="e">
        <f>Tabella3[[#This Row],[Lombardy cumul. Fit]]/Kl</f>
        <v>#VALUE!</v>
      </c>
      <c r="Q259" s="90">
        <f>IFERROR(Kl*_xlfn.LOGNORM.DIST((Tabella3[[#This Row],[Day]]-pl),mu_l,sigma_l,FALSE),0)</f>
        <v>0.39820556972734578</v>
      </c>
      <c r="R259" s="90">
        <f>Tabella3[[#This Row],[Lombardy fit]]/y_l_peak</f>
        <v>2.2651642920507495E-4</v>
      </c>
      <c r="S259" s="10">
        <f>Tabella3[[#This Row],[Lombardy fit]]*NOT(ISBLANK(Tabella3[[#This Row],[Lombardy data]]))</f>
        <v>0</v>
      </c>
      <c r="T259" s="145"/>
      <c r="U259" s="145"/>
      <c r="V259" s="145"/>
      <c r="W259" s="10"/>
      <c r="X259" s="10">
        <f>Tabella3[[#This Row],[rest of Italy data]]*NOT(ISBLANK(Tabella3[[#This Row],[rest of Italy data]]))</f>
        <v>0</v>
      </c>
      <c r="Y259" s="95" t="e">
        <f>Tabella8[[#This Row],[rest of Italy fit]]</f>
        <v>#VALUE!</v>
      </c>
      <c r="Z259" s="90" t="e">
        <f>Tabella3[[#This Row],[rest of Italy cumul. Fit]]/Ka</f>
        <v>#VALUE!</v>
      </c>
      <c r="AA259" s="90">
        <f>IFERROR(Ka*_xlfn.LOGNORM.DIST((Tabella3[[#This Row],[Day]]-pa),mu_a,sigma_a,FALSE),0)</f>
        <v>0.18675663437118439</v>
      </c>
      <c r="AB259" s="90">
        <f>Tabella3[[#This Row],[rest of Italy fit]]/y_a_peak</f>
        <v>5.526735530854597E-5</v>
      </c>
      <c r="AC259" s="10">
        <f>Tabella3[[#This Row],[rest of Italy fit]]*NOT(ISBLANK(Tabella3[[#This Row],[rest of Italy data]]))</f>
        <v>0</v>
      </c>
      <c r="AD259" s="145"/>
      <c r="AE259" s="145"/>
    </row>
    <row r="260" spans="2:31" x14ac:dyDescent="0.3">
      <c r="B260" s="9">
        <v>44083</v>
      </c>
      <c r="C260" s="4">
        <v>253</v>
      </c>
      <c r="D260" s="145"/>
      <c r="E260" s="10"/>
      <c r="F260" s="10">
        <f>Tabella3[[#This Row],[Spain daily cases]]*NOT(ISBLANK(Tabella3[[#This Row],[Spain daily cases]]))</f>
        <v>0</v>
      </c>
      <c r="G260" s="90">
        <f>IFERROR(Kf*_xlfn.LOGNORM.DIST((Tabella3[[#This Row],[Day]]-pf),mu_f,sigma_f,FALSE),0)</f>
        <v>6.3741807888183788E-2</v>
      </c>
      <c r="H260" s="90">
        <f>Tabella3[[#This Row],[Spain daily cases fit]]/y_f_peak</f>
        <v>9.5498126183561378E-6</v>
      </c>
      <c r="I260" s="10">
        <f>Tabella3[[#This Row],[Spain daily cases fit]]*NOT(ISBLANK(Tabella3[[#This Row],[Spain daily cases]]))</f>
        <v>0</v>
      </c>
      <c r="J260" s="145"/>
      <c r="K260" s="145"/>
      <c r="L260" s="145"/>
      <c r="M260" s="10"/>
      <c r="N260" s="10">
        <f>Tabella3[[#This Row],[Lombardy data]]*NOT(ISBLANK(Tabella3[[#This Row],[Lombardy data]]))</f>
        <v>0</v>
      </c>
      <c r="O260" s="95" t="e">
        <f>Tabella8[[#This Row],[Lombardy fit]]</f>
        <v>#VALUE!</v>
      </c>
      <c r="P260" s="90" t="e">
        <f>Tabella3[[#This Row],[Lombardy cumul. Fit]]/Kl</f>
        <v>#VALUE!</v>
      </c>
      <c r="Q260" s="90">
        <f>IFERROR(Kl*_xlfn.LOGNORM.DIST((Tabella3[[#This Row],[Day]]-pl),mu_l,sigma_l,FALSE),0)</f>
        <v>0.37709310631732912</v>
      </c>
      <c r="R260" s="90">
        <f>Tabella3[[#This Row],[Lombardy fit]]/y_l_peak</f>
        <v>2.1450675333179608E-4</v>
      </c>
      <c r="S260" s="10">
        <f>Tabella3[[#This Row],[Lombardy fit]]*NOT(ISBLANK(Tabella3[[#This Row],[Lombardy data]]))</f>
        <v>0</v>
      </c>
      <c r="T260" s="145"/>
      <c r="U260" s="145"/>
      <c r="V260" s="145"/>
      <c r="W260" s="10"/>
      <c r="X260" s="10">
        <f>Tabella3[[#This Row],[rest of Italy data]]*NOT(ISBLANK(Tabella3[[#This Row],[rest of Italy data]]))</f>
        <v>0</v>
      </c>
      <c r="Y260" s="95" t="e">
        <f>Tabella8[[#This Row],[rest of Italy fit]]</f>
        <v>#VALUE!</v>
      </c>
      <c r="Z260" s="90" t="e">
        <f>Tabella3[[#This Row],[rest of Italy cumul. Fit]]/Ka</f>
        <v>#VALUE!</v>
      </c>
      <c r="AA260" s="90">
        <f>IFERROR(Ka*_xlfn.LOGNORM.DIST((Tabella3[[#This Row],[Day]]-pa),mu_a,sigma_a,FALSE),0)</f>
        <v>0.17513804302067645</v>
      </c>
      <c r="AB260" s="90">
        <f>Tabella3[[#This Row],[rest of Italy fit]]/y_a_peak</f>
        <v>5.1829036672555395E-5</v>
      </c>
      <c r="AC260" s="10">
        <f>Tabella3[[#This Row],[rest of Italy fit]]*NOT(ISBLANK(Tabella3[[#This Row],[rest of Italy data]]))</f>
        <v>0</v>
      </c>
      <c r="AD260" s="145"/>
      <c r="AE260" s="145"/>
    </row>
    <row r="261" spans="2:31" x14ac:dyDescent="0.3">
      <c r="B261" s="9">
        <v>44084</v>
      </c>
      <c r="C261" s="4">
        <v>254</v>
      </c>
      <c r="D261" s="145"/>
      <c r="E261" s="10"/>
      <c r="F261" s="10">
        <f>Tabella3[[#This Row],[Spain daily cases]]*NOT(ISBLANK(Tabella3[[#This Row],[Spain daily cases]]))</f>
        <v>0</v>
      </c>
      <c r="G261" s="90">
        <f>IFERROR(Kf*_xlfn.LOGNORM.DIST((Tabella3[[#This Row],[Day]]-pf),mu_f,sigma_f,FALSE),0)</f>
        <v>5.8736230118841451E-2</v>
      </c>
      <c r="H261" s="90">
        <f>Tabella3[[#This Row],[Spain daily cases fit]]/y_f_peak</f>
        <v>8.7998757821169844E-6</v>
      </c>
      <c r="I261" s="10">
        <f>Tabella3[[#This Row],[Spain daily cases fit]]*NOT(ISBLANK(Tabella3[[#This Row],[Spain daily cases]]))</f>
        <v>0</v>
      </c>
      <c r="J261" s="145"/>
      <c r="K261" s="145"/>
      <c r="L261" s="145"/>
      <c r="M261" s="10"/>
      <c r="N261" s="10">
        <f>Tabella3[[#This Row],[Lombardy data]]*NOT(ISBLANK(Tabella3[[#This Row],[Lombardy data]]))</f>
        <v>0</v>
      </c>
      <c r="O261" s="95" t="e">
        <f>Tabella8[[#This Row],[Lombardy fit]]</f>
        <v>#VALUE!</v>
      </c>
      <c r="P261" s="90" t="e">
        <f>Tabella3[[#This Row],[Lombardy cumul. Fit]]/Kl</f>
        <v>#VALUE!</v>
      </c>
      <c r="Q261" s="90">
        <f>IFERROR(Kl*_xlfn.LOGNORM.DIST((Tabella3[[#This Row],[Day]]-pl),mu_l,sigma_l,FALSE),0)</f>
        <v>0.35712501734604035</v>
      </c>
      <c r="R261" s="90">
        <f>Tabella3[[#This Row],[Lombardy fit]]/y_l_peak</f>
        <v>2.0314804678501784E-4</v>
      </c>
      <c r="S261" s="10">
        <f>Tabella3[[#This Row],[Lombardy fit]]*NOT(ISBLANK(Tabella3[[#This Row],[Lombardy data]]))</f>
        <v>0</v>
      </c>
      <c r="T261" s="145"/>
      <c r="U261" s="145"/>
      <c r="V261" s="145"/>
      <c r="W261" s="10"/>
      <c r="X261" s="10">
        <f>Tabella3[[#This Row],[rest of Italy data]]*NOT(ISBLANK(Tabella3[[#This Row],[rest of Italy data]]))</f>
        <v>0</v>
      </c>
      <c r="Y261" s="95" t="e">
        <f>Tabella8[[#This Row],[rest of Italy fit]]</f>
        <v>#VALUE!</v>
      </c>
      <c r="Z261" s="90" t="e">
        <f>Tabella3[[#This Row],[rest of Italy cumul. Fit]]/Ka</f>
        <v>#VALUE!</v>
      </c>
      <c r="AA261" s="90">
        <f>IFERROR(Ka*_xlfn.LOGNORM.DIST((Tabella3[[#This Row],[Day]]-pa),mu_a,sigma_a,FALSE),0)</f>
        <v>0.16425695481006308</v>
      </c>
      <c r="AB261" s="90">
        <f>Tabella3[[#This Row],[rest of Italy fit]]/y_a_peak</f>
        <v>4.8608969175063655E-5</v>
      </c>
      <c r="AC261" s="10">
        <f>Tabella3[[#This Row],[rest of Italy fit]]*NOT(ISBLANK(Tabella3[[#This Row],[rest of Italy data]]))</f>
        <v>0</v>
      </c>
      <c r="AD261" s="145"/>
      <c r="AE261" s="145"/>
    </row>
    <row r="262" spans="2:31" x14ac:dyDescent="0.3">
      <c r="B262" s="9">
        <v>44085</v>
      </c>
      <c r="C262" s="4">
        <v>255</v>
      </c>
      <c r="D262" s="145"/>
      <c r="E262" s="10"/>
      <c r="F262" s="10">
        <f>Tabella3[[#This Row],[Spain daily cases]]*NOT(ISBLANK(Tabella3[[#This Row],[Spain daily cases]]))</f>
        <v>0</v>
      </c>
      <c r="G262" s="90">
        <f>IFERROR(Kf*_xlfn.LOGNORM.DIST((Tabella3[[#This Row],[Day]]-pf),mu_f,sigma_f,FALSE),0)</f>
        <v>5.4128342381332982E-2</v>
      </c>
      <c r="H262" s="90">
        <f>Tabella3[[#This Row],[Spain daily cases fit]]/y_f_peak</f>
        <v>8.1095209597871921E-6</v>
      </c>
      <c r="I262" s="10">
        <f>Tabella3[[#This Row],[Spain daily cases fit]]*NOT(ISBLANK(Tabella3[[#This Row],[Spain daily cases]]))</f>
        <v>0</v>
      </c>
      <c r="J262" s="145"/>
      <c r="K262" s="145"/>
      <c r="L262" s="145"/>
      <c r="M262" s="10"/>
      <c r="N262" s="10">
        <f>Tabella3[[#This Row],[Lombardy data]]*NOT(ISBLANK(Tabella3[[#This Row],[Lombardy data]]))</f>
        <v>0</v>
      </c>
      <c r="O262" s="95" t="e">
        <f>Tabella8[[#This Row],[Lombardy fit]]</f>
        <v>#VALUE!</v>
      </c>
      <c r="P262" s="90" t="e">
        <f>Tabella3[[#This Row],[Lombardy cumul. Fit]]/Kl</f>
        <v>#VALUE!</v>
      </c>
      <c r="Q262" s="90">
        <f>IFERROR(Kl*_xlfn.LOGNORM.DIST((Tabella3[[#This Row],[Day]]-pl),mu_l,sigma_l,FALSE),0)</f>
        <v>0.33823803427225169</v>
      </c>
      <c r="R262" s="90">
        <f>Tabella3[[#This Row],[Lombardy fit]]/y_l_peak</f>
        <v>1.9240431970138957E-4</v>
      </c>
      <c r="S262" s="10">
        <f>Tabella3[[#This Row],[Lombardy fit]]*NOT(ISBLANK(Tabella3[[#This Row],[Lombardy data]]))</f>
        <v>0</v>
      </c>
      <c r="T262" s="145"/>
      <c r="U262" s="145"/>
      <c r="V262" s="145"/>
      <c r="W262" s="10"/>
      <c r="X262" s="10">
        <f>Tabella3[[#This Row],[rest of Italy data]]*NOT(ISBLANK(Tabella3[[#This Row],[rest of Italy data]]))</f>
        <v>0</v>
      </c>
      <c r="Y262" s="95" t="e">
        <f>Tabella8[[#This Row],[rest of Italy fit]]</f>
        <v>#VALUE!</v>
      </c>
      <c r="Z262" s="90" t="e">
        <f>Tabella3[[#This Row],[rest of Italy cumul. Fit]]/Ka</f>
        <v>#VALUE!</v>
      </c>
      <c r="AA262" s="90">
        <f>IFERROR(Ka*_xlfn.LOGNORM.DIST((Tabella3[[#This Row],[Day]]-pa),mu_a,sigma_a,FALSE),0)</f>
        <v>0.1540656853774465</v>
      </c>
      <c r="AB262" s="90">
        <f>Tabella3[[#This Row],[rest of Italy fit]]/y_a_peak</f>
        <v>4.5593041464254307E-5</v>
      </c>
      <c r="AC262" s="10">
        <f>Tabella3[[#This Row],[rest of Italy fit]]*NOT(ISBLANK(Tabella3[[#This Row],[rest of Italy data]]))</f>
        <v>0</v>
      </c>
      <c r="AD262" s="145"/>
      <c r="AE262" s="145"/>
    </row>
    <row r="263" spans="2:31" x14ac:dyDescent="0.3">
      <c r="B263" s="9">
        <v>44086</v>
      </c>
      <c r="C263" s="4">
        <v>256</v>
      </c>
      <c r="D263" s="145"/>
      <c r="E263" s="10"/>
      <c r="F263" s="10">
        <f>Tabella3[[#This Row],[Spain daily cases]]*NOT(ISBLANK(Tabella3[[#This Row],[Spain daily cases]]))</f>
        <v>0</v>
      </c>
      <c r="G263" s="90">
        <f>IFERROR(Kf*_xlfn.LOGNORM.DIST((Tabella3[[#This Row],[Day]]-pf),mu_f,sigma_f,FALSE),0)</f>
        <v>4.9886218017413941E-2</v>
      </c>
      <c r="H263" s="90">
        <f>Tabella3[[#This Row],[Spain daily cases fit]]/y_f_peak</f>
        <v>7.4739648919352173E-6</v>
      </c>
      <c r="I263" s="10">
        <f>Tabella3[[#This Row],[Spain daily cases fit]]*NOT(ISBLANK(Tabella3[[#This Row],[Spain daily cases]]))</f>
        <v>0</v>
      </c>
      <c r="J263" s="145"/>
      <c r="K263" s="145"/>
      <c r="L263" s="145"/>
      <c r="M263" s="10"/>
      <c r="N263" s="10">
        <f>Tabella3[[#This Row],[Lombardy data]]*NOT(ISBLANK(Tabella3[[#This Row],[Lombardy data]]))</f>
        <v>0</v>
      </c>
      <c r="O263" s="95" t="e">
        <f>Tabella8[[#This Row],[Lombardy fit]]</f>
        <v>#VALUE!</v>
      </c>
      <c r="P263" s="90" t="e">
        <f>Tabella3[[#This Row],[Lombardy cumul. Fit]]/Kl</f>
        <v>#VALUE!</v>
      </c>
      <c r="Q263" s="90">
        <f>IFERROR(Kl*_xlfn.LOGNORM.DIST((Tabella3[[#This Row],[Day]]-pl),mu_l,sigma_l,FALSE),0)</f>
        <v>0.32037244666542969</v>
      </c>
      <c r="R263" s="90">
        <f>Tabella3[[#This Row],[Lombardy fit]]/y_l_peak</f>
        <v>1.8224160622372861E-4</v>
      </c>
      <c r="S263" s="10">
        <f>Tabella3[[#This Row],[Lombardy fit]]*NOT(ISBLANK(Tabella3[[#This Row],[Lombardy data]]))</f>
        <v>0</v>
      </c>
      <c r="T263" s="145"/>
      <c r="U263" s="145"/>
      <c r="V263" s="145"/>
      <c r="W263" s="10"/>
      <c r="X263" s="10">
        <f>Tabella3[[#This Row],[rest of Italy data]]*NOT(ISBLANK(Tabella3[[#This Row],[rest of Italy data]]))</f>
        <v>0</v>
      </c>
      <c r="Y263" s="95" t="e">
        <f>Tabella8[[#This Row],[rest of Italy fit]]</f>
        <v>#VALUE!</v>
      </c>
      <c r="Z263" s="90" t="e">
        <f>Tabella3[[#This Row],[rest of Italy cumul. Fit]]/Ka</f>
        <v>#VALUE!</v>
      </c>
      <c r="AA263" s="90">
        <f>IFERROR(Ka*_xlfn.LOGNORM.DIST((Tabella3[[#This Row],[Day]]-pa),mu_a,sigma_a,FALSE),0)</f>
        <v>0.14451968480654503</v>
      </c>
      <c r="AB263" s="90">
        <f>Tabella3[[#This Row],[rest of Italy fit]]/y_a_peak</f>
        <v>4.2768069772598046E-5</v>
      </c>
      <c r="AC263" s="10">
        <f>Tabella3[[#This Row],[rest of Italy fit]]*NOT(ISBLANK(Tabella3[[#This Row],[rest of Italy data]]))</f>
        <v>0</v>
      </c>
      <c r="AD263" s="145"/>
      <c r="AE263" s="145"/>
    </row>
    <row r="264" spans="2:31" x14ac:dyDescent="0.3">
      <c r="B264" s="9">
        <v>44087</v>
      </c>
      <c r="C264" s="4">
        <v>257</v>
      </c>
      <c r="D264" s="145"/>
      <c r="E264" s="10"/>
      <c r="F264" s="10">
        <f>Tabella3[[#This Row],[Spain daily cases]]*NOT(ISBLANK(Tabella3[[#This Row],[Spain daily cases]]))</f>
        <v>0</v>
      </c>
      <c r="G264" s="90">
        <f>IFERROR(Kf*_xlfn.LOGNORM.DIST((Tabella3[[#This Row],[Day]]-pf),mu_f,sigma_f,FALSE),0)</f>
        <v>4.5980516547241605E-2</v>
      </c>
      <c r="H264" s="90">
        <f>Tabella3[[#This Row],[Spain daily cases fit]]/y_f_peak</f>
        <v>6.8888117809846546E-6</v>
      </c>
      <c r="I264" s="10">
        <f>Tabella3[[#This Row],[Spain daily cases fit]]*NOT(ISBLANK(Tabella3[[#This Row],[Spain daily cases]]))</f>
        <v>0</v>
      </c>
      <c r="J264" s="145"/>
      <c r="K264" s="145"/>
      <c r="L264" s="145"/>
      <c r="M264" s="10"/>
      <c r="N264" s="10">
        <f>Tabella3[[#This Row],[Lombardy data]]*NOT(ISBLANK(Tabella3[[#This Row],[Lombardy data]]))</f>
        <v>0</v>
      </c>
      <c r="O264" s="95" t="e">
        <f>Tabella8[[#This Row],[Lombardy fit]]</f>
        <v>#VALUE!</v>
      </c>
      <c r="P264" s="90" t="e">
        <f>Tabella3[[#This Row],[Lombardy cumul. Fit]]/Kl</f>
        <v>#VALUE!</v>
      </c>
      <c r="Q264" s="90">
        <f>IFERROR(Kl*_xlfn.LOGNORM.DIST((Tabella3[[#This Row],[Day]]-pl),mu_l,sigma_l,FALSE),0)</f>
        <v>0.30347189932791618</v>
      </c>
      <c r="R264" s="90">
        <f>Tabella3[[#This Row],[Lombardy fit]]/y_l_peak</f>
        <v>1.7262784909540384E-4</v>
      </c>
      <c r="S264" s="10">
        <f>Tabella3[[#This Row],[Lombardy fit]]*NOT(ISBLANK(Tabella3[[#This Row],[Lombardy data]]))</f>
        <v>0</v>
      </c>
      <c r="T264" s="145"/>
      <c r="U264" s="145"/>
      <c r="V264" s="145"/>
      <c r="W264" s="10"/>
      <c r="X264" s="10">
        <f>Tabella3[[#This Row],[rest of Italy data]]*NOT(ISBLANK(Tabella3[[#This Row],[rest of Italy data]]))</f>
        <v>0</v>
      </c>
      <c r="Y264" s="95" t="e">
        <f>Tabella8[[#This Row],[rest of Italy fit]]</f>
        <v>#VALUE!</v>
      </c>
      <c r="Z264" s="90" t="e">
        <f>Tabella3[[#This Row],[rest of Italy cumul. Fit]]/Ka</f>
        <v>#VALUE!</v>
      </c>
      <c r="AA264" s="90">
        <f>IFERROR(Ka*_xlfn.LOGNORM.DIST((Tabella3[[#This Row],[Day]]-pa),mu_a,sigma_a,FALSE),0)</f>
        <v>0.1355773286232658</v>
      </c>
      <c r="AB264" s="90">
        <f>Tabella3[[#This Row],[rest of Italy fit]]/y_a_peak</f>
        <v>4.0121736065948628E-5</v>
      </c>
      <c r="AC264" s="10">
        <f>Tabella3[[#This Row],[rest of Italy fit]]*NOT(ISBLANK(Tabella3[[#This Row],[rest of Italy data]]))</f>
        <v>0</v>
      </c>
      <c r="AD264" s="145"/>
      <c r="AE264" s="145"/>
    </row>
    <row r="265" spans="2:31" x14ac:dyDescent="0.3">
      <c r="B265" s="9">
        <v>44088</v>
      </c>
      <c r="C265" s="4">
        <v>258</v>
      </c>
      <c r="D265" s="145"/>
      <c r="E265" s="10"/>
      <c r="F265" s="10">
        <f>Tabella3[[#This Row],[Spain daily cases]]*NOT(ISBLANK(Tabella3[[#This Row],[Spain daily cases]]))</f>
        <v>0</v>
      </c>
      <c r="G265" s="90">
        <f>IFERROR(Kf*_xlfn.LOGNORM.DIST((Tabella3[[#This Row],[Day]]-pf),mu_f,sigma_f,FALSE),0)</f>
        <v>4.238427264552283E-2</v>
      </c>
      <c r="H265" s="90">
        <f>Tabella3[[#This Row],[Spain daily cases fit]]/y_f_peak</f>
        <v>6.3500216755711756E-6</v>
      </c>
      <c r="I265" s="10">
        <f>Tabella3[[#This Row],[Spain daily cases fit]]*NOT(ISBLANK(Tabella3[[#This Row],[Spain daily cases]]))</f>
        <v>0</v>
      </c>
      <c r="J265" s="145"/>
      <c r="K265" s="145"/>
      <c r="L265" s="145"/>
      <c r="M265" s="10"/>
      <c r="N265" s="10">
        <f>Tabella3[[#This Row],[Lombardy data]]*NOT(ISBLANK(Tabella3[[#This Row],[Lombardy data]]))</f>
        <v>0</v>
      </c>
      <c r="O265" s="95" t="e">
        <f>Tabella8[[#This Row],[Lombardy fit]]</f>
        <v>#VALUE!</v>
      </c>
      <c r="P265" s="90" t="e">
        <f>Tabella3[[#This Row],[Lombardy cumul. Fit]]/Kl</f>
        <v>#VALUE!</v>
      </c>
      <c r="Q265" s="90">
        <f>IFERROR(Kl*_xlfn.LOGNORM.DIST((Tabella3[[#This Row],[Day]]-pl),mu_l,sigma_l,FALSE),0)</f>
        <v>0.28748320109670422</v>
      </c>
      <c r="R265" s="90">
        <f>Tabella3[[#This Row],[Lombardy fit]]/y_l_peak</f>
        <v>1.6353279089857491E-4</v>
      </c>
      <c r="S265" s="10">
        <f>Tabella3[[#This Row],[Lombardy fit]]*NOT(ISBLANK(Tabella3[[#This Row],[Lombardy data]]))</f>
        <v>0</v>
      </c>
      <c r="T265" s="145"/>
      <c r="U265" s="145"/>
      <c r="V265" s="145"/>
      <c r="W265" s="10"/>
      <c r="X265" s="10">
        <f>Tabella3[[#This Row],[rest of Italy data]]*NOT(ISBLANK(Tabella3[[#This Row],[rest of Italy data]]))</f>
        <v>0</v>
      </c>
      <c r="Y265" s="95" t="e">
        <f>Tabella8[[#This Row],[rest of Italy fit]]</f>
        <v>#VALUE!</v>
      </c>
      <c r="Z265" s="90" t="e">
        <f>Tabella3[[#This Row],[rest of Italy cumul. Fit]]/Ka</f>
        <v>#VALUE!</v>
      </c>
      <c r="AA265" s="90">
        <f>IFERROR(Ka*_xlfn.LOGNORM.DIST((Tabella3[[#This Row],[Day]]-pa),mu_a,sigma_a,FALSE),0)</f>
        <v>0.12719972289154682</v>
      </c>
      <c r="AB265" s="90">
        <f>Tabella3[[#This Row],[rest of Italy fit]]/y_a_peak</f>
        <v>3.7642530365070658E-5</v>
      </c>
      <c r="AC265" s="10">
        <f>Tabella3[[#This Row],[rest of Italy fit]]*NOT(ISBLANK(Tabella3[[#This Row],[rest of Italy data]]))</f>
        <v>0</v>
      </c>
      <c r="AD265" s="145"/>
      <c r="AE265" s="145"/>
    </row>
    <row r="266" spans="2:31" x14ac:dyDescent="0.3">
      <c r="B266" s="9">
        <v>44089</v>
      </c>
      <c r="C266" s="4">
        <v>259</v>
      </c>
      <c r="D266" s="145"/>
      <c r="E266" s="10"/>
      <c r="F266" s="10">
        <f>Tabella3[[#This Row],[Spain daily cases]]*NOT(ISBLANK(Tabella3[[#This Row],[Spain daily cases]]))</f>
        <v>0</v>
      </c>
      <c r="G266" s="90">
        <f>IFERROR(Kf*_xlfn.LOGNORM.DIST((Tabella3[[#This Row],[Day]]-pf),mu_f,sigma_f,FALSE),0)</f>
        <v>3.9072702427752778E-2</v>
      </c>
      <c r="H266" s="90">
        <f>Tabella3[[#This Row],[Spain daily cases fit]]/y_f_peak</f>
        <v>5.8538814483013536E-6</v>
      </c>
      <c r="I266" s="10">
        <f>Tabella3[[#This Row],[Spain daily cases fit]]*NOT(ISBLANK(Tabella3[[#This Row],[Spain daily cases]]))</f>
        <v>0</v>
      </c>
      <c r="J266" s="145"/>
      <c r="K266" s="145"/>
      <c r="L266" s="145"/>
      <c r="M266" s="10"/>
      <c r="N266" s="10">
        <f>Tabella3[[#This Row],[Lombardy data]]*NOT(ISBLANK(Tabella3[[#This Row],[Lombardy data]]))</f>
        <v>0</v>
      </c>
      <c r="O266" s="95" t="e">
        <f>Tabella8[[#This Row],[Lombardy fit]]</f>
        <v>#VALUE!</v>
      </c>
      <c r="P266" s="90" t="e">
        <f>Tabella3[[#This Row],[Lombardy cumul. Fit]]/Kl</f>
        <v>#VALUE!</v>
      </c>
      <c r="Q266" s="90">
        <f>IFERROR(Kl*_xlfn.LOGNORM.DIST((Tabella3[[#This Row],[Day]]-pl),mu_l,sigma_l,FALSE),0)</f>
        <v>0.27235614464960117</v>
      </c>
      <c r="R266" s="90">
        <f>Tabella3[[#This Row],[Lombardy fit]]/y_l_peak</f>
        <v>1.5492787155219921E-4</v>
      </c>
      <c r="S266" s="10">
        <f>Tabella3[[#This Row],[Lombardy fit]]*NOT(ISBLANK(Tabella3[[#This Row],[Lombardy data]]))</f>
        <v>0</v>
      </c>
      <c r="T266" s="145"/>
      <c r="U266" s="145"/>
      <c r="V266" s="145"/>
      <c r="W266" s="10"/>
      <c r="X266" s="10">
        <f>Tabella3[[#This Row],[rest of Italy data]]*NOT(ISBLANK(Tabella3[[#This Row],[rest of Italy data]]))</f>
        <v>0</v>
      </c>
      <c r="Y266" s="95" t="e">
        <f>Tabella8[[#This Row],[rest of Italy fit]]</f>
        <v>#VALUE!</v>
      </c>
      <c r="Z266" s="90" t="e">
        <f>Tabella3[[#This Row],[rest of Italy cumul. Fit]]/Ka</f>
        <v>#VALUE!</v>
      </c>
      <c r="AA266" s="90">
        <f>IFERROR(Ka*_xlfn.LOGNORM.DIST((Tabella3[[#This Row],[Day]]-pa),mu_a,sigma_a,FALSE),0)</f>
        <v>0.11935052244938478</v>
      </c>
      <c r="AB266" s="90">
        <f>Tabella3[[#This Row],[rest of Italy fit]]/y_a_peak</f>
        <v>3.5319696955775189E-5</v>
      </c>
      <c r="AC266" s="10">
        <f>Tabella3[[#This Row],[rest of Italy fit]]*NOT(ISBLANK(Tabella3[[#This Row],[rest of Italy data]]))</f>
        <v>0</v>
      </c>
      <c r="AD266" s="145"/>
      <c r="AE266" s="145"/>
    </row>
    <row r="267" spans="2:31" x14ac:dyDescent="0.3">
      <c r="B267" s="9">
        <v>44090</v>
      </c>
      <c r="C267" s="4">
        <v>260</v>
      </c>
      <c r="D267" s="145"/>
      <c r="E267" s="10"/>
      <c r="F267" s="10">
        <f>Tabella3[[#This Row],[Spain daily cases]]*NOT(ISBLANK(Tabella3[[#This Row],[Spain daily cases]]))</f>
        <v>0</v>
      </c>
      <c r="G267" s="90">
        <f>IFERROR(Kf*_xlfn.LOGNORM.DIST((Tabella3[[#This Row],[Day]]-pf),mu_f,sigma_f,FALSE),0)</f>
        <v>3.6023025622639489E-2</v>
      </c>
      <c r="H267" s="90">
        <f>Tabella3[[#This Row],[Spain daily cases fit]]/y_f_peak</f>
        <v>5.3969781535835744E-6</v>
      </c>
      <c r="I267" s="10">
        <f>Tabella3[[#This Row],[Spain daily cases fit]]*NOT(ISBLANK(Tabella3[[#This Row],[Spain daily cases]]))</f>
        <v>0</v>
      </c>
      <c r="J267" s="145"/>
      <c r="K267" s="145"/>
      <c r="L267" s="145"/>
      <c r="M267" s="10"/>
      <c r="N267" s="10">
        <f>Tabella3[[#This Row],[Lombardy data]]*NOT(ISBLANK(Tabella3[[#This Row],[Lombardy data]]))</f>
        <v>0</v>
      </c>
      <c r="O267" s="95" t="e">
        <f>Tabella8[[#This Row],[Lombardy fit]]</f>
        <v>#VALUE!</v>
      </c>
      <c r="P267" s="90" t="e">
        <f>Tabella3[[#This Row],[Lombardy cumul. Fit]]/Kl</f>
        <v>#VALUE!</v>
      </c>
      <c r="Q267" s="90">
        <f>IFERROR(Kl*_xlfn.LOGNORM.DIST((Tabella3[[#This Row],[Day]]-pl),mu_l,sigma_l,FALSE),0)</f>
        <v>0.25804333667958684</v>
      </c>
      <c r="R267" s="90">
        <f>Tabella3[[#This Row],[Lombardy fit]]/y_l_peak</f>
        <v>1.4678613170791361E-4</v>
      </c>
      <c r="S267" s="10">
        <f>Tabella3[[#This Row],[Lombardy fit]]*NOT(ISBLANK(Tabella3[[#This Row],[Lombardy data]]))</f>
        <v>0</v>
      </c>
      <c r="T267" s="145"/>
      <c r="U267" s="145"/>
      <c r="V267" s="145"/>
      <c r="W267" s="10"/>
      <c r="X267" s="10">
        <f>Tabella3[[#This Row],[rest of Italy data]]*NOT(ISBLANK(Tabella3[[#This Row],[rest of Italy data]]))</f>
        <v>0</v>
      </c>
      <c r="Y267" s="95" t="e">
        <f>Tabella8[[#This Row],[rest of Italy fit]]</f>
        <v>#VALUE!</v>
      </c>
      <c r="Z267" s="90" t="e">
        <f>Tabella3[[#This Row],[rest of Italy cumul. Fit]]/Ka</f>
        <v>#VALUE!</v>
      </c>
      <c r="AA267" s="90">
        <f>IFERROR(Ka*_xlfn.LOGNORM.DIST((Tabella3[[#This Row],[Day]]-pa),mu_a,sigma_a,FALSE),0)</f>
        <v>0.11199576139147817</v>
      </c>
      <c r="AB267" s="90">
        <f>Tabella3[[#This Row],[rest of Italy fit]]/y_a_peak</f>
        <v>3.3143184223226718E-5</v>
      </c>
      <c r="AC267" s="10">
        <f>Tabella3[[#This Row],[rest of Italy fit]]*NOT(ISBLANK(Tabella3[[#This Row],[rest of Italy data]]))</f>
        <v>0</v>
      </c>
      <c r="AD267" s="145"/>
      <c r="AE267" s="145"/>
    </row>
    <row r="268" spans="2:31" x14ac:dyDescent="0.3">
      <c r="B268" s="9">
        <v>44091</v>
      </c>
      <c r="C268" s="4">
        <v>261</v>
      </c>
      <c r="D268" s="145"/>
      <c r="E268" s="10"/>
      <c r="F268" s="10">
        <f>Tabella3[[#This Row],[Spain daily cases]]*NOT(ISBLANK(Tabella3[[#This Row],[Spain daily cases]]))</f>
        <v>0</v>
      </c>
      <c r="G268" s="90">
        <f>IFERROR(Kf*_xlfn.LOGNORM.DIST((Tabella3[[#This Row],[Day]]-pf),mu_f,sigma_f,FALSE),0)</f>
        <v>3.321430232386656E-2</v>
      </c>
      <c r="H268" s="90">
        <f>Tabella3[[#This Row],[Spain daily cases fit]]/y_f_peak</f>
        <v>4.9761745697388036E-6</v>
      </c>
      <c r="I268" s="10">
        <f>Tabella3[[#This Row],[Spain daily cases fit]]*NOT(ISBLANK(Tabella3[[#This Row],[Spain daily cases]]))</f>
        <v>0</v>
      </c>
      <c r="J268" s="145"/>
      <c r="K268" s="145"/>
      <c r="L268" s="145"/>
      <c r="M268" s="10"/>
      <c r="N268" s="10">
        <f>Tabella3[[#This Row],[Lombardy data]]*NOT(ISBLANK(Tabella3[[#This Row],[Lombardy data]]))</f>
        <v>0</v>
      </c>
      <c r="O268" s="95" t="e">
        <f>Tabella8[[#This Row],[Lombardy fit]]</f>
        <v>#VALUE!</v>
      </c>
      <c r="P268" s="90" t="e">
        <f>Tabella3[[#This Row],[Lombardy cumul. Fit]]/Kl</f>
        <v>#VALUE!</v>
      </c>
      <c r="Q268" s="90">
        <f>IFERROR(Kl*_xlfn.LOGNORM.DIST((Tabella3[[#This Row],[Day]]-pl),mu_l,sigma_l,FALSE),0)</f>
        <v>0.24450003783773513</v>
      </c>
      <c r="R268" s="90">
        <f>Tabella3[[#This Row],[Lombardy fit]]/y_l_peak</f>
        <v>1.3908212170269443E-4</v>
      </c>
      <c r="S268" s="10">
        <f>Tabella3[[#This Row],[Lombardy fit]]*NOT(ISBLANK(Tabella3[[#This Row],[Lombardy data]]))</f>
        <v>0</v>
      </c>
      <c r="T268" s="145"/>
      <c r="U268" s="145"/>
      <c r="V268" s="145"/>
      <c r="W268" s="10"/>
      <c r="X268" s="10">
        <f>Tabella3[[#This Row],[rest of Italy data]]*NOT(ISBLANK(Tabella3[[#This Row],[rest of Italy data]]))</f>
        <v>0</v>
      </c>
      <c r="Y268" s="95" t="e">
        <f>Tabella8[[#This Row],[rest of Italy fit]]</f>
        <v>#VALUE!</v>
      </c>
      <c r="Z268" s="90" t="e">
        <f>Tabella3[[#This Row],[rest of Italy cumul. Fit]]/Ka</f>
        <v>#VALUE!</v>
      </c>
      <c r="AA268" s="90">
        <f>IFERROR(Ka*_xlfn.LOGNORM.DIST((Tabella3[[#This Row],[Day]]-pa),mu_a,sigma_a,FALSE),0)</f>
        <v>0.10510369496597585</v>
      </c>
      <c r="AB268" s="90">
        <f>Tabella3[[#This Row],[rest of Italy fit]]/y_a_peak</f>
        <v>3.1103597864054735E-5</v>
      </c>
      <c r="AC268" s="10">
        <f>Tabella3[[#This Row],[rest of Italy fit]]*NOT(ISBLANK(Tabella3[[#This Row],[rest of Italy data]]))</f>
        <v>0</v>
      </c>
      <c r="AD268" s="145"/>
      <c r="AE268" s="145"/>
    </row>
    <row r="269" spans="2:31" x14ac:dyDescent="0.3">
      <c r="B269" s="9">
        <v>44092</v>
      </c>
      <c r="C269" s="4">
        <v>262</v>
      </c>
      <c r="D269" s="145"/>
      <c r="E269" s="10"/>
      <c r="F269" s="10">
        <f>Tabella3[[#This Row],[Spain daily cases]]*NOT(ISBLANK(Tabella3[[#This Row],[Spain daily cases]]))</f>
        <v>0</v>
      </c>
      <c r="G269" s="90">
        <f>IFERROR(Kf*_xlfn.LOGNORM.DIST((Tabella3[[#This Row],[Day]]-pf),mu_f,sigma_f,FALSE),0)</f>
        <v>3.0627283121882207E-2</v>
      </c>
      <c r="H269" s="90">
        <f>Tabella3[[#This Row],[Spain daily cases fit]]/y_f_peak</f>
        <v>4.5885867457100534E-6</v>
      </c>
      <c r="I269" s="10">
        <f>Tabella3[[#This Row],[Spain daily cases fit]]*NOT(ISBLANK(Tabella3[[#This Row],[Spain daily cases]]))</f>
        <v>0</v>
      </c>
      <c r="J269" s="145"/>
      <c r="K269" s="145"/>
      <c r="L269" s="145"/>
      <c r="M269" s="10"/>
      <c r="N269" s="10">
        <f>Tabella3[[#This Row],[Lombardy data]]*NOT(ISBLANK(Tabella3[[#This Row],[Lombardy data]]))</f>
        <v>0</v>
      </c>
      <c r="O269" s="95" t="e">
        <f>Tabella8[[#This Row],[Lombardy fit]]</f>
        <v>#VALUE!</v>
      </c>
      <c r="P269" s="90" t="e">
        <f>Tabella3[[#This Row],[Lombardy cumul. Fit]]/Kl</f>
        <v>#VALUE!</v>
      </c>
      <c r="Q269" s="90">
        <f>IFERROR(Kl*_xlfn.LOGNORM.DIST((Tabella3[[#This Row],[Day]]-pl),mu_l,sigma_l,FALSE),0)</f>
        <v>0.23168401187976448</v>
      </c>
      <c r="R269" s="90">
        <f>Tabella3[[#This Row],[Lombardy fit]]/y_l_peak</f>
        <v>1.3179181574693696E-4</v>
      </c>
      <c r="S269" s="10">
        <f>Tabella3[[#This Row],[Lombardy fit]]*NOT(ISBLANK(Tabella3[[#This Row],[Lombardy data]]))</f>
        <v>0</v>
      </c>
      <c r="T269" s="145"/>
      <c r="U269" s="145"/>
      <c r="V269" s="145"/>
      <c r="W269" s="10"/>
      <c r="X269" s="10">
        <f>Tabella3[[#This Row],[rest of Italy data]]*NOT(ISBLANK(Tabella3[[#This Row],[rest of Italy data]]))</f>
        <v>0</v>
      </c>
      <c r="Y269" s="95" t="e">
        <f>Tabella8[[#This Row],[rest of Italy fit]]</f>
        <v>#VALUE!</v>
      </c>
      <c r="Z269" s="90" t="e">
        <f>Tabella3[[#This Row],[rest of Italy cumul. Fit]]/Ka</f>
        <v>#VALUE!</v>
      </c>
      <c r="AA269" s="90">
        <f>IFERROR(Ka*_xlfn.LOGNORM.DIST((Tabella3[[#This Row],[Day]]-pa),mu_a,sigma_a,FALSE),0)</f>
        <v>9.8644652109643641E-2</v>
      </c>
      <c r="AB269" s="90">
        <f>Tabella3[[#This Row],[rest of Italy fit]]/y_a_peak</f>
        <v>2.9192157246718801E-5</v>
      </c>
      <c r="AC269" s="10">
        <f>Tabella3[[#This Row],[rest of Italy fit]]*NOT(ISBLANK(Tabella3[[#This Row],[rest of Italy data]]))</f>
        <v>0</v>
      </c>
      <c r="AD269" s="145"/>
      <c r="AE269" s="145"/>
    </row>
    <row r="270" spans="2:31" x14ac:dyDescent="0.3">
      <c r="B270" s="9">
        <v>44093</v>
      </c>
      <c r="C270" s="4">
        <v>263</v>
      </c>
      <c r="D270" s="145"/>
      <c r="E270" s="10"/>
      <c r="F270" s="10">
        <f>Tabella3[[#This Row],[Spain daily cases]]*NOT(ISBLANK(Tabella3[[#This Row],[Spain daily cases]]))</f>
        <v>0</v>
      </c>
      <c r="G270" s="90">
        <f>IFERROR(Kf*_xlfn.LOGNORM.DIST((Tabella3[[#This Row],[Day]]-pf),mu_f,sigma_f,FALSE),0)</f>
        <v>2.8244271515071286E-2</v>
      </c>
      <c r="H270" s="90">
        <f>Tabella3[[#This Row],[Spain daily cases fit]]/y_f_peak</f>
        <v>4.2315633874718767E-6</v>
      </c>
      <c r="I270" s="10">
        <f>Tabella3[[#This Row],[Spain daily cases fit]]*NOT(ISBLANK(Tabella3[[#This Row],[Spain daily cases]]))</f>
        <v>0</v>
      </c>
      <c r="J270" s="145"/>
      <c r="K270" s="145"/>
      <c r="L270" s="145"/>
      <c r="M270" s="10"/>
      <c r="N270" s="10">
        <f>Tabella3[[#This Row],[Lombardy data]]*NOT(ISBLANK(Tabella3[[#This Row],[Lombardy data]]))</f>
        <v>0</v>
      </c>
      <c r="O270" s="95" t="e">
        <f>Tabella8[[#This Row],[Lombardy fit]]</f>
        <v>#VALUE!</v>
      </c>
      <c r="P270" s="90" t="e">
        <f>Tabella3[[#This Row],[Lombardy cumul. Fit]]/Kl</f>
        <v>#VALUE!</v>
      </c>
      <c r="Q270" s="90">
        <f>IFERROR(Kl*_xlfn.LOGNORM.DIST((Tabella3[[#This Row],[Day]]-pl),mu_l,sigma_l,FALSE),0)</f>
        <v>0.21955538348380665</v>
      </c>
      <c r="R270" s="90">
        <f>Tabella3[[#This Row],[Lombardy fit]]/y_l_peak</f>
        <v>1.2489253104509625E-4</v>
      </c>
      <c r="S270" s="10">
        <f>Tabella3[[#This Row],[Lombardy fit]]*NOT(ISBLANK(Tabella3[[#This Row],[Lombardy data]]))</f>
        <v>0</v>
      </c>
      <c r="T270" s="145"/>
      <c r="U270" s="145"/>
      <c r="V270" s="145"/>
      <c r="W270" s="10"/>
      <c r="X270" s="10">
        <f>Tabella3[[#This Row],[rest of Italy data]]*NOT(ISBLANK(Tabella3[[#This Row],[rest of Italy data]]))</f>
        <v>0</v>
      </c>
      <c r="Y270" s="95" t="e">
        <f>Tabella8[[#This Row],[rest of Italy fit]]</f>
        <v>#VALUE!</v>
      </c>
      <c r="Z270" s="90" t="e">
        <f>Tabella3[[#This Row],[rest of Italy cumul. Fit]]/Ka</f>
        <v>#VALUE!</v>
      </c>
      <c r="AA270" s="90">
        <f>IFERROR(Ka*_xlfn.LOGNORM.DIST((Tabella3[[#This Row],[Day]]-pa),mu_a,sigma_a,FALSE),0)</f>
        <v>9.2590897898796334E-2</v>
      </c>
      <c r="AB270" s="90">
        <f>Tabella3[[#This Row],[rest of Italy fit]]/y_a_peak</f>
        <v>2.740065470627075E-5</v>
      </c>
      <c r="AC270" s="10">
        <f>Tabella3[[#This Row],[rest of Italy fit]]*NOT(ISBLANK(Tabella3[[#This Row],[rest of Italy data]]))</f>
        <v>0</v>
      </c>
      <c r="AD270" s="145"/>
      <c r="AE270" s="145"/>
    </row>
    <row r="271" spans="2:31" x14ac:dyDescent="0.3">
      <c r="B271" s="9">
        <v>44094</v>
      </c>
      <c r="C271" s="4">
        <v>264</v>
      </c>
      <c r="D271" s="145"/>
      <c r="E271" s="10"/>
      <c r="F271" s="10">
        <f>Tabella3[[#This Row],[Spain daily cases]]*NOT(ISBLANK(Tabella3[[#This Row],[Spain daily cases]]))</f>
        <v>0</v>
      </c>
      <c r="G271" s="90">
        <f>IFERROR(Kf*_xlfn.LOGNORM.DIST((Tabella3[[#This Row],[Day]]-pf),mu_f,sigma_f,FALSE),0)</f>
        <v>2.6048997590300632E-2</v>
      </c>
      <c r="H271" s="90">
        <f>Tabella3[[#This Row],[Spain daily cases fit]]/y_f_peak</f>
        <v>3.9026669328200268E-6</v>
      </c>
      <c r="I271" s="10">
        <f>Tabella3[[#This Row],[Spain daily cases fit]]*NOT(ISBLANK(Tabella3[[#This Row],[Spain daily cases]]))</f>
        <v>0</v>
      </c>
      <c r="J271" s="145"/>
      <c r="K271" s="145"/>
      <c r="L271" s="145"/>
      <c r="M271" s="10"/>
      <c r="N271" s="10">
        <f>Tabella3[[#This Row],[Lombardy data]]*NOT(ISBLANK(Tabella3[[#This Row],[Lombardy data]]))</f>
        <v>0</v>
      </c>
      <c r="O271" s="95" t="e">
        <f>Tabella8[[#This Row],[Lombardy fit]]</f>
        <v>#VALUE!</v>
      </c>
      <c r="P271" s="90" t="e">
        <f>Tabella3[[#This Row],[Lombardy cumul. Fit]]/Kl</f>
        <v>#VALUE!</v>
      </c>
      <c r="Q271" s="90">
        <f>IFERROR(Kl*_xlfn.LOGNORM.DIST((Tabella3[[#This Row],[Day]]-pl),mu_l,sigma_l,FALSE),0)</f>
        <v>0.20807650423781732</v>
      </c>
      <c r="R271" s="90">
        <f>Tabella3[[#This Row],[Lombardy fit]]/y_l_peak</f>
        <v>1.1836285156357094E-4</v>
      </c>
      <c r="S271" s="10">
        <f>Tabella3[[#This Row],[Lombardy fit]]*NOT(ISBLANK(Tabella3[[#This Row],[Lombardy data]]))</f>
        <v>0</v>
      </c>
      <c r="T271" s="145"/>
      <c r="U271" s="145"/>
      <c r="V271" s="145"/>
      <c r="W271" s="10"/>
      <c r="X271" s="10">
        <f>Tabella3[[#This Row],[rest of Italy data]]*NOT(ISBLANK(Tabella3[[#This Row],[rest of Italy data]]))</f>
        <v>0</v>
      </c>
      <c r="Y271" s="95" t="e">
        <f>Tabella8[[#This Row],[rest of Italy fit]]</f>
        <v>#VALUE!</v>
      </c>
      <c r="Z271" s="90" t="e">
        <f>Tabella3[[#This Row],[rest of Italy cumul. Fit]]/Ka</f>
        <v>#VALUE!</v>
      </c>
      <c r="AA271" s="90">
        <f>IFERROR(Ka*_xlfn.LOGNORM.DIST((Tabella3[[#This Row],[Day]]-pa),mu_a,sigma_a,FALSE),0)</f>
        <v>8.6916505242683836E-2</v>
      </c>
      <c r="AB271" s="90">
        <f>Tabella3[[#This Row],[rest of Italy fit]]/y_a_peak</f>
        <v>2.572141757425933E-5</v>
      </c>
      <c r="AC271" s="10">
        <f>Tabella3[[#This Row],[rest of Italy fit]]*NOT(ISBLANK(Tabella3[[#This Row],[rest of Italy data]]))</f>
        <v>0</v>
      </c>
      <c r="AD271" s="145"/>
      <c r="AE271" s="145"/>
    </row>
    <row r="272" spans="2:31" x14ac:dyDescent="0.3">
      <c r="B272" s="9">
        <v>44095</v>
      </c>
      <c r="C272" s="4">
        <v>265</v>
      </c>
      <c r="D272" s="145"/>
      <c r="E272" s="10"/>
      <c r="F272" s="10">
        <f>Tabella3[[#This Row],[Spain daily cases]]*NOT(ISBLANK(Tabella3[[#This Row],[Spain daily cases]]))</f>
        <v>0</v>
      </c>
      <c r="G272" s="90">
        <f>IFERROR(Kf*_xlfn.LOGNORM.DIST((Tabella3[[#This Row],[Day]]-pf),mu_f,sigma_f,FALSE),0)</f>
        <v>2.4026502045961358E-2</v>
      </c>
      <c r="H272" s="90">
        <f>Tabella3[[#This Row],[Spain daily cases fit]]/y_f_peak</f>
        <v>3.5996561756764295E-6</v>
      </c>
      <c r="I272" s="10">
        <f>Tabella3[[#This Row],[Spain daily cases fit]]*NOT(ISBLANK(Tabella3[[#This Row],[Spain daily cases]]))</f>
        <v>0</v>
      </c>
      <c r="J272" s="145"/>
      <c r="K272" s="145"/>
      <c r="L272" s="145"/>
      <c r="M272" s="10"/>
      <c r="N272" s="10">
        <f>Tabella3[[#This Row],[Lombardy data]]*NOT(ISBLANK(Tabella3[[#This Row],[Lombardy data]]))</f>
        <v>0</v>
      </c>
      <c r="O272" s="95" t="e">
        <f>Tabella8[[#This Row],[Lombardy fit]]</f>
        <v>#VALUE!</v>
      </c>
      <c r="P272" s="90" t="e">
        <f>Tabella3[[#This Row],[Lombardy cumul. Fit]]/Kl</f>
        <v>#VALUE!</v>
      </c>
      <c r="Q272" s="90">
        <f>IFERROR(Kl*_xlfn.LOGNORM.DIST((Tabella3[[#This Row],[Day]]-pl),mu_l,sigma_l,FALSE),0)</f>
        <v>0.19721182632402609</v>
      </c>
      <c r="R272" s="90">
        <f>Tabella3[[#This Row],[Lombardy fit]]/y_l_peak</f>
        <v>1.1218255617699381E-4</v>
      </c>
      <c r="S272" s="10">
        <f>Tabella3[[#This Row],[Lombardy fit]]*NOT(ISBLANK(Tabella3[[#This Row],[Lombardy data]]))</f>
        <v>0</v>
      </c>
      <c r="T272" s="145"/>
      <c r="U272" s="145"/>
      <c r="V272" s="145"/>
      <c r="W272" s="10"/>
      <c r="X272" s="10">
        <f>Tabella3[[#This Row],[rest of Italy data]]*NOT(ISBLANK(Tabella3[[#This Row],[rest of Italy data]]))</f>
        <v>0</v>
      </c>
      <c r="Y272" s="95" t="e">
        <f>Tabella8[[#This Row],[rest of Italy fit]]</f>
        <v>#VALUE!</v>
      </c>
      <c r="Z272" s="90" t="e">
        <f>Tabella3[[#This Row],[rest of Italy cumul. Fit]]/Ka</f>
        <v>#VALUE!</v>
      </c>
      <c r="AA272" s="90">
        <f>IFERROR(Ka*_xlfn.LOGNORM.DIST((Tabella3[[#This Row],[Day]]-pa),mu_a,sigma_a,FALSE),0)</f>
        <v>8.1597235192033657E-2</v>
      </c>
      <c r="AB272" s="90">
        <f>Tabella3[[#This Row],[rest of Italy fit]]/y_a_peak</f>
        <v>2.4147272758139474E-5</v>
      </c>
      <c r="AC272" s="10">
        <f>Tabella3[[#This Row],[rest of Italy fit]]*NOT(ISBLANK(Tabella3[[#This Row],[rest of Italy data]]))</f>
        <v>0</v>
      </c>
      <c r="AD272" s="145"/>
      <c r="AE272" s="145"/>
    </row>
    <row r="273" spans="2:31" x14ac:dyDescent="0.3">
      <c r="B273" s="9">
        <v>44096</v>
      </c>
      <c r="C273" s="4">
        <v>266</v>
      </c>
      <c r="D273" s="145"/>
      <c r="E273" s="10"/>
      <c r="F273" s="10">
        <f>Tabella3[[#This Row],[Spain daily cases]]*NOT(ISBLANK(Tabella3[[#This Row],[Spain daily cases]]))</f>
        <v>0</v>
      </c>
      <c r="G273" s="90">
        <f>IFERROR(Kf*_xlfn.LOGNORM.DIST((Tabella3[[#This Row],[Day]]-pf),mu_f,sigma_f,FALSE),0)</f>
        <v>2.2163029707005188E-2</v>
      </c>
      <c r="H273" s="90">
        <f>Tabella3[[#This Row],[Spain daily cases fit]]/y_f_peak</f>
        <v>3.320470312486939E-6</v>
      </c>
      <c r="I273" s="10">
        <f>Tabella3[[#This Row],[Spain daily cases fit]]*NOT(ISBLANK(Tabella3[[#This Row],[Spain daily cases]]))</f>
        <v>0</v>
      </c>
      <c r="J273" s="145"/>
      <c r="K273" s="145"/>
      <c r="L273" s="145"/>
      <c r="M273" s="10"/>
      <c r="N273" s="10">
        <f>Tabella3[[#This Row],[Lombardy data]]*NOT(ISBLANK(Tabella3[[#This Row],[Lombardy data]]))</f>
        <v>0</v>
      </c>
      <c r="O273" s="95" t="e">
        <f>Tabella8[[#This Row],[Lombardy fit]]</f>
        <v>#VALUE!</v>
      </c>
      <c r="P273" s="90" t="e">
        <f>Tabella3[[#This Row],[Lombardy cumul. Fit]]/Kl</f>
        <v>#VALUE!</v>
      </c>
      <c r="Q273" s="90">
        <f>IFERROR(Kl*_xlfn.LOGNORM.DIST((Tabella3[[#This Row],[Day]]-pl),mu_l,sigma_l,FALSE),0)</f>
        <v>0.1869277834551584</v>
      </c>
      <c r="R273" s="90">
        <f>Tabella3[[#This Row],[Lombardy fit]]/y_l_peak</f>
        <v>1.0633255093964152E-4</v>
      </c>
      <c r="S273" s="10">
        <f>Tabella3[[#This Row],[Lombardy fit]]*NOT(ISBLANK(Tabella3[[#This Row],[Lombardy data]]))</f>
        <v>0</v>
      </c>
      <c r="T273" s="145"/>
      <c r="U273" s="145"/>
      <c r="V273" s="145"/>
      <c r="W273" s="10"/>
      <c r="X273" s="10">
        <f>Tabella3[[#This Row],[rest of Italy data]]*NOT(ISBLANK(Tabella3[[#This Row],[rest of Italy data]]))</f>
        <v>0</v>
      </c>
      <c r="Y273" s="95" t="e">
        <f>Tabella8[[#This Row],[rest of Italy fit]]</f>
        <v>#VALUE!</v>
      </c>
      <c r="Z273" s="90" t="e">
        <f>Tabella3[[#This Row],[rest of Italy cumul. Fit]]/Ka</f>
        <v>#VALUE!</v>
      </c>
      <c r="AA273" s="90">
        <f>IFERROR(Ka*_xlfn.LOGNORM.DIST((Tabella3[[#This Row],[Day]]-pa),mu_a,sigma_a,FALSE),0)</f>
        <v>7.6610425278280159E-2</v>
      </c>
      <c r="AB273" s="90">
        <f>Tabella3[[#This Row],[rest of Italy fit]]/y_a_peak</f>
        <v>2.2671513697222713E-5</v>
      </c>
      <c r="AC273" s="10">
        <f>Tabella3[[#This Row],[rest of Italy fit]]*NOT(ISBLANK(Tabella3[[#This Row],[rest of Italy data]]))</f>
        <v>0</v>
      </c>
      <c r="AD273" s="145"/>
      <c r="AE273" s="145"/>
    </row>
    <row r="274" spans="2:31" x14ac:dyDescent="0.3">
      <c r="B274" s="9">
        <v>44097</v>
      </c>
      <c r="C274" s="4">
        <v>267</v>
      </c>
      <c r="D274" s="145"/>
      <c r="E274" s="10"/>
      <c r="F274" s="10">
        <f>Tabella3[[#This Row],[Spain daily cases]]*NOT(ISBLANK(Tabella3[[#This Row],[Spain daily cases]]))</f>
        <v>0</v>
      </c>
      <c r="G274" s="90">
        <f>IFERROR(Kf*_xlfn.LOGNORM.DIST((Tabella3[[#This Row],[Day]]-pf),mu_f,sigma_f,FALSE),0)</f>
        <v>2.044593175149851E-2</v>
      </c>
      <c r="H274" s="90">
        <f>Tabella3[[#This Row],[Spain daily cases fit]]/y_f_peak</f>
        <v>3.0632142937807143E-6</v>
      </c>
      <c r="I274" s="10">
        <f>Tabella3[[#This Row],[Spain daily cases fit]]*NOT(ISBLANK(Tabella3[[#This Row],[Spain daily cases]]))</f>
        <v>0</v>
      </c>
      <c r="J274" s="145"/>
      <c r="K274" s="145"/>
      <c r="L274" s="145"/>
      <c r="M274" s="10"/>
      <c r="N274" s="10">
        <f>Tabella3[[#This Row],[Lombardy data]]*NOT(ISBLANK(Tabella3[[#This Row],[Lombardy data]]))</f>
        <v>0</v>
      </c>
      <c r="O274" s="95" t="e">
        <f>Tabella8[[#This Row],[Lombardy fit]]</f>
        <v>#VALUE!</v>
      </c>
      <c r="P274" s="90" t="e">
        <f>Tabella3[[#This Row],[Lombardy cumul. Fit]]/Kl</f>
        <v>#VALUE!</v>
      </c>
      <c r="Q274" s="90">
        <f>IFERROR(Kl*_xlfn.LOGNORM.DIST((Tabella3[[#This Row],[Day]]-pl),mu_l,sigma_l,FALSE),0)</f>
        <v>0.17719267864299418</v>
      </c>
      <c r="R274" s="90">
        <f>Tabella3[[#This Row],[Lombardy fit]]/y_l_peak</f>
        <v>1.0079480524337095E-4</v>
      </c>
      <c r="S274" s="10">
        <f>Tabella3[[#This Row],[Lombardy fit]]*NOT(ISBLANK(Tabella3[[#This Row],[Lombardy data]]))</f>
        <v>0</v>
      </c>
      <c r="T274" s="145"/>
      <c r="U274" s="145"/>
      <c r="V274" s="145"/>
      <c r="W274" s="10"/>
      <c r="X274" s="10">
        <f>Tabella3[[#This Row],[rest of Italy data]]*NOT(ISBLANK(Tabella3[[#This Row],[rest of Italy data]]))</f>
        <v>0</v>
      </c>
      <c r="Y274" s="95" t="e">
        <f>Tabella8[[#This Row],[rest of Italy fit]]</f>
        <v>#VALUE!</v>
      </c>
      <c r="Z274" s="90" t="e">
        <f>Tabella3[[#This Row],[rest of Italy cumul. Fit]]/Ka</f>
        <v>#VALUE!</v>
      </c>
      <c r="AA274" s="90">
        <f>IFERROR(Ka*_xlfn.LOGNORM.DIST((Tabella3[[#This Row],[Day]]-pa),mu_a,sigma_a,FALSE),0)</f>
        <v>7.1934885338941851E-2</v>
      </c>
      <c r="AB274" s="90">
        <f>Tabella3[[#This Row],[rest of Italy fit]]/y_a_peak</f>
        <v>2.1287869534021952E-5</v>
      </c>
      <c r="AC274" s="10">
        <f>Tabella3[[#This Row],[rest of Italy fit]]*NOT(ISBLANK(Tabella3[[#This Row],[rest of Italy data]]))</f>
        <v>0</v>
      </c>
      <c r="AD274" s="145"/>
      <c r="AE274" s="145"/>
    </row>
    <row r="275" spans="2:31" x14ac:dyDescent="0.3">
      <c r="B275" s="9">
        <v>44098</v>
      </c>
      <c r="C275" s="4">
        <v>268</v>
      </c>
      <c r="D275" s="145"/>
      <c r="E275" s="10"/>
      <c r="F275" s="10">
        <f>Tabella3[[#This Row],[Spain daily cases]]*NOT(ISBLANK(Tabella3[[#This Row],[Spain daily cases]]))</f>
        <v>0</v>
      </c>
      <c r="G275" s="90">
        <f>IFERROR(Kf*_xlfn.LOGNORM.DIST((Tabella3[[#This Row],[Day]]-pf),mu_f,sigma_f,FALSE),0)</f>
        <v>1.8863575932554749E-2</v>
      </c>
      <c r="H275" s="90">
        <f>Tabella3[[#This Row],[Spain daily cases fit]]/y_f_peak</f>
        <v>2.8261453735990569E-6</v>
      </c>
      <c r="I275" s="10">
        <f>Tabella3[[#This Row],[Spain daily cases fit]]*NOT(ISBLANK(Tabella3[[#This Row],[Spain daily cases]]))</f>
        <v>0</v>
      </c>
      <c r="J275" s="145"/>
      <c r="K275" s="145"/>
      <c r="L275" s="145"/>
      <c r="M275" s="10"/>
      <c r="N275" s="10">
        <f>Tabella3[[#This Row],[Lombardy data]]*NOT(ISBLANK(Tabella3[[#This Row],[Lombardy data]]))</f>
        <v>0</v>
      </c>
      <c r="O275" s="95" t="e">
        <f>Tabella8[[#This Row],[Lombardy fit]]</f>
        <v>#VALUE!</v>
      </c>
      <c r="P275" s="90" t="e">
        <f>Tabella3[[#This Row],[Lombardy cumul. Fit]]/Kl</f>
        <v>#VALUE!</v>
      </c>
      <c r="Q275" s="90">
        <f>IFERROR(Kl*_xlfn.LOGNORM.DIST((Tabella3[[#This Row],[Day]]-pl),mu_l,sigma_l,FALSE),0)</f>
        <v>0.1679765784040359</v>
      </c>
      <c r="R275" s="90">
        <f>Tabella3[[#This Row],[Lombardy fit]]/y_l_peak</f>
        <v>9.5552291637259761E-5</v>
      </c>
      <c r="S275" s="10">
        <f>Tabella3[[#This Row],[Lombardy fit]]*NOT(ISBLANK(Tabella3[[#This Row],[Lombardy data]]))</f>
        <v>0</v>
      </c>
      <c r="T275" s="145"/>
      <c r="U275" s="145"/>
      <c r="V275" s="145"/>
      <c r="W275" s="10"/>
      <c r="X275" s="10">
        <f>Tabella3[[#This Row],[rest of Italy data]]*NOT(ISBLANK(Tabella3[[#This Row],[rest of Italy data]]))</f>
        <v>0</v>
      </c>
      <c r="Y275" s="95" t="e">
        <f>Tabella8[[#This Row],[rest of Italy fit]]</f>
        <v>#VALUE!</v>
      </c>
      <c r="Z275" s="90" t="e">
        <f>Tabella3[[#This Row],[rest of Italy cumul. Fit]]/Ka</f>
        <v>#VALUE!</v>
      </c>
      <c r="AA275" s="90">
        <f>IFERROR(Ka*_xlfn.LOGNORM.DIST((Tabella3[[#This Row],[Day]]-pa),mu_a,sigma_a,FALSE),0)</f>
        <v>6.7550800321809129E-2</v>
      </c>
      <c r="AB275" s="90">
        <f>Tabella3[[#This Row],[rest of Italy fit]]/y_a_peak</f>
        <v>1.9990476350853023E-5</v>
      </c>
      <c r="AC275" s="10">
        <f>Tabella3[[#This Row],[rest of Italy fit]]*NOT(ISBLANK(Tabella3[[#This Row],[rest of Italy data]]))</f>
        <v>0</v>
      </c>
      <c r="AD275" s="145"/>
      <c r="AE275" s="145"/>
    </row>
    <row r="276" spans="2:31" x14ac:dyDescent="0.3">
      <c r="B276" s="9">
        <v>44099</v>
      </c>
      <c r="C276" s="4">
        <v>269</v>
      </c>
      <c r="D276" s="145"/>
      <c r="E276" s="10"/>
      <c r="F276" s="10">
        <f>Tabella3[[#This Row],[Spain daily cases]]*NOT(ISBLANK(Tabella3[[#This Row],[Spain daily cases]]))</f>
        <v>0</v>
      </c>
      <c r="G276" s="90">
        <f>IFERROR(Kf*_xlfn.LOGNORM.DIST((Tabella3[[#This Row],[Day]]-pf),mu_f,sigma_f,FALSE),0)</f>
        <v>1.7405264138487388E-2</v>
      </c>
      <c r="H276" s="90">
        <f>Tabella3[[#This Row],[Spain daily cases fit]]/y_f_peak</f>
        <v>2.6076607583381878E-6</v>
      </c>
      <c r="I276" s="10">
        <f>Tabella3[[#This Row],[Spain daily cases fit]]*NOT(ISBLANK(Tabella3[[#This Row],[Spain daily cases]]))</f>
        <v>0</v>
      </c>
      <c r="J276" s="145"/>
      <c r="K276" s="145"/>
      <c r="L276" s="145"/>
      <c r="M276" s="10"/>
      <c r="N276" s="10">
        <f>Tabella3[[#This Row],[Lombardy data]]*NOT(ISBLANK(Tabella3[[#This Row],[Lombardy data]]))</f>
        <v>0</v>
      </c>
      <c r="O276" s="95" t="e">
        <f>Tabella8[[#This Row],[Lombardy fit]]</f>
        <v>#VALUE!</v>
      </c>
      <c r="P276" s="90" t="e">
        <f>Tabella3[[#This Row],[Lombardy cumul. Fit]]/Kl</f>
        <v>#VALUE!</v>
      </c>
      <c r="Q276" s="90">
        <f>IFERROR(Kl*_xlfn.LOGNORM.DIST((Tabella3[[#This Row],[Day]]-pl),mu_l,sigma_l,FALSE),0)</f>
        <v>0.15925121303004147</v>
      </c>
      <c r="R276" s="90">
        <f>Tabella3[[#This Row],[Lombardy fit]]/y_l_peak</f>
        <v>9.0588929097202623E-5</v>
      </c>
      <c r="S276" s="10">
        <f>Tabella3[[#This Row],[Lombardy fit]]*NOT(ISBLANK(Tabella3[[#This Row],[Lombardy data]]))</f>
        <v>0</v>
      </c>
      <c r="T276" s="145"/>
      <c r="U276" s="145"/>
      <c r="V276" s="145"/>
      <c r="W276" s="10"/>
      <c r="X276" s="10">
        <f>Tabella3[[#This Row],[rest of Italy data]]*NOT(ISBLANK(Tabella3[[#This Row],[rest of Italy data]]))</f>
        <v>0</v>
      </c>
      <c r="Y276" s="95" t="e">
        <f>Tabella8[[#This Row],[rest of Italy fit]]</f>
        <v>#VALUE!</v>
      </c>
      <c r="Z276" s="90" t="e">
        <f>Tabella3[[#This Row],[rest of Italy cumul. Fit]]/Ka</f>
        <v>#VALUE!</v>
      </c>
      <c r="AA276" s="90">
        <f>IFERROR(Ka*_xlfn.LOGNORM.DIST((Tabella3[[#This Row],[Day]]-pa),mu_a,sigma_a,FALSE),0)</f>
        <v>6.3439639595204197E-2</v>
      </c>
      <c r="AB276" s="90">
        <f>Tabella3[[#This Row],[rest of Italy fit]]/y_a_peak</f>
        <v>1.8773850331794325E-5</v>
      </c>
      <c r="AC276" s="10">
        <f>Tabella3[[#This Row],[rest of Italy fit]]*NOT(ISBLANK(Tabella3[[#This Row],[rest of Italy data]]))</f>
        <v>0</v>
      </c>
      <c r="AD276" s="145"/>
      <c r="AE276" s="145"/>
    </row>
    <row r="277" spans="2:31" x14ac:dyDescent="0.3">
      <c r="B277" s="9">
        <v>44100</v>
      </c>
      <c r="C277" s="4">
        <v>270</v>
      </c>
      <c r="D277" s="145"/>
      <c r="E277" s="10"/>
      <c r="F277" s="10">
        <f>Tabella3[[#This Row],[Spain daily cases]]*NOT(ISBLANK(Tabella3[[#This Row],[Spain daily cases]]))</f>
        <v>0</v>
      </c>
      <c r="G277" s="90">
        <f>IFERROR(Kf*_xlfn.LOGNORM.DIST((Tabella3[[#This Row],[Day]]-pf),mu_f,sigma_f,FALSE),0)</f>
        <v>1.6061156688197829E-2</v>
      </c>
      <c r="H277" s="90">
        <f>Tabella3[[#This Row],[Spain daily cases fit]]/y_f_peak</f>
        <v>2.4062862646664886E-6</v>
      </c>
      <c r="I277" s="10">
        <f>Tabella3[[#This Row],[Spain daily cases fit]]*NOT(ISBLANK(Tabella3[[#This Row],[Spain daily cases]]))</f>
        <v>0</v>
      </c>
      <c r="J277" s="145"/>
      <c r="K277" s="145"/>
      <c r="L277" s="145"/>
      <c r="M277" s="10"/>
      <c r="N277" s="10">
        <f>Tabella3[[#This Row],[Lombardy data]]*NOT(ISBLANK(Tabella3[[#This Row],[Lombardy data]]))</f>
        <v>0</v>
      </c>
      <c r="O277" s="95" t="e">
        <f>Tabella8[[#This Row],[Lombardy fit]]</f>
        <v>#VALUE!</v>
      </c>
      <c r="P277" s="90" t="e">
        <f>Tabella3[[#This Row],[Lombardy cumul. Fit]]/Kl</f>
        <v>#VALUE!</v>
      </c>
      <c r="Q277" s="90">
        <f>IFERROR(Kl*_xlfn.LOGNORM.DIST((Tabella3[[#This Row],[Day]]-pl),mu_l,sigma_l,FALSE),0)</f>
        <v>0.15098988257272769</v>
      </c>
      <c r="R277" s="90">
        <f>Tabella3[[#This Row],[Lombardy fit]]/y_l_peak</f>
        <v>8.5889529545972939E-5</v>
      </c>
      <c r="S277" s="10">
        <f>Tabella3[[#This Row],[Lombardy fit]]*NOT(ISBLANK(Tabella3[[#This Row],[Lombardy data]]))</f>
        <v>0</v>
      </c>
      <c r="T277" s="145"/>
      <c r="U277" s="145"/>
      <c r="V277" s="145"/>
      <c r="W277" s="10"/>
      <c r="X277" s="10">
        <f>Tabella3[[#This Row],[rest of Italy data]]*NOT(ISBLANK(Tabella3[[#This Row],[rest of Italy data]]))</f>
        <v>0</v>
      </c>
      <c r="Y277" s="95" t="e">
        <f>Tabella8[[#This Row],[rest of Italy fit]]</f>
        <v>#VALUE!</v>
      </c>
      <c r="Z277" s="90" t="e">
        <f>Tabella3[[#This Row],[rest of Italy cumul. Fit]]/Ka</f>
        <v>#VALUE!</v>
      </c>
      <c r="AA277" s="90">
        <f>IFERROR(Ka*_xlfn.LOGNORM.DIST((Tabella3[[#This Row],[Day]]-pa),mu_a,sigma_a,FALSE),0)</f>
        <v>5.9584072323898604E-2</v>
      </c>
      <c r="AB277" s="90">
        <f>Tabella3[[#This Row],[rest of Italy fit]]/y_a_peak</f>
        <v>1.7632862719671641E-5</v>
      </c>
      <c r="AC277" s="10">
        <f>Tabella3[[#This Row],[rest of Italy fit]]*NOT(ISBLANK(Tabella3[[#This Row],[rest of Italy data]]))</f>
        <v>0</v>
      </c>
      <c r="AD277" s="145"/>
      <c r="AE277" s="145"/>
    </row>
    <row r="278" spans="2:31" x14ac:dyDescent="0.3">
      <c r="B278" s="9">
        <v>44101</v>
      </c>
      <c r="C278" s="4">
        <v>271</v>
      </c>
      <c r="D278" s="145"/>
      <c r="E278" s="10"/>
      <c r="F278" s="10">
        <f>Tabella3[[#This Row],[Spain daily cases]]*NOT(ISBLANK(Tabella3[[#This Row],[Spain daily cases]]))</f>
        <v>0</v>
      </c>
      <c r="G278" s="90">
        <f>IFERROR(Kf*_xlfn.LOGNORM.DIST((Tabella3[[#This Row],[Day]]-pf),mu_f,sigma_f,FALSE),0)</f>
        <v>1.4822202808498329E-2</v>
      </c>
      <c r="H278" s="90">
        <f>Tabella3[[#This Row],[Spain daily cases fit]]/y_f_peak</f>
        <v>2.2206659036207064E-6</v>
      </c>
      <c r="I278" s="10">
        <f>Tabella3[[#This Row],[Spain daily cases fit]]*NOT(ISBLANK(Tabella3[[#This Row],[Spain daily cases]]))</f>
        <v>0</v>
      </c>
      <c r="J278" s="145"/>
      <c r="K278" s="145"/>
      <c r="L278" s="145"/>
      <c r="M278" s="10"/>
      <c r="N278" s="10">
        <f>Tabella3[[#This Row],[Lombardy data]]*NOT(ISBLANK(Tabella3[[#This Row],[Lombardy data]]))</f>
        <v>0</v>
      </c>
      <c r="O278" s="95" t="e">
        <f>Tabella8[[#This Row],[Lombardy fit]]</f>
        <v>#VALUE!</v>
      </c>
      <c r="P278" s="90" t="e">
        <f>Tabella3[[#This Row],[Lombardy cumul. Fit]]/Kl</f>
        <v>#VALUE!</v>
      </c>
      <c r="Q278" s="90">
        <f>IFERROR(Kl*_xlfn.LOGNORM.DIST((Tabella3[[#This Row],[Day]]-pl),mu_l,sigma_l,FALSE),0)</f>
        <v>0.1431673682122748</v>
      </c>
      <c r="R278" s="90">
        <f>Tabella3[[#This Row],[Lombardy fit]]/y_l_peak</f>
        <v>8.1439747435821993E-5</v>
      </c>
      <c r="S278" s="10">
        <f>Tabella3[[#This Row],[Lombardy fit]]*NOT(ISBLANK(Tabella3[[#This Row],[Lombardy data]]))</f>
        <v>0</v>
      </c>
      <c r="T278" s="145"/>
      <c r="U278" s="145"/>
      <c r="V278" s="145"/>
      <c r="W278" s="10"/>
      <c r="X278" s="10">
        <f>Tabella3[[#This Row],[rest of Italy data]]*NOT(ISBLANK(Tabella3[[#This Row],[rest of Italy data]]))</f>
        <v>0</v>
      </c>
      <c r="Y278" s="95" t="e">
        <f>Tabella8[[#This Row],[rest of Italy fit]]</f>
        <v>#VALUE!</v>
      </c>
      <c r="Z278" s="90" t="e">
        <f>Tabella3[[#This Row],[rest of Italy cumul. Fit]]/Ka</f>
        <v>#VALUE!</v>
      </c>
      <c r="AA278" s="90">
        <f>IFERROR(Ka*_xlfn.LOGNORM.DIST((Tabella3[[#This Row],[Day]]-pa),mu_a,sigma_a,FALSE),0)</f>
        <v>5.5967888500273393E-2</v>
      </c>
      <c r="AB278" s="90">
        <f>Tabella3[[#This Row],[rest of Italy fit]]/y_a_peak</f>
        <v>1.6562716446612931E-5</v>
      </c>
      <c r="AC278" s="10">
        <f>Tabella3[[#This Row],[rest of Italy fit]]*NOT(ISBLANK(Tabella3[[#This Row],[rest of Italy data]]))</f>
        <v>0</v>
      </c>
      <c r="AD278" s="145"/>
      <c r="AE278" s="145"/>
    </row>
    <row r="279" spans="2:31" x14ac:dyDescent="0.3">
      <c r="B279" s="9">
        <v>44102</v>
      </c>
      <c r="C279" s="4">
        <v>272</v>
      </c>
      <c r="D279" s="145"/>
      <c r="E279" s="10"/>
      <c r="F279" s="10">
        <f>Tabella3[[#This Row],[Spain daily cases]]*NOT(ISBLANK(Tabella3[[#This Row],[Spain daily cases]]))</f>
        <v>0</v>
      </c>
      <c r="G279" s="90">
        <f>IFERROR(Kf*_xlfn.LOGNORM.DIST((Tabella3[[#This Row],[Day]]-pf),mu_f,sigma_f,FALSE),0)</f>
        <v>1.3680076785664375E-2</v>
      </c>
      <c r="H279" s="90">
        <f>Tabella3[[#This Row],[Spain daily cases fit]]/y_f_peak</f>
        <v>2.0495523148165438E-6</v>
      </c>
      <c r="I279" s="10">
        <f>Tabella3[[#This Row],[Spain daily cases fit]]*NOT(ISBLANK(Tabella3[[#This Row],[Spain daily cases]]))</f>
        <v>0</v>
      </c>
      <c r="J279" s="145"/>
      <c r="K279" s="145"/>
      <c r="L279" s="145"/>
      <c r="M279" s="10"/>
      <c r="N279" s="10">
        <f>Tabella3[[#This Row],[Lombardy data]]*NOT(ISBLANK(Tabella3[[#This Row],[Lombardy data]]))</f>
        <v>0</v>
      </c>
      <c r="O279" s="95" t="e">
        <f>Tabella8[[#This Row],[Lombardy fit]]</f>
        <v>#VALUE!</v>
      </c>
      <c r="P279" s="90" t="e">
        <f>Tabella3[[#This Row],[Lombardy cumul. Fit]]/Kl</f>
        <v>#VALUE!</v>
      </c>
      <c r="Q279" s="90">
        <f>IFERROR(Kl*_xlfn.LOGNORM.DIST((Tabella3[[#This Row],[Day]]-pl),mu_l,sigma_l,FALSE),0)</f>
        <v>0.13575984869846613</v>
      </c>
      <c r="R279" s="90">
        <f>Tabella3[[#This Row],[Lombardy fit]]/y_l_peak</f>
        <v>7.7226032216610627E-5</v>
      </c>
      <c r="S279" s="10">
        <f>Tabella3[[#This Row],[Lombardy fit]]*NOT(ISBLANK(Tabella3[[#This Row],[Lombardy data]]))</f>
        <v>0</v>
      </c>
      <c r="T279" s="145"/>
      <c r="U279" s="145"/>
      <c r="V279" s="145"/>
      <c r="W279" s="10"/>
      <c r="X279" s="10">
        <f>Tabella3[[#This Row],[rest of Italy data]]*NOT(ISBLANK(Tabella3[[#This Row],[rest of Italy data]]))</f>
        <v>0</v>
      </c>
      <c r="Y279" s="95" t="e">
        <f>Tabella8[[#This Row],[rest of Italy fit]]</f>
        <v>#VALUE!</v>
      </c>
      <c r="Z279" s="90" t="e">
        <f>Tabella3[[#This Row],[rest of Italy cumul. Fit]]/Ka</f>
        <v>#VALUE!</v>
      </c>
      <c r="AA279" s="90">
        <f>IFERROR(Ka*_xlfn.LOGNORM.DIST((Tabella3[[#This Row],[Day]]-pa),mu_a,sigma_a,FALSE),0)</f>
        <v>5.2575925248355283E-2</v>
      </c>
      <c r="AB279" s="90">
        <f>Tabella3[[#This Row],[rest of Italy fit]]/y_a_peak</f>
        <v>1.5558924325018485E-5</v>
      </c>
      <c r="AC279" s="10">
        <f>Tabella3[[#This Row],[rest of Italy fit]]*NOT(ISBLANK(Tabella3[[#This Row],[rest of Italy data]]))</f>
        <v>0</v>
      </c>
      <c r="AD279" s="145"/>
      <c r="AE279" s="145"/>
    </row>
    <row r="280" spans="2:31" x14ac:dyDescent="0.3">
      <c r="B280" s="9">
        <v>44103</v>
      </c>
      <c r="C280" s="4">
        <v>273</v>
      </c>
      <c r="D280" s="145"/>
      <c r="E280" s="10"/>
      <c r="F280" s="10">
        <f>Tabella3[[#This Row],[Spain daily cases]]*NOT(ISBLANK(Tabella3[[#This Row],[Spain daily cases]]))</f>
        <v>0</v>
      </c>
      <c r="G280" s="90">
        <f>IFERROR(Kf*_xlfn.LOGNORM.DIST((Tabella3[[#This Row],[Day]]-pf),mu_f,sigma_f,FALSE),0)</f>
        <v>1.2627119325359459E-2</v>
      </c>
      <c r="H280" s="90">
        <f>Tabella3[[#This Row],[Spain daily cases fit]]/y_f_peak</f>
        <v>1.8917979809788276E-6</v>
      </c>
      <c r="I280" s="10">
        <f>Tabella3[[#This Row],[Spain daily cases fit]]*NOT(ISBLANK(Tabella3[[#This Row],[Spain daily cases]]))</f>
        <v>0</v>
      </c>
      <c r="J280" s="145"/>
      <c r="K280" s="145"/>
      <c r="L280" s="145"/>
      <c r="M280" s="10"/>
      <c r="N280" s="10">
        <f>Tabella3[[#This Row],[Lombardy data]]*NOT(ISBLANK(Tabella3[[#This Row],[Lombardy data]]))</f>
        <v>0</v>
      </c>
      <c r="O280" s="95" t="e">
        <f>Tabella8[[#This Row],[Lombardy fit]]</f>
        <v>#VALUE!</v>
      </c>
      <c r="P280" s="90" t="e">
        <f>Tabella3[[#This Row],[Lombardy cumul. Fit]]/Kl</f>
        <v>#VALUE!</v>
      </c>
      <c r="Q280" s="90">
        <f>IFERROR(Kl*_xlfn.LOGNORM.DIST((Tabella3[[#This Row],[Day]]-pl),mu_l,sigma_l,FALSE),0)</f>
        <v>0.12874482157130396</v>
      </c>
      <c r="R280" s="90">
        <f>Tabella3[[#This Row],[Lombardy fit]]/y_l_peak</f>
        <v>7.3235583522712327E-5</v>
      </c>
      <c r="S280" s="10">
        <f>Tabella3[[#This Row],[Lombardy fit]]*NOT(ISBLANK(Tabella3[[#This Row],[Lombardy data]]))</f>
        <v>0</v>
      </c>
      <c r="T280" s="145"/>
      <c r="U280" s="145"/>
      <c r="V280" s="145"/>
      <c r="W280" s="10"/>
      <c r="X280" s="10">
        <f>Tabella3[[#This Row],[rest of Italy data]]*NOT(ISBLANK(Tabella3[[#This Row],[rest of Italy data]]))</f>
        <v>0</v>
      </c>
      <c r="Y280" s="95" t="e">
        <f>Tabella8[[#This Row],[rest of Italy fit]]</f>
        <v>#VALUE!</v>
      </c>
      <c r="Z280" s="90" t="e">
        <f>Tabella3[[#This Row],[rest of Italy cumul. Fit]]/Ka</f>
        <v>#VALUE!</v>
      </c>
      <c r="AA280" s="90">
        <f>IFERROR(Ka*_xlfn.LOGNORM.DIST((Tabella3[[#This Row],[Day]]-pa),mu_a,sigma_a,FALSE),0)</f>
        <v>4.9393998044415605E-2</v>
      </c>
      <c r="AB280" s="90">
        <f>Tabella3[[#This Row],[rest of Italy fit]]/y_a_peak</f>
        <v>1.4617288693501687E-5</v>
      </c>
      <c r="AC280" s="10">
        <f>Tabella3[[#This Row],[rest of Italy fit]]*NOT(ISBLANK(Tabella3[[#This Row],[rest of Italy data]]))</f>
        <v>0</v>
      </c>
      <c r="AD280" s="145"/>
      <c r="AE280" s="145"/>
    </row>
    <row r="281" spans="2:31" x14ac:dyDescent="0.3">
      <c r="B281" s="9">
        <v>44104</v>
      </c>
      <c r="C281" s="4">
        <v>274</v>
      </c>
      <c r="D281" s="145"/>
      <c r="E281" s="10"/>
      <c r="F281" s="10">
        <f>Tabella3[[#This Row],[Spain daily cases]]*NOT(ISBLANK(Tabella3[[#This Row],[Spain daily cases]]))</f>
        <v>0</v>
      </c>
      <c r="G281" s="90">
        <f>IFERROR(Kf*_xlfn.LOGNORM.DIST((Tabella3[[#This Row],[Day]]-pf),mu_f,sigma_f,FALSE),0)</f>
        <v>1.1656283693454292E-2</v>
      </c>
      <c r="H281" s="90">
        <f>Tabella3[[#This Row],[Spain daily cases fit]]/y_f_peak</f>
        <v>1.7463471587464009E-6</v>
      </c>
      <c r="I281" s="10">
        <f>Tabella3[[#This Row],[Spain daily cases fit]]*NOT(ISBLANK(Tabella3[[#This Row],[Spain daily cases]]))</f>
        <v>0</v>
      </c>
      <c r="J281" s="145"/>
      <c r="K281" s="145"/>
      <c r="L281" s="145"/>
      <c r="M281" s="10"/>
      <c r="N281" s="10">
        <f>Tabella3[[#This Row],[Lombardy data]]*NOT(ISBLANK(Tabella3[[#This Row],[Lombardy data]]))</f>
        <v>0</v>
      </c>
      <c r="O281" s="95" t="e">
        <f>Tabella8[[#This Row],[Lombardy fit]]</f>
        <v>#VALUE!</v>
      </c>
      <c r="P281" s="90" t="e">
        <f>Tabella3[[#This Row],[Lombardy cumul. Fit]]/Kl</f>
        <v>#VALUE!</v>
      </c>
      <c r="Q281" s="90">
        <f>IFERROR(Kl*_xlfn.LOGNORM.DIST((Tabella3[[#This Row],[Day]]-pl),mu_l,sigma_l,FALSE),0)</f>
        <v>0.12210102888501577</v>
      </c>
      <c r="R281" s="90">
        <f>Tabella3[[#This Row],[Lombardy fit]]/y_l_peak</f>
        <v>6.945630892163825E-5</v>
      </c>
      <c r="S281" s="10">
        <f>Tabella3[[#This Row],[Lombardy fit]]*NOT(ISBLANK(Tabella3[[#This Row],[Lombardy data]]))</f>
        <v>0</v>
      </c>
      <c r="T281" s="145"/>
      <c r="U281" s="145"/>
      <c r="V281" s="145"/>
      <c r="W281" s="10"/>
      <c r="X281" s="10">
        <f>Tabella3[[#This Row],[rest of Italy data]]*NOT(ISBLANK(Tabella3[[#This Row],[rest of Italy data]]))</f>
        <v>0</v>
      </c>
      <c r="Y281" s="95" t="e">
        <f>Tabella8[[#This Row],[rest of Italy fit]]</f>
        <v>#VALUE!</v>
      </c>
      <c r="Z281" s="90" t="e">
        <f>Tabella3[[#This Row],[rest of Italy cumul. Fit]]/Ka</f>
        <v>#VALUE!</v>
      </c>
      <c r="AA281" s="90">
        <f>IFERROR(Ka*_xlfn.LOGNORM.DIST((Tabella3[[#This Row],[Day]]-pa),mu_a,sigma_a,FALSE),0)</f>
        <v>4.6408836522111627E-2</v>
      </c>
      <c r="AB281" s="90">
        <f>Tabella3[[#This Row],[rest of Italy fit]]/y_a_peak</f>
        <v>1.3733882419544814E-5</v>
      </c>
      <c r="AC281" s="10">
        <f>Tabella3[[#This Row],[rest of Italy fit]]*NOT(ISBLANK(Tabella3[[#This Row],[rest of Italy data]]))</f>
        <v>0</v>
      </c>
      <c r="AD281" s="145"/>
      <c r="AE281" s="145"/>
    </row>
  </sheetData>
  <mergeCells count="14">
    <mergeCell ref="AU8:AU17"/>
    <mergeCell ref="B2:F2"/>
    <mergeCell ref="F3:F6"/>
    <mergeCell ref="AJ3:AN3"/>
    <mergeCell ref="B4:E4"/>
    <mergeCell ref="B5:E5"/>
    <mergeCell ref="AJ4:AN4"/>
    <mergeCell ref="AJ5:AN5"/>
    <mergeCell ref="G3:I6"/>
    <mergeCell ref="AJ6:AN6"/>
    <mergeCell ref="J5:N5"/>
    <mergeCell ref="J6:N6"/>
    <mergeCell ref="S5:W5"/>
    <mergeCell ref="S6:W6"/>
  </mergeCells>
  <phoneticPr fontId="25" type="noConversion"/>
  <conditionalFormatting sqref="Q8:Q95 Q97:Q281">
    <cfRule type="cellIs" dxfId="10" priority="8" operator="lessThan">
      <formula>0.5</formula>
    </cfRule>
  </conditionalFormatting>
  <conditionalFormatting sqref="AA8:AA281">
    <cfRule type="top10" dxfId="9" priority="3" rank="1"/>
    <cfRule type="cellIs" dxfId="8" priority="7" operator="lessThan">
      <formula>0.5</formula>
    </cfRule>
  </conditionalFormatting>
  <conditionalFormatting sqref="Q8:Q95 Q97:Q281">
    <cfRule type="top10" dxfId="7" priority="4" rank="1"/>
  </conditionalFormatting>
  <conditionalFormatting sqref="F1:F1048576 G8:G281">
    <cfRule type="cellIs" dxfId="6" priority="2" operator="lessThan">
      <formula>10</formula>
    </cfRule>
  </conditionalFormatting>
  <conditionalFormatting sqref="G8:G281">
    <cfRule type="cellIs" dxfId="0" priority="1" operator="lessThan">
      <formula>1</formula>
    </cfRule>
  </conditionalFormatting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96B48-FDBB-41B9-A563-AC5964F17FDE}">
  <dimension ref="B2:CL185"/>
  <sheetViews>
    <sheetView topLeftCell="BT6" zoomScale="55" zoomScaleNormal="55" workbookViewId="0">
      <selection activeCell="DL30" sqref="DL30"/>
    </sheetView>
  </sheetViews>
  <sheetFormatPr defaultRowHeight="14.4" x14ac:dyDescent="0.3"/>
  <cols>
    <col min="1" max="1" width="2.77734375" style="119" customWidth="1"/>
    <col min="2" max="2" width="15.109375" style="119" bestFit="1" customWidth="1"/>
    <col min="3" max="3" width="14" style="119" bestFit="1" customWidth="1"/>
    <col min="4" max="4" width="13.44140625" style="119" customWidth="1"/>
    <col min="5" max="6" width="16.33203125" style="119" customWidth="1"/>
    <col min="7" max="7" width="20.109375" style="119" customWidth="1"/>
    <col min="8" max="8" width="19.88671875" style="119" customWidth="1"/>
    <col min="9" max="9" width="19.88671875" style="154" customWidth="1"/>
    <col min="10" max="10" width="19.88671875" style="253" customWidth="1"/>
    <col min="11" max="11" width="19.88671875" style="119" customWidth="1"/>
    <col min="12" max="12" width="19.6640625" style="119" bestFit="1" customWidth="1"/>
    <col min="13" max="13" width="19.6640625" style="119" customWidth="1"/>
    <col min="14" max="14" width="19.6640625" style="154" customWidth="1"/>
    <col min="15" max="15" width="19.6640625" style="172" hidden="1" customWidth="1"/>
    <col min="16" max="16" width="19.6640625" style="154" customWidth="1"/>
    <col min="17" max="17" width="8.88671875" style="172" bestFit="1" customWidth="1"/>
    <col min="18" max="18" width="19.5546875" style="253" bestFit="1" customWidth="1"/>
    <col min="19" max="19" width="20.88671875" style="253" bestFit="1" customWidth="1"/>
    <col min="20" max="20" width="16.5546875" style="253" bestFit="1" customWidth="1"/>
    <col min="21" max="21" width="17.21875" style="253" bestFit="1" customWidth="1"/>
    <col min="22" max="22" width="13" style="253" bestFit="1" customWidth="1"/>
    <col min="23" max="23" width="13" style="253" customWidth="1"/>
    <col min="24" max="24" width="19.6640625" style="172" customWidth="1"/>
    <col min="25" max="25" width="19.6640625" style="253" customWidth="1"/>
    <col min="26" max="26" width="19.6640625" style="119" customWidth="1"/>
    <col min="27" max="27" width="19.6640625" style="253" customWidth="1"/>
    <col min="28" max="28" width="19.6640625" style="119" customWidth="1"/>
    <col min="29" max="30" width="14" style="119" customWidth="1"/>
    <col min="31" max="31" width="21.88671875" style="119" customWidth="1"/>
    <col min="32" max="32" width="20.33203125" style="119" customWidth="1"/>
    <col min="33" max="33" width="16.109375" style="119" bestFit="1" customWidth="1"/>
    <col min="34" max="34" width="20.6640625" style="119" bestFit="1" customWidth="1"/>
    <col min="35" max="35" width="20.6640625" style="119" customWidth="1"/>
    <col min="36" max="36" width="20.5546875" style="119" customWidth="1"/>
    <col min="37" max="37" width="21.109375" style="119" customWidth="1"/>
    <col min="38" max="38" width="15.44140625" style="154" customWidth="1"/>
    <col min="39" max="39" width="13.44140625" style="119" customWidth="1"/>
    <col min="40" max="41" width="13.44140625" style="154" customWidth="1"/>
    <col min="42" max="42" width="13.44140625" style="172" hidden="1" customWidth="1"/>
    <col min="43" max="47" width="13.44140625" style="253" hidden="1" customWidth="1"/>
    <col min="48" max="48" width="13.44140625" style="253" customWidth="1"/>
    <col min="49" max="49" width="19.5546875" style="119" bestFit="1" customWidth="1"/>
    <col min="50" max="50" width="19.5546875" style="119" customWidth="1"/>
    <col min="51" max="51" width="18.21875" style="119" customWidth="1"/>
    <col min="52" max="53" width="18.6640625" style="119" customWidth="1"/>
    <col min="54" max="54" width="17.44140625" style="119" bestFit="1" customWidth="1"/>
    <col min="55" max="55" width="18.109375" style="119" bestFit="1" customWidth="1"/>
    <col min="56" max="56" width="18.109375" style="119" customWidth="1"/>
    <col min="57" max="57" width="21.88671875" style="119" customWidth="1"/>
    <col min="58" max="58" width="21.109375" style="119" customWidth="1"/>
    <col min="59" max="59" width="16.109375" style="154" customWidth="1"/>
    <col min="60" max="60" width="21.109375" style="119" customWidth="1"/>
    <col min="61" max="61" width="21.109375" style="154" customWidth="1"/>
    <col min="62" max="62" width="17.109375" style="154" customWidth="1"/>
    <col min="63" max="63" width="17.109375" style="172" hidden="1" customWidth="1"/>
    <col min="64" max="68" width="17.109375" style="253" hidden="1" customWidth="1"/>
    <col min="69" max="69" width="17.109375" style="253" customWidth="1"/>
    <col min="70" max="70" width="24" style="119" bestFit="1" customWidth="1"/>
    <col min="71" max="71" width="17.77734375" style="119" customWidth="1"/>
    <col min="72" max="72" width="23.33203125" style="119" customWidth="1"/>
    <col min="73" max="73" width="21.5546875" style="119" customWidth="1"/>
    <col min="74" max="74" width="19.33203125" style="119" customWidth="1"/>
    <col min="75" max="75" width="1.77734375" style="119" customWidth="1"/>
    <col min="76" max="76" width="24.33203125" style="119" hidden="1" customWidth="1"/>
    <col min="77" max="77" width="23.33203125" style="119" hidden="1" customWidth="1"/>
    <col min="78" max="79" width="8.88671875" style="119"/>
    <col min="80" max="80" width="17.88671875" style="119" bestFit="1" customWidth="1"/>
    <col min="81" max="81" width="8.88671875" style="119"/>
    <col min="82" max="82" width="11" style="119" bestFit="1" customWidth="1"/>
    <col min="83" max="89" width="8.88671875" style="119"/>
    <col min="90" max="90" width="9.5546875" style="119" hidden="1" customWidth="1"/>
    <col min="91" max="16384" width="8.88671875" style="119"/>
  </cols>
  <sheetData>
    <row r="2" spans="2:90" ht="24" thickBot="1" x14ac:dyDescent="0.5">
      <c r="B2" s="285" t="s">
        <v>11</v>
      </c>
      <c r="C2" s="285"/>
      <c r="D2" s="285"/>
      <c r="E2" s="285"/>
      <c r="F2" s="285"/>
      <c r="G2" s="285"/>
      <c r="K2" s="154"/>
      <c r="L2" s="154"/>
    </row>
    <row r="3" spans="2:90" ht="17.399999999999999" customHeight="1" thickBot="1" x14ac:dyDescent="0.65">
      <c r="B3" s="11"/>
      <c r="G3" s="289"/>
      <c r="K3" s="154"/>
      <c r="Z3" s="253"/>
      <c r="AB3" s="253"/>
      <c r="AC3" s="253"/>
      <c r="AD3" s="253"/>
      <c r="BY3" s="93"/>
      <c r="BZ3" s="122" t="s">
        <v>0</v>
      </c>
      <c r="CA3" s="286" t="s">
        <v>30</v>
      </c>
      <c r="CB3" s="286"/>
      <c r="CC3" s="286"/>
      <c r="CD3" s="286"/>
      <c r="CE3" s="286"/>
    </row>
    <row r="4" spans="2:90" ht="20.399999999999999" thickBot="1" x14ac:dyDescent="0.45">
      <c r="B4" s="287" t="s">
        <v>66</v>
      </c>
      <c r="C4" s="287"/>
      <c r="D4" s="287"/>
      <c r="E4" s="287"/>
      <c r="F4" s="120"/>
      <c r="G4" s="289"/>
      <c r="I4" s="154">
        <f>I81</f>
        <v>3.7474744145183863</v>
      </c>
      <c r="P4" s="278">
        <f>P81</f>
        <v>0.20721506853378704</v>
      </c>
      <c r="X4" s="172">
        <f>X81</f>
        <v>61.560569705069554</v>
      </c>
      <c r="Z4" s="253">
        <f>Z81</f>
        <v>293.45569563194198</v>
      </c>
      <c r="AB4" s="253"/>
      <c r="AC4" s="253"/>
      <c r="AD4" s="253"/>
      <c r="BY4" s="91"/>
      <c r="BZ4" s="122" t="s">
        <v>63</v>
      </c>
      <c r="CA4" s="286" t="s">
        <v>30</v>
      </c>
      <c r="CB4" s="286"/>
      <c r="CC4" s="286"/>
      <c r="CD4" s="286"/>
      <c r="CE4" s="286"/>
    </row>
    <row r="5" spans="2:90" ht="18.600000000000001" thickTop="1" thickBot="1" x14ac:dyDescent="0.4">
      <c r="B5" s="307" t="s">
        <v>47</v>
      </c>
      <c r="C5" s="307"/>
      <c r="D5" s="307"/>
      <c r="E5" s="307"/>
      <c r="F5" s="121"/>
      <c r="G5" s="289"/>
      <c r="I5" s="186" t="s">
        <v>4013</v>
      </c>
      <c r="J5" s="279"/>
      <c r="M5" s="133">
        <f>'Cumul_cases - LNorm'!H5</f>
        <v>43865.333377297291</v>
      </c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253"/>
      <c r="AB5" s="253"/>
      <c r="AC5" s="253"/>
      <c r="AD5" s="253"/>
      <c r="AE5" s="310" t="s">
        <v>75</v>
      </c>
      <c r="AF5" s="310"/>
      <c r="AG5" s="310"/>
      <c r="AH5" s="310"/>
      <c r="AI5" s="310"/>
      <c r="AJ5" s="310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3">
        <f>'Cumul_cases - LNorm'!R5</f>
        <v>43862.222215734975</v>
      </c>
      <c r="AY5" s="310" t="s">
        <v>75</v>
      </c>
      <c r="AZ5" s="310"/>
      <c r="BA5" s="310"/>
      <c r="BB5" s="310"/>
      <c r="BC5" s="310"/>
      <c r="BD5" s="164"/>
      <c r="BE5" s="162"/>
      <c r="BF5" s="162"/>
      <c r="BG5" s="162"/>
      <c r="BH5" s="162"/>
      <c r="BI5" s="162"/>
      <c r="BJ5" s="162"/>
      <c r="BK5" s="162"/>
      <c r="BL5" s="162"/>
      <c r="BM5" s="162"/>
      <c r="BN5" s="162"/>
      <c r="BO5" s="162"/>
      <c r="BP5" s="162"/>
      <c r="BQ5" s="162"/>
      <c r="BR5" s="162"/>
      <c r="BS5" s="133">
        <f>'Cumul_cases - LNorm'!Y5</f>
        <v>43868.717425443399</v>
      </c>
      <c r="BY5" s="92"/>
      <c r="BZ5" s="122" t="s">
        <v>64</v>
      </c>
      <c r="CA5" s="288" t="s">
        <v>65</v>
      </c>
      <c r="CB5" s="288"/>
      <c r="CC5" s="288"/>
      <c r="CD5" s="288"/>
      <c r="CE5" s="288"/>
    </row>
    <row r="6" spans="2:90" ht="19.2" thickTop="1" thickBot="1" x14ac:dyDescent="0.4">
      <c r="B6" s="282">
        <f ca="1">TODAY()</f>
        <v>43951</v>
      </c>
      <c r="C6" s="127">
        <f ca="1">Oggi-Start_data+1</f>
        <v>121</v>
      </c>
      <c r="D6" s="127">
        <v>0</v>
      </c>
      <c r="E6" s="127">
        <v>80</v>
      </c>
      <c r="F6" s="127"/>
      <c r="G6" s="289"/>
      <c r="I6" s="186">
        <v>2</v>
      </c>
      <c r="J6" s="280"/>
      <c r="K6" s="185" cm="1">
        <f t="array" aca="1" ref="K6" ca="1">INDEX(Tabella34[[Day]:[Lower CI__]],C6,6)</f>
        <v>241729.84349012436</v>
      </c>
      <c r="L6" s="128" cm="1">
        <f t="array" aca="1" ref="L6" ca="1">INDEX(Tabella34[[Day]:[Lower CI__]],C6,10)</f>
        <v>0</v>
      </c>
      <c r="M6" s="134">
        <f>pf</f>
        <v>34.333377297288806</v>
      </c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253"/>
      <c r="AB6" s="253"/>
      <c r="AC6" s="253"/>
      <c r="AD6" s="253"/>
      <c r="AE6" s="309" t="s">
        <v>76</v>
      </c>
      <c r="AF6" s="309"/>
      <c r="AG6" s="309"/>
      <c r="AH6" s="309"/>
      <c r="AI6" s="309"/>
      <c r="AJ6" s="309"/>
      <c r="AK6" s="162"/>
      <c r="AL6" s="162"/>
      <c r="AM6" s="165" cm="1">
        <f t="array" aca="1" ref="AM6" ca="1">INDEX(Tabella34[[Day]:[Lower CI__]],C6,19)</f>
        <v>-2.0706675165589266</v>
      </c>
      <c r="AN6" s="187"/>
      <c r="AO6" s="187"/>
      <c r="AP6" s="187"/>
      <c r="AQ6" s="187"/>
      <c r="AR6" s="187"/>
      <c r="AS6" s="187"/>
      <c r="AT6" s="187"/>
      <c r="AU6" s="187"/>
      <c r="AV6" s="187"/>
      <c r="AW6" s="166" cm="1">
        <f t="array" aca="1" ref="AW6" ca="1">INDEX(Tabella34[[Day]:[Lower CI__]],C6,21)</f>
        <v>5.2556610281156969E-2</v>
      </c>
      <c r="AX6" s="167">
        <f>pl</f>
        <v>31.22221573497708</v>
      </c>
      <c r="AY6" s="309" t="s">
        <v>76</v>
      </c>
      <c r="AZ6" s="309"/>
      <c r="BA6" s="309"/>
      <c r="BB6" s="309"/>
      <c r="BC6" s="309"/>
      <c r="BD6" s="168"/>
      <c r="BE6" s="162"/>
      <c r="BF6" s="162"/>
      <c r="BG6" s="162"/>
      <c r="BH6" s="169" cm="1">
        <f t="array" aca="1" ref="BH6" ca="1">INDEX(Tabella34[[Day]:[Lower CI__]],C6,29)</f>
        <v>2188.4941175369499</v>
      </c>
      <c r="BI6" s="188"/>
      <c r="BJ6" s="188"/>
      <c r="BK6" s="188"/>
      <c r="BL6" s="188"/>
      <c r="BM6" s="188"/>
      <c r="BN6" s="188"/>
      <c r="BO6" s="188"/>
      <c r="BP6" s="188"/>
      <c r="BQ6" s="188"/>
      <c r="BR6" s="170" cm="1">
        <f t="array" aca="1" ref="BR6" ca="1">INDEX(Tabella34[[Day]:[Lower CI__]],C6,31)</f>
        <v>0</v>
      </c>
      <c r="BS6" s="134">
        <f>pa</f>
        <v>37.717425443399762</v>
      </c>
      <c r="BZ6" s="13" t="s">
        <v>74</v>
      </c>
      <c r="CA6" s="288" t="s">
        <v>73</v>
      </c>
      <c r="CB6" s="288"/>
      <c r="CC6" s="288"/>
      <c r="CD6" s="288"/>
      <c r="CE6" s="288"/>
    </row>
    <row r="7" spans="2:90" ht="57.6" x14ac:dyDescent="0.3">
      <c r="B7" s="4" t="s">
        <v>9</v>
      </c>
      <c r="C7" s="4" t="s">
        <v>10</v>
      </c>
      <c r="D7" s="4" t="s">
        <v>4346</v>
      </c>
      <c r="E7" s="4" t="s">
        <v>4345</v>
      </c>
      <c r="F7" s="4" t="s">
        <v>4350</v>
      </c>
      <c r="G7" s="138" t="s">
        <v>23</v>
      </c>
      <c r="H7" s="96" t="s">
        <v>4347</v>
      </c>
      <c r="I7" s="96" t="s">
        <v>4358</v>
      </c>
      <c r="J7" s="96" t="s">
        <v>4354</v>
      </c>
      <c r="K7" s="96" t="s">
        <v>4351</v>
      </c>
      <c r="L7" s="8" t="s">
        <v>26</v>
      </c>
      <c r="M7" s="96" t="s">
        <v>27</v>
      </c>
      <c r="N7" s="96" t="s">
        <v>4352</v>
      </c>
      <c r="O7" s="96" t="s">
        <v>4026</v>
      </c>
      <c r="P7" s="96" t="s">
        <v>4353</v>
      </c>
      <c r="Q7" s="96" t="s">
        <v>4025</v>
      </c>
      <c r="R7" s="96" t="s">
        <v>4027</v>
      </c>
      <c r="S7" s="96" t="s">
        <v>4028</v>
      </c>
      <c r="T7" s="96" t="s">
        <v>4029</v>
      </c>
      <c r="U7" s="96" t="s">
        <v>4030</v>
      </c>
      <c r="V7" s="96" t="s">
        <v>4031</v>
      </c>
      <c r="W7" s="96" t="s">
        <v>4355</v>
      </c>
      <c r="X7" s="96" t="s">
        <v>4356</v>
      </c>
      <c r="Y7" s="96" t="s">
        <v>4357</v>
      </c>
      <c r="Z7" s="8" t="s">
        <v>4359</v>
      </c>
      <c r="AA7" s="8" t="s">
        <v>4360</v>
      </c>
      <c r="AB7" s="96" t="s">
        <v>4361</v>
      </c>
      <c r="AC7" s="96" t="s">
        <v>24</v>
      </c>
      <c r="AD7" s="96" t="s">
        <v>39</v>
      </c>
      <c r="AE7" s="96" t="s">
        <v>7</v>
      </c>
      <c r="AF7" s="96" t="s">
        <v>8</v>
      </c>
      <c r="AG7" s="4" t="s">
        <v>59</v>
      </c>
      <c r="AH7" s="4" t="s">
        <v>52</v>
      </c>
      <c r="AI7" s="4" t="s">
        <v>4045</v>
      </c>
      <c r="AJ7" s="138" t="s">
        <v>25</v>
      </c>
      <c r="AK7" s="96" t="s">
        <v>58</v>
      </c>
      <c r="AL7" s="96" t="s">
        <v>4014</v>
      </c>
      <c r="AM7" s="96" t="s">
        <v>70</v>
      </c>
      <c r="AN7" s="96" t="s">
        <v>4017</v>
      </c>
      <c r="AO7" s="96" t="s">
        <v>4018</v>
      </c>
      <c r="AP7" s="96" t="s">
        <v>4024</v>
      </c>
      <c r="AQ7" s="96" t="s">
        <v>4033</v>
      </c>
      <c r="AR7" s="96" t="s">
        <v>4034</v>
      </c>
      <c r="AS7" s="96" t="s">
        <v>4035</v>
      </c>
      <c r="AT7" s="96" t="s">
        <v>4036</v>
      </c>
      <c r="AU7" s="96" t="s">
        <v>4037</v>
      </c>
      <c r="AV7" s="96" t="s">
        <v>4038</v>
      </c>
      <c r="AW7" s="8" t="s">
        <v>4016</v>
      </c>
      <c r="AX7" s="96" t="s">
        <v>67</v>
      </c>
      <c r="AY7" s="138" t="s">
        <v>40</v>
      </c>
      <c r="AZ7" s="96" t="s">
        <v>54</v>
      </c>
      <c r="BA7" s="96" t="s">
        <v>53</v>
      </c>
      <c r="BB7" s="4" t="s">
        <v>60</v>
      </c>
      <c r="BC7" s="4" t="s">
        <v>55</v>
      </c>
      <c r="BD7" s="4" t="s">
        <v>4046</v>
      </c>
      <c r="BE7" s="138" t="s">
        <v>41</v>
      </c>
      <c r="BF7" s="96" t="s">
        <v>61</v>
      </c>
      <c r="BG7" s="96" t="s">
        <v>4015</v>
      </c>
      <c r="BH7" s="96" t="s">
        <v>71</v>
      </c>
      <c r="BI7" s="96" t="s">
        <v>4020</v>
      </c>
      <c r="BJ7" s="96" t="s">
        <v>4021</v>
      </c>
      <c r="BK7" s="96" t="s">
        <v>4032</v>
      </c>
      <c r="BL7" s="96" t="s">
        <v>4039</v>
      </c>
      <c r="BM7" s="96" t="s">
        <v>4040</v>
      </c>
      <c r="BN7" s="96" t="s">
        <v>4041</v>
      </c>
      <c r="BO7" s="96" t="s">
        <v>4042</v>
      </c>
      <c r="BP7" s="96" t="s">
        <v>4043</v>
      </c>
      <c r="BQ7" s="96" t="s">
        <v>4044</v>
      </c>
      <c r="BR7" s="8" t="s">
        <v>4019</v>
      </c>
      <c r="BS7" s="96" t="s">
        <v>68</v>
      </c>
      <c r="BT7" s="138" t="s">
        <v>42</v>
      </c>
      <c r="BU7" s="96" t="s">
        <v>56</v>
      </c>
      <c r="BV7" s="96" t="s">
        <v>57</v>
      </c>
      <c r="BW7" s="8"/>
      <c r="BX7" s="212" t="s">
        <v>35</v>
      </c>
      <c r="BY7" s="213" t="s">
        <v>31</v>
      </c>
      <c r="BZ7" s="3"/>
      <c r="CL7" s="54" t="s">
        <v>22</v>
      </c>
    </row>
    <row r="8" spans="2:90" x14ac:dyDescent="0.3">
      <c r="B8" s="281">
        <v>43831</v>
      </c>
      <c r="C8" s="4">
        <v>1</v>
      </c>
      <c r="D8" s="155"/>
      <c r="E8" s="158"/>
      <c r="F8" s="158"/>
      <c r="G8" s="156">
        <f>Tabella34[[#This Row],[Spain daily cases]]*NOT(ISBLANK(Tabella34[[#This Row],[Spain daily cases]]))</f>
        <v>0</v>
      </c>
      <c r="H8" s="157">
        <f>Tabella8[[#This Row],[Spain cum. fit]]</f>
        <v>0</v>
      </c>
      <c r="I8" s="157" t="e">
        <f>_xlfn.LOGNORM.INV(alpha*Tabella34[[#This Row],[Spain cumul. Fit]]/Kt,mu_t,sigma_t)-(Tabella34[[#This Row],[Day]]-pt)</f>
        <v>#NUM!</v>
      </c>
      <c r="J8" s="157" t="e">
        <f>Tabella34[[#This Row],[Spain fitted d.t.]]/Spain_dt_at_lockdown</f>
        <v>#NUM!</v>
      </c>
      <c r="K8" s="157">
        <f>Tabella34[[#This Row],[Spain cumul. Fit]]/Kf</f>
        <v>0</v>
      </c>
      <c r="L8" s="160"/>
      <c r="M8" s="157"/>
      <c r="N8" s="157">
        <f>IFERROR(Kt*_xlfn.LOGNORM.DIST((Tabella34[[#This Row],[Day]]-pt),mu_t,sigma_t,FALSE),0)</f>
        <v>0</v>
      </c>
      <c r="O8" s="157" t="e">
        <f>Kt*EXP(-0.5*Tabella34[[#This Row],[x_t]]^2)/(sigma_t*SQRTPI(2)*(Tabella34[[#This Row],[Day]]-D_bk))</f>
        <v>#NUM!</v>
      </c>
      <c r="P8" s="199" t="e">
        <f>Tabella34[[#This Row],[Spain fitted velocity]]/Tabella34[[#This Row],[Spain cumul. Fit]]</f>
        <v>#DIV/0!</v>
      </c>
      <c r="Q8" s="262" t="e">
        <f>(LN(Tabella34[[#This Row],[Day]]-pt)-mu_t)/sigma_t</f>
        <v>#NUM!</v>
      </c>
      <c r="R8" s="262" t="e">
        <f>EXP(mu_t+sigma_t*Tabella34[[#This Row],[x_t_alpha©+plus]])-(Tabella34[[#This Row],[Day]]-pt)</f>
        <v>#DIV/0!</v>
      </c>
      <c r="S8" s="262" t="e">
        <f>EXP(mu_t+sigma_t*Tabella34[[#This Row],[x_t_alpha©-minus]])-(Tabella34[[#This Row],[Day]]-pt)</f>
        <v>#DIV/0!</v>
      </c>
      <c r="T8" s="262" t="e">
        <f>-sigma_t+SQRT(sigma_t^2-2*Tabella34[[#This Row],[c_t]])</f>
        <v>#DIV/0!</v>
      </c>
      <c r="U8" s="262" t="e">
        <f>-sigma_t-SQRT(sigma_t^2-2*Tabella34[[#This Row],[c_t]])</f>
        <v>#DIV/0!</v>
      </c>
      <c r="V8" s="262" t="e">
        <f>mu_t-LN(alpha*Kt/(Tabella34[[#This Row],[Spain fitted velocity]]*sigma_t*SQRTPI(2)))</f>
        <v>#DIV/0!</v>
      </c>
      <c r="W8" s="262" t="e">
        <f>Tabella34[[#This Row],[Spain fitted g.r.]]/Spain_gr_at_lockdown</f>
        <v>#DIV/0!</v>
      </c>
      <c r="X8" s="262" t="e">
        <f>Tabella34[[#This Row],[t_alpha_t+plus]]</f>
        <v>#DIV/0!</v>
      </c>
      <c r="Y8" s="262" t="e">
        <f>Tabella34[[#This Row],[Spain fitted h.t.]]/Spain_ht_at_lockdown</f>
        <v>#DIV/0!</v>
      </c>
      <c r="Z8" s="90">
        <f>IFERROR(-Kf*_xlfn.LOGNORM.DIST((Tabella34[[#This Row],[Day]]-pf),mu_f,sigma_f,FALSE)*(1+(LN((Tabella34[[#This Row],[Day]]-pf))-mu_f)/sigma_f^2)/(Tabella34[[#This Row],[Day]]-pf),0)</f>
        <v>0</v>
      </c>
      <c r="AA8" s="90">
        <f>Tabella34[[#This Row],[Spain acc. fit]]/Spain_acc_at_lockdown</f>
        <v>0</v>
      </c>
      <c r="AB8" s="157">
        <f>Tabella34[[#This Row],[Spain acc. fit]]/y_f_peak</f>
        <v>0</v>
      </c>
      <c r="AC8" s="157">
        <f>Tabella34[[#This Row],[Colonna4]]*NOT(ISBLANK(Tabella34[[#This Row],[Spain daily cases]]))</f>
        <v>0</v>
      </c>
      <c r="AD8" s="157">
        <f>Tabella34[[#This Row],[Spain acc. fit]]*NOT(ISBLANK(Tabella34[[#This Row],[Spain daily cases]]))</f>
        <v>0</v>
      </c>
      <c r="AE8" s="95">
        <f>Tabella34[[#This Row],[Spain acc. fit]]+CIf</f>
        <v>2342.6884176810927</v>
      </c>
      <c r="AF8" s="95">
        <f>MAX(Tabella34[[#This Row],[Spain acc. fit]]-CIf,0)</f>
        <v>0</v>
      </c>
      <c r="AG8" s="155"/>
      <c r="AH8" s="33"/>
      <c r="AI8" s="33"/>
      <c r="AJ8" s="156">
        <f>Tabella34[[#This Row],[Lombardy data]]*NOT(ISBLANK(Tabella34[[#This Row],[Lombardy data]]))</f>
        <v>0</v>
      </c>
      <c r="AK8" s="161">
        <f>Tabella8[[#This Row],[Lombardy fit]]</f>
        <v>0</v>
      </c>
      <c r="AL8" s="96" t="e">
        <f>_xlfn.LOGNORM.INV(alpha*Tabella34[[#This Row],[Lombardy cumul. Fit]]/Kr,mu_r,sigma_r)-(Tabella34[[#This Row],[Day]]-pr)</f>
        <v>#NUM!</v>
      </c>
      <c r="AM8" s="156">
        <f>Tabella34[[#This Row],[Lombardy cumul. Fit]]/Kl</f>
        <v>0</v>
      </c>
      <c r="AN8" s="157">
        <f>IFERROR(Kr*_xlfn.LOGNORM.DIST((Tabella34[[#This Row],[Day]]-pr),mu_r,sigma_r,FALSE),0)</f>
        <v>0</v>
      </c>
      <c r="AO8" s="199" t="e">
        <f>Tabella34[[#This Row],[Lombardy velocity]]/Tabella34[[#This Row],[Lombardy cumul. Fit]]</f>
        <v>#DIV/0!</v>
      </c>
      <c r="AP8" s="254" t="e">
        <f>(LN(Tabella34[[#This Row],[Day]]-pr)-mu_r)/sigma_r</f>
        <v>#NUM!</v>
      </c>
      <c r="AQ8" s="262" t="e">
        <f>EXP(mu_r+sigma_r*Tabella34[[#This Row],[x_r_alpha©+plus]])-(Tabella34[[#This Row],[Day]]-pr)</f>
        <v>#DIV/0!</v>
      </c>
      <c r="AR8" s="262" t="e">
        <f>EXP(mu_r+sigma_r*Tabella34[[#This Row],[x_r_alpha©-minus]])-(Tabella34[[#This Row],[Day]]-pr)</f>
        <v>#DIV/0!</v>
      </c>
      <c r="AS8" s="262" t="e">
        <f>-sigma_r+SQRT(sigma_r^2-2*Tabella34[[#This Row],[c_r]])</f>
        <v>#DIV/0!</v>
      </c>
      <c r="AT8" s="262" t="e">
        <f>-sigma_r-SQRT(sigma_r^2-2*Tabella34[[#This Row],[c_r]])</f>
        <v>#DIV/0!</v>
      </c>
      <c r="AU8" s="262" t="e">
        <f>mu_r-LN(alpha*Kr/(Tabella34[[#This Row],[Lombardy velocity]]*sigma_r*SQRTPI(2)))</f>
        <v>#DIV/0!</v>
      </c>
      <c r="AV8" s="262" t="e">
        <f>Tabella34[[#This Row],[t_alpha_r+plus]]</f>
        <v>#DIV/0!</v>
      </c>
      <c r="AW8" s="90">
        <f>IFERROR(-Kl*_xlfn.LOGNORM.DIST((Tabella34[[#This Row],[Day]]-pl),mu_l,sigma_l,FALSE)*(1+(LN((Tabella34[[#This Row],[Day]]-pl))-mu_l)/sigma_l^2)/(Tabella34[[#This Row],[Day]]-pl),0)</f>
        <v>0</v>
      </c>
      <c r="AX8" s="157">
        <f>Tabella34[[#This Row],[Lombardy acc. fit]]/y_l_peak</f>
        <v>0</v>
      </c>
      <c r="AY8" s="157">
        <f>Tabella34[[#This Row],[Lombardy acc. fit]]*NOT(ISBLANK(Tabella34[[#This Row],[Lombardy data]]))</f>
        <v>0</v>
      </c>
      <c r="AZ8" s="95">
        <f>Tabella34[[#This Row],[Lombardy acc. fit]]+CIl</f>
        <v>2570.3823229164086</v>
      </c>
      <c r="BA8" s="95">
        <f>MAX(Tabella34[[#This Row],[Lombardy acc. fit]]-CIl,0)</f>
        <v>0</v>
      </c>
      <c r="BB8" s="155"/>
      <c r="BC8" s="33"/>
      <c r="BD8" s="33"/>
      <c r="BE8" s="156">
        <f>Tabella34[[#This Row],[rest of Italy data]]*NOT(ISBLANK(Tabella34[[#This Row],[rest of Italy data]]))</f>
        <v>0</v>
      </c>
      <c r="BF8" s="204">
        <f>Tabella8[[#This Row],[rest of Italy fit]]</f>
        <v>0</v>
      </c>
      <c r="BG8" s="96" t="e">
        <f>_xlfn.LOGNORM.INV(alpha*Tabella34[[#This Row],[rest of Italy cumul. Fit]]/Ko,mu_o,sigma_o)-(Tabella34[[#This Row],[Day]]-po)</f>
        <v>#NUM!</v>
      </c>
      <c r="BH8" s="157">
        <f>Tabella34[[#This Row],[rest of Italy cumul. Fit]]/Ka</f>
        <v>0</v>
      </c>
      <c r="BI8" s="157">
        <f>IFERROR(Ko*_xlfn.LOGNORM.DIST((Tabella34[[#This Row],[Day]]-po),mu_o,sigma_o,FALSE),0)</f>
        <v>0</v>
      </c>
      <c r="BJ8" s="199" t="e">
        <f>Tabella34[[#This Row],[rest of Italy velocity]]/Tabella34[[#This Row],[rest of Italy cumul. Fit]]</f>
        <v>#DIV/0!</v>
      </c>
      <c r="BK8" s="254" t="e">
        <f>(LN(Tabella34[[#This Row],[Day]]-po)-mu_o)/sigma_o</f>
        <v>#NUM!</v>
      </c>
      <c r="BL8" s="262" t="e">
        <f>EXP(mu_o+sigma_o*Tabella34[[#This Row],[x_o_alpha©+plus]])-(Tabella34[[#This Row],[Day]]-po)</f>
        <v>#DIV/0!</v>
      </c>
      <c r="BM8" s="262" t="e">
        <f>EXP(mu_o+sigma_o*Tabella34[[#This Row],[x_o_alpha©-minus]])-(Tabella34[[#This Row],[Day]]-po)</f>
        <v>#DIV/0!</v>
      </c>
      <c r="BN8" s="262" t="e">
        <f>-sigma_o+SQRT(sigma_o^2-2*Tabella34[[#This Row],[c_o]])</f>
        <v>#DIV/0!</v>
      </c>
      <c r="BO8" s="262" t="e">
        <f>-sigma_o-SQRT(sigma_o^2-2*Tabella34[[#This Row],[c_o]])</f>
        <v>#DIV/0!</v>
      </c>
      <c r="BP8" s="262" t="e">
        <f>mu_o-LN(alpha*Ko/(Tabella34[[#This Row],[rest of Italy velocity]]*sigma_o*SQRTPI(2)))</f>
        <v>#DIV/0!</v>
      </c>
      <c r="BQ8" s="262" t="e">
        <f>Tabella34[[#This Row],[t_alpha_o+plus]]</f>
        <v>#DIV/0!</v>
      </c>
      <c r="BR8" s="90">
        <f>IFERROR(-Ka*_xlfn.LOGNORM.DIST((Tabella34[[#This Row],[Day]]-pa),mu_a,sigma_a,FALSE)*(1+(LN((Tabella34[[#This Row],[Day]]-pa))-mu_a)/sigma_a^2)/(Tabella34[[#This Row],[Day]]-pa),0)</f>
        <v>0</v>
      </c>
      <c r="BS8" s="157">
        <f>Tabella34[[#This Row],[rest of Italy acc. fit]]/y_a_peak</f>
        <v>0</v>
      </c>
      <c r="BT8" s="156">
        <f>Tabella34[[#This Row],[rest of Italy acc. fit]]*NOT(ISBLANK(Tabella34[[#This Row],[rest of Italy data]]))</f>
        <v>0</v>
      </c>
      <c r="BU8" s="95">
        <f>Tabella34[[#This Row],[rest of Italy acc. fit]]+CIa</f>
        <v>5338.8394351600173</v>
      </c>
      <c r="BV8" s="95">
        <f>MAX(Tabella34[[#This Row],[rest of Italy acc. fit]]-CIa,0)</f>
        <v>0</v>
      </c>
      <c r="BW8" s="8"/>
      <c r="BX8" s="214"/>
      <c r="BY8" s="215"/>
      <c r="BZ8" s="3"/>
      <c r="CL8" s="304" t="s">
        <v>46</v>
      </c>
    </row>
    <row r="9" spans="2:90" x14ac:dyDescent="0.3">
      <c r="B9" s="281">
        <v>43832</v>
      </c>
      <c r="C9" s="4">
        <v>2</v>
      </c>
      <c r="D9" s="155"/>
      <c r="E9" s="158"/>
      <c r="F9" s="158"/>
      <c r="G9" s="156">
        <f>Tabella34[[#This Row],[Spain daily cases]]*NOT(ISBLANK(Tabella34[[#This Row],[Spain daily cases]]))</f>
        <v>0</v>
      </c>
      <c r="H9" s="157">
        <f>Tabella8[[#This Row],[Spain cum. fit]]</f>
        <v>0</v>
      </c>
      <c r="I9" s="157" t="e">
        <f>_xlfn.LOGNORM.INV(alpha*Tabella34[[#This Row],[Spain cumul. Fit]]/Kt,mu_t,sigma_t)-(Tabella34[[#This Row],[Day]]-pt)</f>
        <v>#NUM!</v>
      </c>
      <c r="J9" s="157" t="e">
        <f>Tabella34[[#This Row],[Spain fitted d.t.]]/Spain_dt_at_lockdown</f>
        <v>#NUM!</v>
      </c>
      <c r="K9" s="157">
        <f>Tabella34[[#This Row],[Spain cumul. Fit]]/Kf</f>
        <v>0</v>
      </c>
      <c r="L9" s="160"/>
      <c r="M9" s="157"/>
      <c r="N9" s="157">
        <f>IFERROR(Kt*_xlfn.LOGNORM.DIST((Tabella34[[#This Row],[Day]]-pt),mu_t,sigma_t,FALSE),0)</f>
        <v>0</v>
      </c>
      <c r="O9" s="157" t="e">
        <f>Kt*EXP(-0.5*Tabella34[[#This Row],[x_t]]^2)/(sigma_t*SQRTPI(2)*(Tabella34[[#This Row],[Day]]-D_bk))</f>
        <v>#NUM!</v>
      </c>
      <c r="P9" s="199" t="e">
        <f>Tabella34[[#This Row],[Spain fitted velocity]]/Tabella34[[#This Row],[Spain cumul. Fit]]</f>
        <v>#DIV/0!</v>
      </c>
      <c r="Q9" s="262" t="e">
        <f>(LN(Tabella34[[#This Row],[Day]]-pt)-mu_t)/sigma_t</f>
        <v>#NUM!</v>
      </c>
      <c r="R9" s="262" t="e">
        <f>EXP(mu_t+sigma_t*Tabella34[[#This Row],[x_t_alpha©+plus]])-(Tabella34[[#This Row],[Day]]-pt)</f>
        <v>#DIV/0!</v>
      </c>
      <c r="S9" s="262" t="e">
        <f>EXP(mu_t+sigma_t*Tabella34[[#This Row],[x_t_alpha©-minus]])-(Tabella34[[#This Row],[Day]]-pt)</f>
        <v>#DIV/0!</v>
      </c>
      <c r="T9" s="262" t="e">
        <f>-sigma_t+SQRT(sigma_t^2-2*Tabella34[[#This Row],[c_t]])</f>
        <v>#DIV/0!</v>
      </c>
      <c r="U9" s="262" t="e">
        <f>-sigma_t-SQRT(sigma_t^2-2*Tabella34[[#This Row],[c_t]])</f>
        <v>#DIV/0!</v>
      </c>
      <c r="V9" s="262" t="e">
        <f>mu_t-LN(alpha*Kt/(Tabella34[[#This Row],[Spain fitted velocity]]*sigma_t*SQRTPI(2)))</f>
        <v>#DIV/0!</v>
      </c>
      <c r="W9" s="262" t="e">
        <f>Tabella34[[#This Row],[Spain fitted g.r.]]/Spain_gr_at_lockdown</f>
        <v>#DIV/0!</v>
      </c>
      <c r="X9" s="262" t="e">
        <f>Tabella34[[#This Row],[t_alpha_t+plus]]</f>
        <v>#DIV/0!</v>
      </c>
      <c r="Y9" s="262" t="e">
        <f>Tabella34[[#This Row],[Spain fitted h.t.]]/Spain_ht_at_lockdown</f>
        <v>#DIV/0!</v>
      </c>
      <c r="Z9" s="90">
        <f>IFERROR(-Kf*_xlfn.LOGNORM.DIST((Tabella34[[#This Row],[Day]]-pf),mu_f,sigma_f,FALSE)*(1+(LN((Tabella34[[#This Row],[Day]]-pf))-mu_f)/sigma_f^2)/(Tabella34[[#This Row],[Day]]-pf),0)</f>
        <v>0</v>
      </c>
      <c r="AA9" s="90">
        <f>Tabella34[[#This Row],[Spain acc. fit]]/Spain_acc_at_lockdown</f>
        <v>0</v>
      </c>
      <c r="AB9" s="157">
        <f>Tabella34[[#This Row],[Spain acc. fit]]/y_f_peak</f>
        <v>0</v>
      </c>
      <c r="AC9" s="157">
        <f>Tabella34[[#This Row],[Colonna4]]*NOT(ISBLANK(Tabella34[[#This Row],[Spain daily cases]]))</f>
        <v>0</v>
      </c>
      <c r="AD9" s="157">
        <f>Tabella34[[#This Row],[Spain acc. fit]]*NOT(ISBLANK(Tabella34[[#This Row],[Spain daily cases]]))</f>
        <v>0</v>
      </c>
      <c r="AE9" s="95">
        <f>Tabella34[[#This Row],[Spain acc. fit]]+CIf</f>
        <v>2342.6884176810927</v>
      </c>
      <c r="AF9" s="95">
        <f>MAX(Tabella34[[#This Row],[Spain acc. fit]]-CIf,0)</f>
        <v>0</v>
      </c>
      <c r="AG9" s="155"/>
      <c r="AH9" s="33"/>
      <c r="AI9" s="33"/>
      <c r="AJ9" s="156">
        <f>Tabella34[[#This Row],[Lombardy data]]*NOT(ISBLANK(Tabella34[[#This Row],[Lombardy data]]))</f>
        <v>0</v>
      </c>
      <c r="AK9" s="161">
        <f>Tabella8[[#This Row],[Lombardy fit]]</f>
        <v>0</v>
      </c>
      <c r="AL9" s="157" t="e">
        <f>_xlfn.LOGNORM.INV(alpha*Tabella34[[#This Row],[Lombardy cumul. Fit]]/Kr,mu_r,sigma_r)-(Tabella34[[#This Row],[Day]]-pr)</f>
        <v>#NUM!</v>
      </c>
      <c r="AM9" s="156">
        <f>Tabella34[[#This Row],[Lombardy cumul. Fit]]/Kl</f>
        <v>0</v>
      </c>
      <c r="AN9" s="157">
        <f>IFERROR(Kr*_xlfn.LOGNORM.DIST((Tabella34[[#This Row],[Day]]-pr),mu_r,sigma_r,FALSE),0)</f>
        <v>0</v>
      </c>
      <c r="AO9" s="199" t="e">
        <f>Tabella34[[#This Row],[Lombardy velocity]]/Tabella34[[#This Row],[Lombardy cumul. Fit]]</f>
        <v>#DIV/0!</v>
      </c>
      <c r="AP9" s="254" t="e">
        <f>(LN(Tabella34[[#This Row],[Day]]-pr)-mu_r)/sigma_r</f>
        <v>#NUM!</v>
      </c>
      <c r="AQ9" s="262" t="e">
        <f>EXP(mu_r+sigma_r*Tabella34[[#This Row],[x_r_alpha©+plus]])-(Tabella34[[#This Row],[Day]]-pr)</f>
        <v>#DIV/0!</v>
      </c>
      <c r="AR9" s="262" t="e">
        <f>EXP(mu_r+sigma_r*Tabella34[[#This Row],[x_r_alpha©-minus]])-(Tabella34[[#This Row],[Day]]-pr)</f>
        <v>#DIV/0!</v>
      </c>
      <c r="AS9" s="262" t="e">
        <f>-sigma_r+SQRT(sigma_r^2-2*Tabella34[[#This Row],[c_r]])</f>
        <v>#DIV/0!</v>
      </c>
      <c r="AT9" s="262" t="e">
        <f>-sigma_r-SQRT(sigma_r^2-2*Tabella34[[#This Row],[c_r]])</f>
        <v>#DIV/0!</v>
      </c>
      <c r="AU9" s="262" t="e">
        <f>mu_r-LN(alpha*Kr/(Tabella34[[#This Row],[Lombardy velocity]]*sigma_r*SQRTPI(2)))</f>
        <v>#DIV/0!</v>
      </c>
      <c r="AV9" s="262" t="e">
        <f>Tabella34[[#This Row],[t_alpha_r+plus]]</f>
        <v>#DIV/0!</v>
      </c>
      <c r="AW9" s="90">
        <f>IFERROR(-Kl*_xlfn.LOGNORM.DIST((Tabella34[[#This Row],[Day]]-pl),mu_l,sigma_l,FALSE)*(1+(LN((Tabella34[[#This Row],[Day]]-pl))-mu_l)/sigma_l^2)/(Tabella34[[#This Row],[Day]]-pl),0)</f>
        <v>0</v>
      </c>
      <c r="AX9" s="157">
        <f>Tabella34[[#This Row],[Lombardy acc. fit]]/y_l_peak</f>
        <v>0</v>
      </c>
      <c r="AY9" s="157">
        <f>Tabella34[[#This Row],[Lombardy acc. fit]]*NOT(ISBLANK(Tabella34[[#This Row],[Lombardy data]]))</f>
        <v>0</v>
      </c>
      <c r="AZ9" s="95">
        <f>Tabella34[[#This Row],[Lombardy acc. fit]]+CIl</f>
        <v>2570.3823229164086</v>
      </c>
      <c r="BA9" s="95">
        <f>MAX(Tabella34[[#This Row],[Lombardy acc. fit]]-CIl,0)</f>
        <v>0</v>
      </c>
      <c r="BB9" s="155"/>
      <c r="BC9" s="33"/>
      <c r="BD9" s="33"/>
      <c r="BE9" s="156">
        <f>Tabella34[[#This Row],[rest of Italy data]]*NOT(ISBLANK(Tabella34[[#This Row],[rest of Italy data]]))</f>
        <v>0</v>
      </c>
      <c r="BF9" s="204">
        <f>Tabella8[[#This Row],[rest of Italy fit]]</f>
        <v>0</v>
      </c>
      <c r="BG9" s="157" t="e">
        <f>_xlfn.LOGNORM.INV(alpha*Tabella34[[#This Row],[rest of Italy cumul. Fit]]/Ko,mu_o,sigma_o)-(Tabella34[[#This Row],[Day]]-po)</f>
        <v>#NUM!</v>
      </c>
      <c r="BH9" s="157">
        <f>Tabella34[[#This Row],[rest of Italy cumul. Fit]]/Ka</f>
        <v>0</v>
      </c>
      <c r="BI9" s="157">
        <f>IFERROR(Ko*_xlfn.LOGNORM.DIST((Tabella34[[#This Row],[Day]]-po),mu_o,sigma_o,FALSE),0)</f>
        <v>0</v>
      </c>
      <c r="BJ9" s="199" t="e">
        <f>Tabella34[[#This Row],[rest of Italy velocity]]/Tabella34[[#This Row],[rest of Italy cumul. Fit]]</f>
        <v>#DIV/0!</v>
      </c>
      <c r="BK9" s="254" t="e">
        <f>(LN(Tabella34[[#This Row],[Day]]-po)-mu_o)/sigma_o</f>
        <v>#NUM!</v>
      </c>
      <c r="BL9" s="262" t="e">
        <f>EXP(mu_o+sigma_o*Tabella34[[#This Row],[x_o_alpha©+plus]])-(Tabella34[[#This Row],[Day]]-po)</f>
        <v>#DIV/0!</v>
      </c>
      <c r="BM9" s="262" t="e">
        <f>EXP(mu_o+sigma_o*Tabella34[[#This Row],[x_o_alpha©-minus]])-(Tabella34[[#This Row],[Day]]-po)</f>
        <v>#DIV/0!</v>
      </c>
      <c r="BN9" s="262" t="e">
        <f>-sigma_o+SQRT(sigma_o^2-2*Tabella34[[#This Row],[c_o]])</f>
        <v>#DIV/0!</v>
      </c>
      <c r="BO9" s="262" t="e">
        <f>-sigma_o-SQRT(sigma_o^2-2*Tabella34[[#This Row],[c_o]])</f>
        <v>#DIV/0!</v>
      </c>
      <c r="BP9" s="262" t="e">
        <f>mu_o-LN(alpha*Ko/(Tabella34[[#This Row],[rest of Italy velocity]]*sigma_o*SQRTPI(2)))</f>
        <v>#DIV/0!</v>
      </c>
      <c r="BQ9" s="262" t="e">
        <f>Tabella34[[#This Row],[t_alpha_o+plus]]</f>
        <v>#DIV/0!</v>
      </c>
      <c r="BR9" s="90">
        <f>IFERROR(-Ka*_xlfn.LOGNORM.DIST((Tabella34[[#This Row],[Day]]-pa),mu_a,sigma_a,FALSE)*(1+(LN((Tabella34[[#This Row],[Day]]-pa))-mu_a)/sigma_a^2)/(Tabella34[[#This Row],[Day]]-pa),0)</f>
        <v>0</v>
      </c>
      <c r="BS9" s="157">
        <f>Tabella34[[#This Row],[rest of Italy acc. fit]]/y_a_peak</f>
        <v>0</v>
      </c>
      <c r="BT9" s="156">
        <f>Tabella34[[#This Row],[rest of Italy acc. fit]]*NOT(ISBLANK(Tabella34[[#This Row],[rest of Italy data]]))</f>
        <v>0</v>
      </c>
      <c r="BU9" s="95">
        <f>Tabella34[[#This Row],[rest of Italy acc. fit]]+CIa</f>
        <v>5338.8394351600173</v>
      </c>
      <c r="BV9" s="95">
        <f>MAX(Tabella34[[#This Row],[rest of Italy acc. fit]]-CIa,0)</f>
        <v>0</v>
      </c>
      <c r="BW9" s="8"/>
      <c r="BX9" s="216"/>
      <c r="BY9" s="217"/>
      <c r="BZ9" s="3"/>
      <c r="CL9" s="305"/>
    </row>
    <row r="10" spans="2:90" x14ac:dyDescent="0.3">
      <c r="B10" s="281">
        <v>43833</v>
      </c>
      <c r="C10" s="4">
        <v>3</v>
      </c>
      <c r="D10" s="155"/>
      <c r="E10" s="158"/>
      <c r="F10" s="158"/>
      <c r="G10" s="156">
        <f>Tabella34[[#This Row],[Spain daily cases]]*NOT(ISBLANK(Tabella34[[#This Row],[Spain daily cases]]))</f>
        <v>0</v>
      </c>
      <c r="H10" s="157">
        <f>Tabella8[[#This Row],[Spain cum. fit]]</f>
        <v>0</v>
      </c>
      <c r="I10" s="157" t="e">
        <f>_xlfn.LOGNORM.INV(alpha*Tabella34[[#This Row],[Spain cumul. Fit]]/Kt,mu_t,sigma_t)-(Tabella34[[#This Row],[Day]]-pt)</f>
        <v>#NUM!</v>
      </c>
      <c r="J10" s="157" t="e">
        <f>Tabella34[[#This Row],[Spain fitted d.t.]]/Spain_dt_at_lockdown</f>
        <v>#NUM!</v>
      </c>
      <c r="K10" s="157">
        <f>Tabella34[[#This Row],[Spain cumul. Fit]]/Kf</f>
        <v>0</v>
      </c>
      <c r="L10" s="160"/>
      <c r="M10" s="157"/>
      <c r="N10" s="157">
        <f>IFERROR(Kt*_xlfn.LOGNORM.DIST((Tabella34[[#This Row],[Day]]-pt),mu_t,sigma_t,FALSE),0)</f>
        <v>0</v>
      </c>
      <c r="O10" s="157" t="e">
        <f>Kt*EXP(-0.5*Tabella34[[#This Row],[x_t]]^2)/(sigma_t*SQRTPI(2)*(Tabella34[[#This Row],[Day]]-D_bk))</f>
        <v>#NUM!</v>
      </c>
      <c r="P10" s="199" t="e">
        <f>Tabella34[[#This Row],[Spain fitted velocity]]/Tabella34[[#This Row],[Spain cumul. Fit]]</f>
        <v>#DIV/0!</v>
      </c>
      <c r="Q10" s="262" t="e">
        <f>(LN(Tabella34[[#This Row],[Day]]-pt)-mu_t)/sigma_t</f>
        <v>#NUM!</v>
      </c>
      <c r="R10" s="262" t="e">
        <f>EXP(mu_t+sigma_t*Tabella34[[#This Row],[x_t_alpha©+plus]])-(Tabella34[[#This Row],[Day]]-pt)</f>
        <v>#DIV/0!</v>
      </c>
      <c r="S10" s="262" t="e">
        <f>EXP(mu_t+sigma_t*Tabella34[[#This Row],[x_t_alpha©-minus]])-(Tabella34[[#This Row],[Day]]-pt)</f>
        <v>#DIV/0!</v>
      </c>
      <c r="T10" s="262" t="e">
        <f>-sigma_t+SQRT(sigma_t^2-2*Tabella34[[#This Row],[c_t]])</f>
        <v>#DIV/0!</v>
      </c>
      <c r="U10" s="262" t="e">
        <f>-sigma_t-SQRT(sigma_t^2-2*Tabella34[[#This Row],[c_t]])</f>
        <v>#DIV/0!</v>
      </c>
      <c r="V10" s="262" t="e">
        <f>mu_t-LN(alpha*Kt/(Tabella34[[#This Row],[Spain fitted velocity]]*sigma_t*SQRTPI(2)))</f>
        <v>#DIV/0!</v>
      </c>
      <c r="W10" s="262" t="e">
        <f>Tabella34[[#This Row],[Spain fitted g.r.]]/Spain_gr_at_lockdown</f>
        <v>#DIV/0!</v>
      </c>
      <c r="X10" s="262" t="e">
        <f>Tabella34[[#This Row],[t_alpha_t+plus]]</f>
        <v>#DIV/0!</v>
      </c>
      <c r="Y10" s="262" t="e">
        <f>Tabella34[[#This Row],[Spain fitted h.t.]]/Spain_ht_at_lockdown</f>
        <v>#DIV/0!</v>
      </c>
      <c r="Z10" s="90">
        <f>IFERROR(-Kf*_xlfn.LOGNORM.DIST((Tabella34[[#This Row],[Day]]-pf),mu_f,sigma_f,FALSE)*(1+(LN((Tabella34[[#This Row],[Day]]-pf))-mu_f)/sigma_f^2)/(Tabella34[[#This Row],[Day]]-pf),0)</f>
        <v>0</v>
      </c>
      <c r="AA10" s="90">
        <f>Tabella34[[#This Row],[Spain acc. fit]]/Spain_acc_at_lockdown</f>
        <v>0</v>
      </c>
      <c r="AB10" s="157">
        <f>Tabella34[[#This Row],[Spain acc. fit]]/y_f_peak</f>
        <v>0</v>
      </c>
      <c r="AC10" s="157">
        <f>Tabella34[[#This Row],[Colonna4]]*NOT(ISBLANK(Tabella34[[#This Row],[Spain daily cases]]))</f>
        <v>0</v>
      </c>
      <c r="AD10" s="157">
        <f>Tabella34[[#This Row],[Spain acc. fit]]*NOT(ISBLANK(Tabella34[[#This Row],[Spain daily cases]]))</f>
        <v>0</v>
      </c>
      <c r="AE10" s="95">
        <f>Tabella34[[#This Row],[Spain acc. fit]]+CIf</f>
        <v>2342.6884176810927</v>
      </c>
      <c r="AF10" s="95">
        <f>MAX(Tabella34[[#This Row],[Spain acc. fit]]-CIf,0)</f>
        <v>0</v>
      </c>
      <c r="AG10" s="155"/>
      <c r="AH10" s="33"/>
      <c r="AI10" s="33"/>
      <c r="AJ10" s="156">
        <f>Tabella34[[#This Row],[Lombardy data]]*NOT(ISBLANK(Tabella34[[#This Row],[Lombardy data]]))</f>
        <v>0</v>
      </c>
      <c r="AK10" s="161">
        <f>Tabella8[[#This Row],[Lombardy fit]]</f>
        <v>0</v>
      </c>
      <c r="AL10" s="157" t="e">
        <f>_xlfn.LOGNORM.INV(alpha*Tabella34[[#This Row],[Lombardy cumul. Fit]]/Kr,mu_r,sigma_r)-(Tabella34[[#This Row],[Day]]-pr)</f>
        <v>#NUM!</v>
      </c>
      <c r="AM10" s="156">
        <f>Tabella34[[#This Row],[Lombardy cumul. Fit]]/Kl</f>
        <v>0</v>
      </c>
      <c r="AN10" s="157">
        <f>IFERROR(Kr*_xlfn.LOGNORM.DIST((Tabella34[[#This Row],[Day]]-pr),mu_r,sigma_r,FALSE),0)</f>
        <v>0</v>
      </c>
      <c r="AO10" s="199" t="e">
        <f>Tabella34[[#This Row],[Lombardy velocity]]/Tabella34[[#This Row],[Lombardy cumul. Fit]]</f>
        <v>#DIV/0!</v>
      </c>
      <c r="AP10" s="254" t="e">
        <f>(LN(Tabella34[[#This Row],[Day]]-pr)-mu_r)/sigma_r</f>
        <v>#NUM!</v>
      </c>
      <c r="AQ10" s="262" t="e">
        <f>EXP(mu_r+sigma_r*Tabella34[[#This Row],[x_r_alpha©+plus]])-(Tabella34[[#This Row],[Day]]-pr)</f>
        <v>#DIV/0!</v>
      </c>
      <c r="AR10" s="262" t="e">
        <f>EXP(mu_r+sigma_r*Tabella34[[#This Row],[x_r_alpha©-minus]])-(Tabella34[[#This Row],[Day]]-pr)</f>
        <v>#DIV/0!</v>
      </c>
      <c r="AS10" s="262" t="e">
        <f>-sigma_r+SQRT(sigma_r^2-2*Tabella34[[#This Row],[c_r]])</f>
        <v>#DIV/0!</v>
      </c>
      <c r="AT10" s="262" t="e">
        <f>-sigma_r-SQRT(sigma_r^2-2*Tabella34[[#This Row],[c_r]])</f>
        <v>#DIV/0!</v>
      </c>
      <c r="AU10" s="262" t="e">
        <f>mu_r-LN(alpha*Kr/(Tabella34[[#This Row],[Lombardy velocity]]*sigma_r*SQRTPI(2)))</f>
        <v>#DIV/0!</v>
      </c>
      <c r="AV10" s="262" t="e">
        <f>Tabella34[[#This Row],[t_alpha_r+plus]]</f>
        <v>#DIV/0!</v>
      </c>
      <c r="AW10" s="90">
        <f>IFERROR(-Kl*_xlfn.LOGNORM.DIST((Tabella34[[#This Row],[Day]]-pl),mu_l,sigma_l,FALSE)*(1+(LN((Tabella34[[#This Row],[Day]]-pl))-mu_l)/sigma_l^2)/(Tabella34[[#This Row],[Day]]-pl),0)</f>
        <v>0</v>
      </c>
      <c r="AX10" s="157">
        <f>Tabella34[[#This Row],[Lombardy acc. fit]]/y_l_peak</f>
        <v>0</v>
      </c>
      <c r="AY10" s="157">
        <f>Tabella34[[#This Row],[Lombardy acc. fit]]*NOT(ISBLANK(Tabella34[[#This Row],[Lombardy data]]))</f>
        <v>0</v>
      </c>
      <c r="AZ10" s="95">
        <f>Tabella34[[#This Row],[Lombardy acc. fit]]+CIl</f>
        <v>2570.3823229164086</v>
      </c>
      <c r="BA10" s="95">
        <f>MAX(Tabella34[[#This Row],[Lombardy acc. fit]]-CIl,0)</f>
        <v>0</v>
      </c>
      <c r="BB10" s="155"/>
      <c r="BC10" s="33"/>
      <c r="BD10" s="33"/>
      <c r="BE10" s="156">
        <f>Tabella34[[#This Row],[rest of Italy data]]*NOT(ISBLANK(Tabella34[[#This Row],[rest of Italy data]]))</f>
        <v>0</v>
      </c>
      <c r="BF10" s="204">
        <f>Tabella8[[#This Row],[rest of Italy fit]]</f>
        <v>0</v>
      </c>
      <c r="BG10" s="157" t="e">
        <f>_xlfn.LOGNORM.INV(alpha*Tabella34[[#This Row],[rest of Italy cumul. Fit]]/Ko,mu_o,sigma_o)-(Tabella34[[#This Row],[Day]]-po)</f>
        <v>#NUM!</v>
      </c>
      <c r="BH10" s="157">
        <f>Tabella34[[#This Row],[rest of Italy cumul. Fit]]/Ka</f>
        <v>0</v>
      </c>
      <c r="BI10" s="157">
        <f>IFERROR(Ko*_xlfn.LOGNORM.DIST((Tabella34[[#This Row],[Day]]-po),mu_o,sigma_o,FALSE),0)</f>
        <v>0</v>
      </c>
      <c r="BJ10" s="199" t="e">
        <f>Tabella34[[#This Row],[rest of Italy velocity]]/Tabella34[[#This Row],[rest of Italy cumul. Fit]]</f>
        <v>#DIV/0!</v>
      </c>
      <c r="BK10" s="254" t="e">
        <f>(LN(Tabella34[[#This Row],[Day]]-po)-mu_o)/sigma_o</f>
        <v>#NUM!</v>
      </c>
      <c r="BL10" s="262" t="e">
        <f>EXP(mu_o+sigma_o*Tabella34[[#This Row],[x_o_alpha©+plus]])-(Tabella34[[#This Row],[Day]]-po)</f>
        <v>#DIV/0!</v>
      </c>
      <c r="BM10" s="262" t="e">
        <f>EXP(mu_o+sigma_o*Tabella34[[#This Row],[x_o_alpha©-minus]])-(Tabella34[[#This Row],[Day]]-po)</f>
        <v>#DIV/0!</v>
      </c>
      <c r="BN10" s="262" t="e">
        <f>-sigma_o+SQRT(sigma_o^2-2*Tabella34[[#This Row],[c_o]])</f>
        <v>#DIV/0!</v>
      </c>
      <c r="BO10" s="262" t="e">
        <f>-sigma_o-SQRT(sigma_o^2-2*Tabella34[[#This Row],[c_o]])</f>
        <v>#DIV/0!</v>
      </c>
      <c r="BP10" s="262" t="e">
        <f>mu_o-LN(alpha*Ko/(Tabella34[[#This Row],[rest of Italy velocity]]*sigma_o*SQRTPI(2)))</f>
        <v>#DIV/0!</v>
      </c>
      <c r="BQ10" s="262" t="e">
        <f>Tabella34[[#This Row],[t_alpha_o+plus]]</f>
        <v>#DIV/0!</v>
      </c>
      <c r="BR10" s="90">
        <f>IFERROR(-Ka*_xlfn.LOGNORM.DIST((Tabella34[[#This Row],[Day]]-pa),mu_a,sigma_a,FALSE)*(1+(LN((Tabella34[[#This Row],[Day]]-pa))-mu_a)/sigma_a^2)/(Tabella34[[#This Row],[Day]]-pa),0)</f>
        <v>0</v>
      </c>
      <c r="BS10" s="157">
        <f>Tabella34[[#This Row],[rest of Italy acc. fit]]/y_a_peak</f>
        <v>0</v>
      </c>
      <c r="BT10" s="156">
        <f>Tabella34[[#This Row],[rest of Italy acc. fit]]*NOT(ISBLANK(Tabella34[[#This Row],[rest of Italy data]]))</f>
        <v>0</v>
      </c>
      <c r="BU10" s="95">
        <f>Tabella34[[#This Row],[rest of Italy acc. fit]]+CIa</f>
        <v>5338.8394351600173</v>
      </c>
      <c r="BV10" s="95">
        <f>MAX(Tabella34[[#This Row],[rest of Italy acc. fit]]-CIa,0)</f>
        <v>0</v>
      </c>
      <c r="BW10" s="8"/>
      <c r="BX10" s="214"/>
      <c r="BY10" s="217"/>
      <c r="BZ10" s="3"/>
      <c r="CL10" s="305"/>
    </row>
    <row r="11" spans="2:90" x14ac:dyDescent="0.3">
      <c r="B11" s="281">
        <v>43834</v>
      </c>
      <c r="C11" s="4">
        <v>4</v>
      </c>
      <c r="D11" s="155"/>
      <c r="E11" s="158"/>
      <c r="F11" s="158"/>
      <c r="G11" s="156">
        <f>Tabella34[[#This Row],[Spain daily cases]]*NOT(ISBLANK(Tabella34[[#This Row],[Spain daily cases]]))</f>
        <v>0</v>
      </c>
      <c r="H11" s="157">
        <f>Tabella8[[#This Row],[Spain cum. fit]]</f>
        <v>0</v>
      </c>
      <c r="I11" s="157" t="e">
        <f>_xlfn.LOGNORM.INV(alpha*Tabella34[[#This Row],[Spain cumul. Fit]]/Kt,mu_t,sigma_t)-(Tabella34[[#This Row],[Day]]-pt)</f>
        <v>#NUM!</v>
      </c>
      <c r="J11" s="157" t="e">
        <f>Tabella34[[#This Row],[Spain fitted d.t.]]/Spain_dt_at_lockdown</f>
        <v>#NUM!</v>
      </c>
      <c r="K11" s="157">
        <f>Tabella34[[#This Row],[Spain cumul. Fit]]/Kf</f>
        <v>0</v>
      </c>
      <c r="L11" s="160"/>
      <c r="M11" s="157"/>
      <c r="N11" s="157">
        <f>IFERROR(Kt*_xlfn.LOGNORM.DIST((Tabella34[[#This Row],[Day]]-pt),mu_t,sigma_t,FALSE),0)</f>
        <v>0</v>
      </c>
      <c r="O11" s="157" t="e">
        <f>Kt*EXP(-0.5*Tabella34[[#This Row],[x_t]]^2)/(sigma_t*SQRTPI(2)*(Tabella34[[#This Row],[Day]]-D_bk))</f>
        <v>#NUM!</v>
      </c>
      <c r="P11" s="199" t="e">
        <f>Tabella34[[#This Row],[Spain fitted velocity]]/Tabella34[[#This Row],[Spain cumul. Fit]]</f>
        <v>#DIV/0!</v>
      </c>
      <c r="Q11" s="262" t="e">
        <f>(LN(Tabella34[[#This Row],[Day]]-pt)-mu_t)/sigma_t</f>
        <v>#NUM!</v>
      </c>
      <c r="R11" s="262" t="e">
        <f>EXP(mu_t+sigma_t*Tabella34[[#This Row],[x_t_alpha©+plus]])-(Tabella34[[#This Row],[Day]]-pt)</f>
        <v>#DIV/0!</v>
      </c>
      <c r="S11" s="262" t="e">
        <f>EXP(mu_t+sigma_t*Tabella34[[#This Row],[x_t_alpha©-minus]])-(Tabella34[[#This Row],[Day]]-pt)</f>
        <v>#DIV/0!</v>
      </c>
      <c r="T11" s="262" t="e">
        <f>-sigma_t+SQRT(sigma_t^2-2*Tabella34[[#This Row],[c_t]])</f>
        <v>#DIV/0!</v>
      </c>
      <c r="U11" s="262" t="e">
        <f>-sigma_t-SQRT(sigma_t^2-2*Tabella34[[#This Row],[c_t]])</f>
        <v>#DIV/0!</v>
      </c>
      <c r="V11" s="262" t="e">
        <f>mu_t-LN(alpha*Kt/(Tabella34[[#This Row],[Spain fitted velocity]]*sigma_t*SQRTPI(2)))</f>
        <v>#DIV/0!</v>
      </c>
      <c r="W11" s="262" t="e">
        <f>Tabella34[[#This Row],[Spain fitted g.r.]]/Spain_gr_at_lockdown</f>
        <v>#DIV/0!</v>
      </c>
      <c r="X11" s="262" t="e">
        <f>Tabella34[[#This Row],[t_alpha_t+plus]]</f>
        <v>#DIV/0!</v>
      </c>
      <c r="Y11" s="262" t="e">
        <f>Tabella34[[#This Row],[Spain fitted h.t.]]/Spain_ht_at_lockdown</f>
        <v>#DIV/0!</v>
      </c>
      <c r="Z11" s="90">
        <f>IFERROR(-Kf*_xlfn.LOGNORM.DIST((Tabella34[[#This Row],[Day]]-pf),mu_f,sigma_f,FALSE)*(1+(LN((Tabella34[[#This Row],[Day]]-pf))-mu_f)/sigma_f^2)/(Tabella34[[#This Row],[Day]]-pf),0)</f>
        <v>0</v>
      </c>
      <c r="AA11" s="90">
        <f>Tabella34[[#This Row],[Spain acc. fit]]/Spain_acc_at_lockdown</f>
        <v>0</v>
      </c>
      <c r="AB11" s="157">
        <f>Tabella34[[#This Row],[Spain acc. fit]]/y_f_peak</f>
        <v>0</v>
      </c>
      <c r="AC11" s="157">
        <f>Tabella34[[#This Row],[Colonna4]]*NOT(ISBLANK(Tabella34[[#This Row],[Spain daily cases]]))</f>
        <v>0</v>
      </c>
      <c r="AD11" s="157">
        <f>Tabella34[[#This Row],[Spain acc. fit]]*NOT(ISBLANK(Tabella34[[#This Row],[Spain daily cases]]))</f>
        <v>0</v>
      </c>
      <c r="AE11" s="95">
        <f>Tabella34[[#This Row],[Spain acc. fit]]+CIf</f>
        <v>2342.6884176810927</v>
      </c>
      <c r="AF11" s="95">
        <f>MAX(Tabella34[[#This Row],[Spain acc. fit]]-CIf,0)</f>
        <v>0</v>
      </c>
      <c r="AG11" s="155"/>
      <c r="AH11" s="33"/>
      <c r="AI11" s="33"/>
      <c r="AJ11" s="156">
        <f>Tabella34[[#This Row],[Lombardy data]]*NOT(ISBLANK(Tabella34[[#This Row],[Lombardy data]]))</f>
        <v>0</v>
      </c>
      <c r="AK11" s="161">
        <f>Tabella8[[#This Row],[Lombardy fit]]</f>
        <v>0</v>
      </c>
      <c r="AL11" s="157" t="e">
        <f>_xlfn.LOGNORM.INV(alpha*Tabella34[[#This Row],[Lombardy cumul. Fit]]/Kr,mu_r,sigma_r)-(Tabella34[[#This Row],[Day]]-pr)</f>
        <v>#NUM!</v>
      </c>
      <c r="AM11" s="156">
        <f>Tabella34[[#This Row],[Lombardy cumul. Fit]]/Kl</f>
        <v>0</v>
      </c>
      <c r="AN11" s="157">
        <f>IFERROR(Kr*_xlfn.LOGNORM.DIST((Tabella34[[#This Row],[Day]]-pr),mu_r,sigma_r,FALSE),0)</f>
        <v>0</v>
      </c>
      <c r="AO11" s="199" t="e">
        <f>Tabella34[[#This Row],[Lombardy velocity]]/Tabella34[[#This Row],[Lombardy cumul. Fit]]</f>
        <v>#DIV/0!</v>
      </c>
      <c r="AP11" s="254" t="e">
        <f>(LN(Tabella34[[#This Row],[Day]]-pr)-mu_r)/sigma_r</f>
        <v>#NUM!</v>
      </c>
      <c r="AQ11" s="262" t="e">
        <f>EXP(mu_r+sigma_r*Tabella34[[#This Row],[x_r_alpha©+plus]])-(Tabella34[[#This Row],[Day]]-pr)</f>
        <v>#DIV/0!</v>
      </c>
      <c r="AR11" s="262" t="e">
        <f>EXP(mu_r+sigma_r*Tabella34[[#This Row],[x_r_alpha©-minus]])-(Tabella34[[#This Row],[Day]]-pr)</f>
        <v>#DIV/0!</v>
      </c>
      <c r="AS11" s="262" t="e">
        <f>-sigma_r+SQRT(sigma_r^2-2*Tabella34[[#This Row],[c_r]])</f>
        <v>#DIV/0!</v>
      </c>
      <c r="AT11" s="262" t="e">
        <f>-sigma_r-SQRT(sigma_r^2-2*Tabella34[[#This Row],[c_r]])</f>
        <v>#DIV/0!</v>
      </c>
      <c r="AU11" s="262" t="e">
        <f>mu_r-LN(alpha*Kr/(Tabella34[[#This Row],[Lombardy velocity]]*sigma_r*SQRTPI(2)))</f>
        <v>#DIV/0!</v>
      </c>
      <c r="AV11" s="262" t="e">
        <f>Tabella34[[#This Row],[t_alpha_r+plus]]</f>
        <v>#DIV/0!</v>
      </c>
      <c r="AW11" s="90">
        <f>IFERROR(-Kl*_xlfn.LOGNORM.DIST((Tabella34[[#This Row],[Day]]-pl),mu_l,sigma_l,FALSE)*(1+(LN((Tabella34[[#This Row],[Day]]-pl))-mu_l)/sigma_l^2)/(Tabella34[[#This Row],[Day]]-pl),0)</f>
        <v>0</v>
      </c>
      <c r="AX11" s="157">
        <f>Tabella34[[#This Row],[Lombardy acc. fit]]/y_l_peak</f>
        <v>0</v>
      </c>
      <c r="AY11" s="157">
        <f>Tabella34[[#This Row],[Lombardy acc. fit]]*NOT(ISBLANK(Tabella34[[#This Row],[Lombardy data]]))</f>
        <v>0</v>
      </c>
      <c r="AZ11" s="95">
        <f>Tabella34[[#This Row],[Lombardy acc. fit]]+CIl</f>
        <v>2570.3823229164086</v>
      </c>
      <c r="BA11" s="95">
        <f>MAX(Tabella34[[#This Row],[Lombardy acc. fit]]-CIl,0)</f>
        <v>0</v>
      </c>
      <c r="BB11" s="155"/>
      <c r="BC11" s="33"/>
      <c r="BD11" s="33"/>
      <c r="BE11" s="156">
        <f>Tabella34[[#This Row],[rest of Italy data]]*NOT(ISBLANK(Tabella34[[#This Row],[rest of Italy data]]))</f>
        <v>0</v>
      </c>
      <c r="BF11" s="204">
        <f>Tabella8[[#This Row],[rest of Italy fit]]</f>
        <v>0</v>
      </c>
      <c r="BG11" s="157" t="e">
        <f>_xlfn.LOGNORM.INV(alpha*Tabella34[[#This Row],[rest of Italy cumul. Fit]]/Ko,mu_o,sigma_o)-(Tabella34[[#This Row],[Day]]-po)</f>
        <v>#NUM!</v>
      </c>
      <c r="BH11" s="157">
        <f>Tabella34[[#This Row],[rest of Italy cumul. Fit]]/Ka</f>
        <v>0</v>
      </c>
      <c r="BI11" s="157">
        <f>IFERROR(Ko*_xlfn.LOGNORM.DIST((Tabella34[[#This Row],[Day]]-po),mu_o,sigma_o,FALSE),0)</f>
        <v>0</v>
      </c>
      <c r="BJ11" s="199" t="e">
        <f>Tabella34[[#This Row],[rest of Italy velocity]]/Tabella34[[#This Row],[rest of Italy cumul. Fit]]</f>
        <v>#DIV/0!</v>
      </c>
      <c r="BK11" s="254" t="e">
        <f>(LN(Tabella34[[#This Row],[Day]]-po)-mu_o)/sigma_o</f>
        <v>#NUM!</v>
      </c>
      <c r="BL11" s="262" t="e">
        <f>EXP(mu_o+sigma_o*Tabella34[[#This Row],[x_o_alpha©+plus]])-(Tabella34[[#This Row],[Day]]-po)</f>
        <v>#DIV/0!</v>
      </c>
      <c r="BM11" s="262" t="e">
        <f>EXP(mu_o+sigma_o*Tabella34[[#This Row],[x_o_alpha©-minus]])-(Tabella34[[#This Row],[Day]]-po)</f>
        <v>#DIV/0!</v>
      </c>
      <c r="BN11" s="262" t="e">
        <f>-sigma_o+SQRT(sigma_o^2-2*Tabella34[[#This Row],[c_o]])</f>
        <v>#DIV/0!</v>
      </c>
      <c r="BO11" s="262" t="e">
        <f>-sigma_o-SQRT(sigma_o^2-2*Tabella34[[#This Row],[c_o]])</f>
        <v>#DIV/0!</v>
      </c>
      <c r="BP11" s="262" t="e">
        <f>mu_o-LN(alpha*Ko/(Tabella34[[#This Row],[rest of Italy velocity]]*sigma_o*SQRTPI(2)))</f>
        <v>#DIV/0!</v>
      </c>
      <c r="BQ11" s="262" t="e">
        <f>Tabella34[[#This Row],[t_alpha_o+plus]]</f>
        <v>#DIV/0!</v>
      </c>
      <c r="BR11" s="90">
        <f>IFERROR(-Ka*_xlfn.LOGNORM.DIST((Tabella34[[#This Row],[Day]]-pa),mu_a,sigma_a,FALSE)*(1+(LN((Tabella34[[#This Row],[Day]]-pa))-mu_a)/sigma_a^2)/(Tabella34[[#This Row],[Day]]-pa),0)</f>
        <v>0</v>
      </c>
      <c r="BS11" s="157">
        <f>Tabella34[[#This Row],[rest of Italy acc. fit]]/y_a_peak</f>
        <v>0</v>
      </c>
      <c r="BT11" s="156">
        <f>Tabella34[[#This Row],[rest of Italy acc. fit]]*NOT(ISBLANK(Tabella34[[#This Row],[rest of Italy data]]))</f>
        <v>0</v>
      </c>
      <c r="BU11" s="95">
        <f>Tabella34[[#This Row],[rest of Italy acc. fit]]+CIa</f>
        <v>5338.8394351600173</v>
      </c>
      <c r="BV11" s="95">
        <f>MAX(Tabella34[[#This Row],[rest of Italy acc. fit]]-CIa,0)</f>
        <v>0</v>
      </c>
      <c r="BW11" s="8"/>
      <c r="BX11" s="218" t="s">
        <v>1</v>
      </c>
      <c r="BY11" s="219">
        <f>AVERAGE(Tabella34[Spain daily cases])</f>
        <v>2393.0721649484535</v>
      </c>
      <c r="BZ11" s="3"/>
      <c r="CL11" s="305"/>
    </row>
    <row r="12" spans="2:90" x14ac:dyDescent="0.3">
      <c r="B12" s="281">
        <v>43835</v>
      </c>
      <c r="C12" s="4">
        <v>5</v>
      </c>
      <c r="D12" s="155"/>
      <c r="E12" s="158"/>
      <c r="F12" s="158"/>
      <c r="G12" s="156">
        <f>Tabella34[[#This Row],[Spain daily cases]]*NOT(ISBLANK(Tabella34[[#This Row],[Spain daily cases]]))</f>
        <v>0</v>
      </c>
      <c r="H12" s="157">
        <f>Tabella8[[#This Row],[Spain cum. fit]]</f>
        <v>0</v>
      </c>
      <c r="I12" s="157" t="e">
        <f>_xlfn.LOGNORM.INV(alpha*Tabella34[[#This Row],[Spain cumul. Fit]]/Kt,mu_t,sigma_t)-(Tabella34[[#This Row],[Day]]-pt)</f>
        <v>#NUM!</v>
      </c>
      <c r="J12" s="157" t="e">
        <f>Tabella34[[#This Row],[Spain fitted d.t.]]/Spain_dt_at_lockdown</f>
        <v>#NUM!</v>
      </c>
      <c r="K12" s="157">
        <f>Tabella34[[#This Row],[Spain cumul. Fit]]/Kf</f>
        <v>0</v>
      </c>
      <c r="L12" s="160"/>
      <c r="M12" s="157"/>
      <c r="N12" s="157">
        <f>IFERROR(Kt*_xlfn.LOGNORM.DIST((Tabella34[[#This Row],[Day]]-pt),mu_t,sigma_t,FALSE),0)</f>
        <v>0</v>
      </c>
      <c r="O12" s="157" t="e">
        <f>Kt*EXP(-0.5*Tabella34[[#This Row],[x_t]]^2)/(sigma_t*SQRTPI(2)*(Tabella34[[#This Row],[Day]]-D_bk))</f>
        <v>#NUM!</v>
      </c>
      <c r="P12" s="199" t="e">
        <f>Tabella34[[#This Row],[Spain fitted velocity]]/Tabella34[[#This Row],[Spain cumul. Fit]]</f>
        <v>#DIV/0!</v>
      </c>
      <c r="Q12" s="262" t="e">
        <f>(LN(Tabella34[[#This Row],[Day]]-pt)-mu_t)/sigma_t</f>
        <v>#NUM!</v>
      </c>
      <c r="R12" s="262" t="e">
        <f>EXP(mu_t+sigma_t*Tabella34[[#This Row],[x_t_alpha©+plus]])-(Tabella34[[#This Row],[Day]]-pt)</f>
        <v>#DIV/0!</v>
      </c>
      <c r="S12" s="262" t="e">
        <f>EXP(mu_t+sigma_t*Tabella34[[#This Row],[x_t_alpha©-minus]])-(Tabella34[[#This Row],[Day]]-pt)</f>
        <v>#DIV/0!</v>
      </c>
      <c r="T12" s="262" t="e">
        <f>-sigma_t+SQRT(sigma_t^2-2*Tabella34[[#This Row],[c_t]])</f>
        <v>#DIV/0!</v>
      </c>
      <c r="U12" s="262" t="e">
        <f>-sigma_t-SQRT(sigma_t^2-2*Tabella34[[#This Row],[c_t]])</f>
        <v>#DIV/0!</v>
      </c>
      <c r="V12" s="262" t="e">
        <f>mu_t-LN(alpha*Kt/(Tabella34[[#This Row],[Spain fitted velocity]]*sigma_t*SQRTPI(2)))</f>
        <v>#DIV/0!</v>
      </c>
      <c r="W12" s="262" t="e">
        <f>Tabella34[[#This Row],[Spain fitted g.r.]]/Spain_gr_at_lockdown</f>
        <v>#DIV/0!</v>
      </c>
      <c r="X12" s="262" t="e">
        <f>Tabella34[[#This Row],[t_alpha_t+plus]]</f>
        <v>#DIV/0!</v>
      </c>
      <c r="Y12" s="262" t="e">
        <f>Tabella34[[#This Row],[Spain fitted h.t.]]/Spain_ht_at_lockdown</f>
        <v>#DIV/0!</v>
      </c>
      <c r="Z12" s="90">
        <f>IFERROR(-Kf*_xlfn.LOGNORM.DIST((Tabella34[[#This Row],[Day]]-pf),mu_f,sigma_f,FALSE)*(1+(LN((Tabella34[[#This Row],[Day]]-pf))-mu_f)/sigma_f^2)/(Tabella34[[#This Row],[Day]]-pf),0)</f>
        <v>0</v>
      </c>
      <c r="AA12" s="90">
        <f>Tabella34[[#This Row],[Spain acc. fit]]/Spain_acc_at_lockdown</f>
        <v>0</v>
      </c>
      <c r="AB12" s="157">
        <f>Tabella34[[#This Row],[Spain acc. fit]]/y_f_peak</f>
        <v>0</v>
      </c>
      <c r="AC12" s="157">
        <f>Tabella34[[#This Row],[Colonna4]]*NOT(ISBLANK(Tabella34[[#This Row],[Spain daily cases]]))</f>
        <v>0</v>
      </c>
      <c r="AD12" s="157">
        <f>Tabella34[[#This Row],[Spain acc. fit]]*NOT(ISBLANK(Tabella34[[#This Row],[Spain daily cases]]))</f>
        <v>0</v>
      </c>
      <c r="AE12" s="95">
        <f>Tabella34[[#This Row],[Spain acc. fit]]+CIf</f>
        <v>2342.6884176810927</v>
      </c>
      <c r="AF12" s="95">
        <f>MAX(Tabella34[[#This Row],[Spain acc. fit]]-CIf,0)</f>
        <v>0</v>
      </c>
      <c r="AG12" s="155"/>
      <c r="AH12" s="33"/>
      <c r="AI12" s="33"/>
      <c r="AJ12" s="156">
        <f>Tabella34[[#This Row],[Lombardy data]]*NOT(ISBLANK(Tabella34[[#This Row],[Lombardy data]]))</f>
        <v>0</v>
      </c>
      <c r="AK12" s="161">
        <f>Tabella8[[#This Row],[Lombardy fit]]</f>
        <v>0</v>
      </c>
      <c r="AL12" s="157" t="e">
        <f>_xlfn.LOGNORM.INV(alpha*Tabella34[[#This Row],[Lombardy cumul. Fit]]/Kr,mu_r,sigma_r)-(Tabella34[[#This Row],[Day]]-pr)</f>
        <v>#NUM!</v>
      </c>
      <c r="AM12" s="156">
        <f>Tabella34[[#This Row],[Lombardy cumul. Fit]]/Kl</f>
        <v>0</v>
      </c>
      <c r="AN12" s="157">
        <f>IFERROR(Kr*_xlfn.LOGNORM.DIST((Tabella34[[#This Row],[Day]]-pr),mu_r,sigma_r,FALSE),0)</f>
        <v>0</v>
      </c>
      <c r="AO12" s="199" t="e">
        <f>Tabella34[[#This Row],[Lombardy velocity]]/Tabella34[[#This Row],[Lombardy cumul. Fit]]</f>
        <v>#DIV/0!</v>
      </c>
      <c r="AP12" s="254" t="e">
        <f>(LN(Tabella34[[#This Row],[Day]]-pr)-mu_r)/sigma_r</f>
        <v>#NUM!</v>
      </c>
      <c r="AQ12" s="262" t="e">
        <f>EXP(mu_r+sigma_r*Tabella34[[#This Row],[x_r_alpha©+plus]])-(Tabella34[[#This Row],[Day]]-pr)</f>
        <v>#DIV/0!</v>
      </c>
      <c r="AR12" s="262" t="e">
        <f>EXP(mu_r+sigma_r*Tabella34[[#This Row],[x_r_alpha©-minus]])-(Tabella34[[#This Row],[Day]]-pr)</f>
        <v>#DIV/0!</v>
      </c>
      <c r="AS12" s="262" t="e">
        <f>-sigma_r+SQRT(sigma_r^2-2*Tabella34[[#This Row],[c_r]])</f>
        <v>#DIV/0!</v>
      </c>
      <c r="AT12" s="262" t="e">
        <f>-sigma_r-SQRT(sigma_r^2-2*Tabella34[[#This Row],[c_r]])</f>
        <v>#DIV/0!</v>
      </c>
      <c r="AU12" s="262" t="e">
        <f>mu_r-LN(alpha*Kr/(Tabella34[[#This Row],[Lombardy velocity]]*sigma_r*SQRTPI(2)))</f>
        <v>#DIV/0!</v>
      </c>
      <c r="AV12" s="262" t="e">
        <f>Tabella34[[#This Row],[t_alpha_r+plus]]</f>
        <v>#DIV/0!</v>
      </c>
      <c r="AW12" s="90">
        <f>IFERROR(-Kl*_xlfn.LOGNORM.DIST((Tabella34[[#This Row],[Day]]-pl),mu_l,sigma_l,FALSE)*(1+(LN((Tabella34[[#This Row],[Day]]-pl))-mu_l)/sigma_l^2)/(Tabella34[[#This Row],[Day]]-pl),0)</f>
        <v>0</v>
      </c>
      <c r="AX12" s="157">
        <f>Tabella34[[#This Row],[Lombardy acc. fit]]/y_l_peak</f>
        <v>0</v>
      </c>
      <c r="AY12" s="157">
        <f>Tabella34[[#This Row],[Lombardy acc. fit]]*NOT(ISBLANK(Tabella34[[#This Row],[Lombardy data]]))</f>
        <v>0</v>
      </c>
      <c r="AZ12" s="95">
        <f>Tabella34[[#This Row],[Lombardy acc. fit]]+CIl</f>
        <v>2570.3823229164086</v>
      </c>
      <c r="BA12" s="95">
        <f>MAX(Tabella34[[#This Row],[Lombardy acc. fit]]-CIl,0)</f>
        <v>0</v>
      </c>
      <c r="BB12" s="155"/>
      <c r="BC12" s="33"/>
      <c r="BD12" s="33"/>
      <c r="BE12" s="156">
        <f>Tabella34[[#This Row],[rest of Italy data]]*NOT(ISBLANK(Tabella34[[#This Row],[rest of Italy data]]))</f>
        <v>0</v>
      </c>
      <c r="BF12" s="204">
        <f>Tabella8[[#This Row],[rest of Italy fit]]</f>
        <v>0</v>
      </c>
      <c r="BG12" s="157" t="e">
        <f>_xlfn.LOGNORM.INV(alpha*Tabella34[[#This Row],[rest of Italy cumul. Fit]]/Ko,mu_o,sigma_o)-(Tabella34[[#This Row],[Day]]-po)</f>
        <v>#NUM!</v>
      </c>
      <c r="BH12" s="157">
        <f>Tabella34[[#This Row],[rest of Italy cumul. Fit]]/Ka</f>
        <v>0</v>
      </c>
      <c r="BI12" s="157">
        <f>IFERROR(Ko*_xlfn.LOGNORM.DIST((Tabella34[[#This Row],[Day]]-po),mu_o,sigma_o,FALSE),0)</f>
        <v>0</v>
      </c>
      <c r="BJ12" s="199" t="e">
        <f>Tabella34[[#This Row],[rest of Italy velocity]]/Tabella34[[#This Row],[rest of Italy cumul. Fit]]</f>
        <v>#DIV/0!</v>
      </c>
      <c r="BK12" s="254" t="e">
        <f>(LN(Tabella34[[#This Row],[Day]]-po)-mu_o)/sigma_o</f>
        <v>#NUM!</v>
      </c>
      <c r="BL12" s="262" t="e">
        <f>EXP(mu_o+sigma_o*Tabella34[[#This Row],[x_o_alpha©+plus]])-(Tabella34[[#This Row],[Day]]-po)</f>
        <v>#DIV/0!</v>
      </c>
      <c r="BM12" s="262" t="e">
        <f>EXP(mu_o+sigma_o*Tabella34[[#This Row],[x_o_alpha©-minus]])-(Tabella34[[#This Row],[Day]]-po)</f>
        <v>#DIV/0!</v>
      </c>
      <c r="BN12" s="262" t="e">
        <f>-sigma_o+SQRT(sigma_o^2-2*Tabella34[[#This Row],[c_o]])</f>
        <v>#DIV/0!</v>
      </c>
      <c r="BO12" s="262" t="e">
        <f>-sigma_o-SQRT(sigma_o^2-2*Tabella34[[#This Row],[c_o]])</f>
        <v>#DIV/0!</v>
      </c>
      <c r="BP12" s="262" t="e">
        <f>mu_o-LN(alpha*Ko/(Tabella34[[#This Row],[rest of Italy velocity]]*sigma_o*SQRTPI(2)))</f>
        <v>#DIV/0!</v>
      </c>
      <c r="BQ12" s="262" t="e">
        <f>Tabella34[[#This Row],[t_alpha_o+plus]]</f>
        <v>#DIV/0!</v>
      </c>
      <c r="BR12" s="90">
        <f>IFERROR(-Ka*_xlfn.LOGNORM.DIST((Tabella34[[#This Row],[Day]]-pa),mu_a,sigma_a,FALSE)*(1+(LN((Tabella34[[#This Row],[Day]]-pa))-mu_a)/sigma_a^2)/(Tabella34[[#This Row],[Day]]-pa),0)</f>
        <v>0</v>
      </c>
      <c r="BS12" s="157">
        <f>Tabella34[[#This Row],[rest of Italy acc. fit]]/y_a_peak</f>
        <v>0</v>
      </c>
      <c r="BT12" s="156">
        <f>Tabella34[[#This Row],[rest of Italy acc. fit]]*NOT(ISBLANK(Tabella34[[#This Row],[rest of Italy data]]))</f>
        <v>0</v>
      </c>
      <c r="BU12" s="95">
        <f>Tabella34[[#This Row],[rest of Italy acc. fit]]+CIa</f>
        <v>5338.8394351600173</v>
      </c>
      <c r="BV12" s="95">
        <f>MAX(Tabella34[[#This Row],[rest of Italy acc. fit]]-CIa,0)</f>
        <v>0</v>
      </c>
      <c r="BW12" s="1"/>
      <c r="BX12" s="218" t="s">
        <v>2</v>
      </c>
      <c r="BY12" s="220">
        <f>COUNT(Tabella34[Spain daily cases])-COUNT(BY8:BY10)</f>
        <v>97</v>
      </c>
      <c r="CL12" s="305"/>
    </row>
    <row r="13" spans="2:90" x14ac:dyDescent="0.3">
      <c r="B13" s="281">
        <v>43836</v>
      </c>
      <c r="C13" s="4">
        <v>6</v>
      </c>
      <c r="D13" s="155"/>
      <c r="E13" s="158"/>
      <c r="F13" s="158"/>
      <c r="G13" s="156">
        <f>Tabella34[[#This Row],[Spain daily cases]]*NOT(ISBLANK(Tabella34[[#This Row],[Spain daily cases]]))</f>
        <v>0</v>
      </c>
      <c r="H13" s="157">
        <f>Tabella8[[#This Row],[Spain cum. fit]]</f>
        <v>0</v>
      </c>
      <c r="I13" s="157" t="e">
        <f>_xlfn.LOGNORM.INV(alpha*Tabella34[[#This Row],[Spain cumul. Fit]]/Kt,mu_t,sigma_t)-(Tabella34[[#This Row],[Day]]-pt)</f>
        <v>#NUM!</v>
      </c>
      <c r="J13" s="157" t="e">
        <f>Tabella34[[#This Row],[Spain fitted d.t.]]/Spain_dt_at_lockdown</f>
        <v>#NUM!</v>
      </c>
      <c r="K13" s="157">
        <f>Tabella34[[#This Row],[Spain cumul. Fit]]/Kf</f>
        <v>0</v>
      </c>
      <c r="L13" s="160"/>
      <c r="M13" s="157"/>
      <c r="N13" s="157">
        <f>IFERROR(Kt*_xlfn.LOGNORM.DIST((Tabella34[[#This Row],[Day]]-pt),mu_t,sigma_t,FALSE),0)</f>
        <v>0</v>
      </c>
      <c r="O13" s="157" t="e">
        <f>Kt*EXP(-0.5*Tabella34[[#This Row],[x_t]]^2)/(sigma_t*SQRTPI(2)*(Tabella34[[#This Row],[Day]]-D_bk))</f>
        <v>#NUM!</v>
      </c>
      <c r="P13" s="199" t="e">
        <f>Tabella34[[#This Row],[Spain fitted velocity]]/Tabella34[[#This Row],[Spain cumul. Fit]]</f>
        <v>#DIV/0!</v>
      </c>
      <c r="Q13" s="262" t="e">
        <f>(LN(Tabella34[[#This Row],[Day]]-pt)-mu_t)/sigma_t</f>
        <v>#NUM!</v>
      </c>
      <c r="R13" s="262" t="e">
        <f>EXP(mu_t+sigma_t*Tabella34[[#This Row],[x_t_alpha©+plus]])-(Tabella34[[#This Row],[Day]]-pt)</f>
        <v>#DIV/0!</v>
      </c>
      <c r="S13" s="262" t="e">
        <f>EXP(mu_t+sigma_t*Tabella34[[#This Row],[x_t_alpha©-minus]])-(Tabella34[[#This Row],[Day]]-pt)</f>
        <v>#DIV/0!</v>
      </c>
      <c r="T13" s="262" t="e">
        <f>-sigma_t+SQRT(sigma_t^2-2*Tabella34[[#This Row],[c_t]])</f>
        <v>#DIV/0!</v>
      </c>
      <c r="U13" s="262" t="e">
        <f>-sigma_t-SQRT(sigma_t^2-2*Tabella34[[#This Row],[c_t]])</f>
        <v>#DIV/0!</v>
      </c>
      <c r="V13" s="262" t="e">
        <f>mu_t-LN(alpha*Kt/(Tabella34[[#This Row],[Spain fitted velocity]]*sigma_t*SQRTPI(2)))</f>
        <v>#DIV/0!</v>
      </c>
      <c r="W13" s="262" t="e">
        <f>Tabella34[[#This Row],[Spain fitted g.r.]]/Spain_gr_at_lockdown</f>
        <v>#DIV/0!</v>
      </c>
      <c r="X13" s="262" t="e">
        <f>Tabella34[[#This Row],[t_alpha_t+plus]]</f>
        <v>#DIV/0!</v>
      </c>
      <c r="Y13" s="262" t="e">
        <f>Tabella34[[#This Row],[Spain fitted h.t.]]/Spain_ht_at_lockdown</f>
        <v>#DIV/0!</v>
      </c>
      <c r="Z13" s="90">
        <f>IFERROR(-Kf*_xlfn.LOGNORM.DIST((Tabella34[[#This Row],[Day]]-pf),mu_f,sigma_f,FALSE)*(1+(LN((Tabella34[[#This Row],[Day]]-pf))-mu_f)/sigma_f^2)/(Tabella34[[#This Row],[Day]]-pf),0)</f>
        <v>0</v>
      </c>
      <c r="AA13" s="90">
        <f>Tabella34[[#This Row],[Spain acc. fit]]/Spain_acc_at_lockdown</f>
        <v>0</v>
      </c>
      <c r="AB13" s="157">
        <f>Tabella34[[#This Row],[Spain acc. fit]]/y_f_peak</f>
        <v>0</v>
      </c>
      <c r="AC13" s="157">
        <f>Tabella34[[#This Row],[Colonna4]]*NOT(ISBLANK(Tabella34[[#This Row],[Spain daily cases]]))</f>
        <v>0</v>
      </c>
      <c r="AD13" s="157">
        <f>Tabella34[[#This Row],[Spain acc. fit]]*NOT(ISBLANK(Tabella34[[#This Row],[Spain daily cases]]))</f>
        <v>0</v>
      </c>
      <c r="AE13" s="95">
        <f>Tabella34[[#This Row],[Spain acc. fit]]+CIf</f>
        <v>2342.6884176810927</v>
      </c>
      <c r="AF13" s="95">
        <f>MAX(Tabella34[[#This Row],[Spain acc. fit]]-CIf,0)</f>
        <v>0</v>
      </c>
      <c r="AG13" s="155"/>
      <c r="AH13" s="33"/>
      <c r="AI13" s="33"/>
      <c r="AJ13" s="156">
        <f>Tabella34[[#This Row],[Lombardy data]]*NOT(ISBLANK(Tabella34[[#This Row],[Lombardy data]]))</f>
        <v>0</v>
      </c>
      <c r="AK13" s="161">
        <f>Tabella8[[#This Row],[Lombardy fit]]</f>
        <v>0</v>
      </c>
      <c r="AL13" s="157" t="e">
        <f>_xlfn.LOGNORM.INV(alpha*Tabella34[[#This Row],[Lombardy cumul. Fit]]/Kr,mu_r,sigma_r)-(Tabella34[[#This Row],[Day]]-pr)</f>
        <v>#NUM!</v>
      </c>
      <c r="AM13" s="156">
        <f>Tabella34[[#This Row],[Lombardy cumul. Fit]]/Kl</f>
        <v>0</v>
      </c>
      <c r="AN13" s="157">
        <f>IFERROR(Kr*_xlfn.LOGNORM.DIST((Tabella34[[#This Row],[Day]]-pr),mu_r,sigma_r,FALSE),0)</f>
        <v>0</v>
      </c>
      <c r="AO13" s="199" t="e">
        <f>Tabella34[[#This Row],[Lombardy velocity]]/Tabella34[[#This Row],[Lombardy cumul. Fit]]</f>
        <v>#DIV/0!</v>
      </c>
      <c r="AP13" s="254" t="e">
        <f>(LN(Tabella34[[#This Row],[Day]]-pr)-mu_r)/sigma_r</f>
        <v>#NUM!</v>
      </c>
      <c r="AQ13" s="262" t="e">
        <f>EXP(mu_r+sigma_r*Tabella34[[#This Row],[x_r_alpha©+plus]])-(Tabella34[[#This Row],[Day]]-pr)</f>
        <v>#DIV/0!</v>
      </c>
      <c r="AR13" s="262" t="e">
        <f>EXP(mu_r+sigma_r*Tabella34[[#This Row],[x_r_alpha©-minus]])-(Tabella34[[#This Row],[Day]]-pr)</f>
        <v>#DIV/0!</v>
      </c>
      <c r="AS13" s="262" t="e">
        <f>-sigma_r+SQRT(sigma_r^2-2*Tabella34[[#This Row],[c_r]])</f>
        <v>#DIV/0!</v>
      </c>
      <c r="AT13" s="262" t="e">
        <f>-sigma_r-SQRT(sigma_r^2-2*Tabella34[[#This Row],[c_r]])</f>
        <v>#DIV/0!</v>
      </c>
      <c r="AU13" s="262" t="e">
        <f>mu_r-LN(alpha*Kr/(Tabella34[[#This Row],[Lombardy velocity]]*sigma_r*SQRTPI(2)))</f>
        <v>#DIV/0!</v>
      </c>
      <c r="AV13" s="262" t="e">
        <f>Tabella34[[#This Row],[t_alpha_r+plus]]</f>
        <v>#DIV/0!</v>
      </c>
      <c r="AW13" s="90">
        <f>IFERROR(-Kl*_xlfn.LOGNORM.DIST((Tabella34[[#This Row],[Day]]-pl),mu_l,sigma_l,FALSE)*(1+(LN((Tabella34[[#This Row],[Day]]-pl))-mu_l)/sigma_l^2)/(Tabella34[[#This Row],[Day]]-pl),0)</f>
        <v>0</v>
      </c>
      <c r="AX13" s="157">
        <f>Tabella34[[#This Row],[Lombardy acc. fit]]/y_l_peak</f>
        <v>0</v>
      </c>
      <c r="AY13" s="157">
        <f>Tabella34[[#This Row],[Lombardy acc. fit]]*NOT(ISBLANK(Tabella34[[#This Row],[Lombardy data]]))</f>
        <v>0</v>
      </c>
      <c r="AZ13" s="95">
        <f>Tabella34[[#This Row],[Lombardy acc. fit]]+CIl</f>
        <v>2570.3823229164086</v>
      </c>
      <c r="BA13" s="95">
        <f>MAX(Tabella34[[#This Row],[Lombardy acc. fit]]-CIl,0)</f>
        <v>0</v>
      </c>
      <c r="BB13" s="155"/>
      <c r="BC13" s="33"/>
      <c r="BD13" s="33"/>
      <c r="BE13" s="156">
        <f>Tabella34[[#This Row],[rest of Italy data]]*NOT(ISBLANK(Tabella34[[#This Row],[rest of Italy data]]))</f>
        <v>0</v>
      </c>
      <c r="BF13" s="204">
        <f>Tabella8[[#This Row],[rest of Italy fit]]</f>
        <v>0</v>
      </c>
      <c r="BG13" s="157" t="e">
        <f>_xlfn.LOGNORM.INV(alpha*Tabella34[[#This Row],[rest of Italy cumul. Fit]]/Ko,mu_o,sigma_o)-(Tabella34[[#This Row],[Day]]-po)</f>
        <v>#NUM!</v>
      </c>
      <c r="BH13" s="157">
        <f>Tabella34[[#This Row],[rest of Italy cumul. Fit]]/Ka</f>
        <v>0</v>
      </c>
      <c r="BI13" s="157">
        <f>IFERROR(Ko*_xlfn.LOGNORM.DIST((Tabella34[[#This Row],[Day]]-po),mu_o,sigma_o,FALSE),0)</f>
        <v>0</v>
      </c>
      <c r="BJ13" s="199" t="e">
        <f>Tabella34[[#This Row],[rest of Italy velocity]]/Tabella34[[#This Row],[rest of Italy cumul. Fit]]</f>
        <v>#DIV/0!</v>
      </c>
      <c r="BK13" s="254" t="e">
        <f>(LN(Tabella34[[#This Row],[Day]]-po)-mu_o)/sigma_o</f>
        <v>#NUM!</v>
      </c>
      <c r="BL13" s="262" t="e">
        <f>EXP(mu_o+sigma_o*Tabella34[[#This Row],[x_o_alpha©+plus]])-(Tabella34[[#This Row],[Day]]-po)</f>
        <v>#DIV/0!</v>
      </c>
      <c r="BM13" s="262" t="e">
        <f>EXP(mu_o+sigma_o*Tabella34[[#This Row],[x_o_alpha©-minus]])-(Tabella34[[#This Row],[Day]]-po)</f>
        <v>#DIV/0!</v>
      </c>
      <c r="BN13" s="262" t="e">
        <f>-sigma_o+SQRT(sigma_o^2-2*Tabella34[[#This Row],[c_o]])</f>
        <v>#DIV/0!</v>
      </c>
      <c r="BO13" s="262" t="e">
        <f>-sigma_o-SQRT(sigma_o^2-2*Tabella34[[#This Row],[c_o]])</f>
        <v>#DIV/0!</v>
      </c>
      <c r="BP13" s="262" t="e">
        <f>mu_o-LN(alpha*Ko/(Tabella34[[#This Row],[rest of Italy velocity]]*sigma_o*SQRTPI(2)))</f>
        <v>#DIV/0!</v>
      </c>
      <c r="BQ13" s="262" t="e">
        <f>Tabella34[[#This Row],[t_alpha_o+plus]]</f>
        <v>#DIV/0!</v>
      </c>
      <c r="BR13" s="90">
        <f>IFERROR(-Ka*_xlfn.LOGNORM.DIST((Tabella34[[#This Row],[Day]]-pa),mu_a,sigma_a,FALSE)*(1+(LN((Tabella34[[#This Row],[Day]]-pa))-mu_a)/sigma_a^2)/(Tabella34[[#This Row],[Day]]-pa),0)</f>
        <v>0</v>
      </c>
      <c r="BS13" s="157">
        <f>Tabella34[[#This Row],[rest of Italy acc. fit]]/y_a_peak</f>
        <v>0</v>
      </c>
      <c r="BT13" s="156">
        <f>Tabella34[[#This Row],[rest of Italy acc. fit]]*NOT(ISBLANK(Tabella34[[#This Row],[rest of Italy data]]))</f>
        <v>0</v>
      </c>
      <c r="BU13" s="95">
        <f>Tabella34[[#This Row],[rest of Italy acc. fit]]+CIa</f>
        <v>5338.8394351600173</v>
      </c>
      <c r="BV13" s="95">
        <f>MAX(Tabella34[[#This Row],[rest of Italy acc. fit]]-CIa,0)</f>
        <v>0</v>
      </c>
      <c r="BW13" s="1"/>
      <c r="BX13" s="218" t="s">
        <v>3</v>
      </c>
      <c r="BY13" s="219" cm="1">
        <f t="array" ref="BY13">SQRT(SUM((Tabella34[Colonna1]-Tabella34[Colonna2])^2)/dfw)</f>
        <v>3746.8704439453654</v>
      </c>
      <c r="CL13" s="305"/>
    </row>
    <row r="14" spans="2:90" ht="16.2" x14ac:dyDescent="0.3">
      <c r="B14" s="281">
        <v>43837</v>
      </c>
      <c r="C14" s="4">
        <v>7</v>
      </c>
      <c r="D14" s="155"/>
      <c r="E14" s="158"/>
      <c r="F14" s="158"/>
      <c r="G14" s="156">
        <f>Tabella34[[#This Row],[Spain daily cases]]*NOT(ISBLANK(Tabella34[[#This Row],[Spain daily cases]]))</f>
        <v>0</v>
      </c>
      <c r="H14" s="157">
        <f>Tabella8[[#This Row],[Spain cum. fit]]</f>
        <v>0</v>
      </c>
      <c r="I14" s="157" t="e">
        <f>_xlfn.LOGNORM.INV(alpha*Tabella34[[#This Row],[Spain cumul. Fit]]/Kt,mu_t,sigma_t)-(Tabella34[[#This Row],[Day]]-pt)</f>
        <v>#NUM!</v>
      </c>
      <c r="J14" s="157" t="e">
        <f>Tabella34[[#This Row],[Spain fitted d.t.]]/Spain_dt_at_lockdown</f>
        <v>#NUM!</v>
      </c>
      <c r="K14" s="157">
        <f>Tabella34[[#This Row],[Spain cumul. Fit]]/Kf</f>
        <v>0</v>
      </c>
      <c r="L14" s="160"/>
      <c r="M14" s="157"/>
      <c r="N14" s="157">
        <f>IFERROR(Kt*_xlfn.LOGNORM.DIST((Tabella34[[#This Row],[Day]]-pt),mu_t,sigma_t,FALSE),0)</f>
        <v>0</v>
      </c>
      <c r="O14" s="157" t="e">
        <f>Kt*EXP(-0.5*Tabella34[[#This Row],[x_t]]^2)/(sigma_t*SQRTPI(2)*(Tabella34[[#This Row],[Day]]-D_bk))</f>
        <v>#NUM!</v>
      </c>
      <c r="P14" s="199" t="e">
        <f>Tabella34[[#This Row],[Spain fitted velocity]]/Tabella34[[#This Row],[Spain cumul. Fit]]</f>
        <v>#DIV/0!</v>
      </c>
      <c r="Q14" s="262" t="e">
        <f>(LN(Tabella34[[#This Row],[Day]]-pt)-mu_t)/sigma_t</f>
        <v>#NUM!</v>
      </c>
      <c r="R14" s="262" t="e">
        <f>EXP(mu_t+sigma_t*Tabella34[[#This Row],[x_t_alpha©+plus]])-(Tabella34[[#This Row],[Day]]-pt)</f>
        <v>#DIV/0!</v>
      </c>
      <c r="S14" s="262" t="e">
        <f>EXP(mu_t+sigma_t*Tabella34[[#This Row],[x_t_alpha©-minus]])-(Tabella34[[#This Row],[Day]]-pt)</f>
        <v>#DIV/0!</v>
      </c>
      <c r="T14" s="262" t="e">
        <f>-sigma_t+SQRT(sigma_t^2-2*Tabella34[[#This Row],[c_t]])</f>
        <v>#DIV/0!</v>
      </c>
      <c r="U14" s="262" t="e">
        <f>-sigma_t-SQRT(sigma_t^2-2*Tabella34[[#This Row],[c_t]])</f>
        <v>#DIV/0!</v>
      </c>
      <c r="V14" s="262" t="e">
        <f>mu_t-LN(alpha*Kt/(Tabella34[[#This Row],[Spain fitted velocity]]*sigma_t*SQRTPI(2)))</f>
        <v>#DIV/0!</v>
      </c>
      <c r="W14" s="262" t="e">
        <f>Tabella34[[#This Row],[Spain fitted g.r.]]/Spain_gr_at_lockdown</f>
        <v>#DIV/0!</v>
      </c>
      <c r="X14" s="262" t="e">
        <f>Tabella34[[#This Row],[t_alpha_t+plus]]</f>
        <v>#DIV/0!</v>
      </c>
      <c r="Y14" s="262" t="e">
        <f>Tabella34[[#This Row],[Spain fitted h.t.]]/Spain_ht_at_lockdown</f>
        <v>#DIV/0!</v>
      </c>
      <c r="Z14" s="90">
        <f>IFERROR(-Kf*_xlfn.LOGNORM.DIST((Tabella34[[#This Row],[Day]]-pf),mu_f,sigma_f,FALSE)*(1+(LN((Tabella34[[#This Row],[Day]]-pf))-mu_f)/sigma_f^2)/(Tabella34[[#This Row],[Day]]-pf),0)</f>
        <v>0</v>
      </c>
      <c r="AA14" s="90">
        <f>Tabella34[[#This Row],[Spain acc. fit]]/Spain_acc_at_lockdown</f>
        <v>0</v>
      </c>
      <c r="AB14" s="157">
        <f>Tabella34[[#This Row],[Spain acc. fit]]/y_f_peak</f>
        <v>0</v>
      </c>
      <c r="AC14" s="157">
        <f>Tabella34[[#This Row],[Colonna4]]*NOT(ISBLANK(Tabella34[[#This Row],[Spain daily cases]]))</f>
        <v>0</v>
      </c>
      <c r="AD14" s="157">
        <f>Tabella34[[#This Row],[Spain acc. fit]]*NOT(ISBLANK(Tabella34[[#This Row],[Spain daily cases]]))</f>
        <v>0</v>
      </c>
      <c r="AE14" s="95">
        <f>Tabella34[[#This Row],[Spain acc. fit]]+CIf</f>
        <v>2342.6884176810927</v>
      </c>
      <c r="AF14" s="95">
        <f>MAX(Tabella34[[#This Row],[Spain acc. fit]]-CIf,0)</f>
        <v>0</v>
      </c>
      <c r="AG14" s="155"/>
      <c r="AH14" s="33"/>
      <c r="AI14" s="33"/>
      <c r="AJ14" s="156">
        <f>Tabella34[[#This Row],[Lombardy data]]*NOT(ISBLANK(Tabella34[[#This Row],[Lombardy data]]))</f>
        <v>0</v>
      </c>
      <c r="AK14" s="161">
        <f>Tabella8[[#This Row],[Lombardy fit]]</f>
        <v>0</v>
      </c>
      <c r="AL14" s="157" t="e">
        <f>_xlfn.LOGNORM.INV(alpha*Tabella34[[#This Row],[Lombardy cumul. Fit]]/Kr,mu_r,sigma_r)-(Tabella34[[#This Row],[Day]]-pr)</f>
        <v>#NUM!</v>
      </c>
      <c r="AM14" s="156">
        <f>Tabella34[[#This Row],[Lombardy cumul. Fit]]/Kl</f>
        <v>0</v>
      </c>
      <c r="AN14" s="157">
        <f>IFERROR(Kr*_xlfn.LOGNORM.DIST((Tabella34[[#This Row],[Day]]-pr),mu_r,sigma_r,FALSE),0)</f>
        <v>0</v>
      </c>
      <c r="AO14" s="199" t="e">
        <f>Tabella34[[#This Row],[Lombardy velocity]]/Tabella34[[#This Row],[Lombardy cumul. Fit]]</f>
        <v>#DIV/0!</v>
      </c>
      <c r="AP14" s="254" t="e">
        <f>(LN(Tabella34[[#This Row],[Day]]-pr)-mu_r)/sigma_r</f>
        <v>#NUM!</v>
      </c>
      <c r="AQ14" s="262" t="e">
        <f>EXP(mu_r+sigma_r*Tabella34[[#This Row],[x_r_alpha©+plus]])-(Tabella34[[#This Row],[Day]]-pr)</f>
        <v>#DIV/0!</v>
      </c>
      <c r="AR14" s="262" t="e">
        <f>EXP(mu_r+sigma_r*Tabella34[[#This Row],[x_r_alpha©-minus]])-(Tabella34[[#This Row],[Day]]-pr)</f>
        <v>#DIV/0!</v>
      </c>
      <c r="AS14" s="262" t="e">
        <f>-sigma_r+SQRT(sigma_r^2-2*Tabella34[[#This Row],[c_r]])</f>
        <v>#DIV/0!</v>
      </c>
      <c r="AT14" s="262" t="e">
        <f>-sigma_r-SQRT(sigma_r^2-2*Tabella34[[#This Row],[c_r]])</f>
        <v>#DIV/0!</v>
      </c>
      <c r="AU14" s="262" t="e">
        <f>mu_r-LN(alpha*Kr/(Tabella34[[#This Row],[Lombardy velocity]]*sigma_r*SQRTPI(2)))</f>
        <v>#DIV/0!</v>
      </c>
      <c r="AV14" s="262" t="e">
        <f>Tabella34[[#This Row],[t_alpha_r+plus]]</f>
        <v>#DIV/0!</v>
      </c>
      <c r="AW14" s="90">
        <f>IFERROR(-Kl*_xlfn.LOGNORM.DIST((Tabella34[[#This Row],[Day]]-pl),mu_l,sigma_l,FALSE)*(1+(LN((Tabella34[[#This Row],[Day]]-pl))-mu_l)/sigma_l^2)/(Tabella34[[#This Row],[Day]]-pl),0)</f>
        <v>0</v>
      </c>
      <c r="AX14" s="157">
        <f>Tabella34[[#This Row],[Lombardy acc. fit]]/y_l_peak</f>
        <v>0</v>
      </c>
      <c r="AY14" s="157">
        <f>Tabella34[[#This Row],[Lombardy acc. fit]]*NOT(ISBLANK(Tabella34[[#This Row],[Lombardy data]]))</f>
        <v>0</v>
      </c>
      <c r="AZ14" s="95">
        <f>Tabella34[[#This Row],[Lombardy acc. fit]]+CIl</f>
        <v>2570.3823229164086</v>
      </c>
      <c r="BA14" s="95">
        <f>MAX(Tabella34[[#This Row],[Lombardy acc. fit]]-CIl,0)</f>
        <v>0</v>
      </c>
      <c r="BB14" s="155"/>
      <c r="BC14" s="33"/>
      <c r="BD14" s="33"/>
      <c r="BE14" s="156">
        <f>Tabella34[[#This Row],[rest of Italy data]]*NOT(ISBLANK(Tabella34[[#This Row],[rest of Italy data]]))</f>
        <v>0</v>
      </c>
      <c r="BF14" s="204">
        <f>Tabella8[[#This Row],[rest of Italy fit]]</f>
        <v>0</v>
      </c>
      <c r="BG14" s="157" t="e">
        <f>_xlfn.LOGNORM.INV(alpha*Tabella34[[#This Row],[rest of Italy cumul. Fit]]/Ko,mu_o,sigma_o)-(Tabella34[[#This Row],[Day]]-po)</f>
        <v>#NUM!</v>
      </c>
      <c r="BH14" s="157">
        <f>Tabella34[[#This Row],[rest of Italy cumul. Fit]]/Ka</f>
        <v>0</v>
      </c>
      <c r="BI14" s="157">
        <f>IFERROR(Ko*_xlfn.LOGNORM.DIST((Tabella34[[#This Row],[Day]]-po),mu_o,sigma_o,FALSE),0)</f>
        <v>0</v>
      </c>
      <c r="BJ14" s="199" t="e">
        <f>Tabella34[[#This Row],[rest of Italy velocity]]/Tabella34[[#This Row],[rest of Italy cumul. Fit]]</f>
        <v>#DIV/0!</v>
      </c>
      <c r="BK14" s="254" t="e">
        <f>(LN(Tabella34[[#This Row],[Day]]-po)-mu_o)/sigma_o</f>
        <v>#NUM!</v>
      </c>
      <c r="BL14" s="262" t="e">
        <f>EXP(mu_o+sigma_o*Tabella34[[#This Row],[x_o_alpha©+plus]])-(Tabella34[[#This Row],[Day]]-po)</f>
        <v>#DIV/0!</v>
      </c>
      <c r="BM14" s="262" t="e">
        <f>EXP(mu_o+sigma_o*Tabella34[[#This Row],[x_o_alpha©-minus]])-(Tabella34[[#This Row],[Day]]-po)</f>
        <v>#DIV/0!</v>
      </c>
      <c r="BN14" s="262" t="e">
        <f>-sigma_o+SQRT(sigma_o^2-2*Tabella34[[#This Row],[c_o]])</f>
        <v>#DIV/0!</v>
      </c>
      <c r="BO14" s="262" t="e">
        <f>-sigma_o-SQRT(sigma_o^2-2*Tabella34[[#This Row],[c_o]])</f>
        <v>#DIV/0!</v>
      </c>
      <c r="BP14" s="262" t="e">
        <f>mu_o-LN(alpha*Ko/(Tabella34[[#This Row],[rest of Italy velocity]]*sigma_o*SQRTPI(2)))</f>
        <v>#DIV/0!</v>
      </c>
      <c r="BQ14" s="262" t="e">
        <f>Tabella34[[#This Row],[t_alpha_o+plus]]</f>
        <v>#DIV/0!</v>
      </c>
      <c r="BR14" s="90">
        <f>IFERROR(-Ka*_xlfn.LOGNORM.DIST((Tabella34[[#This Row],[Day]]-pa),mu_a,sigma_a,FALSE)*(1+(LN((Tabella34[[#This Row],[Day]]-pa))-mu_a)/sigma_a^2)/(Tabella34[[#This Row],[Day]]-pa),0)</f>
        <v>0</v>
      </c>
      <c r="BS14" s="157">
        <f>Tabella34[[#This Row],[rest of Italy acc. fit]]/y_a_peak</f>
        <v>0</v>
      </c>
      <c r="BT14" s="156">
        <f>Tabella34[[#This Row],[rest of Italy acc. fit]]*NOT(ISBLANK(Tabella34[[#This Row],[rest of Italy data]]))</f>
        <v>0</v>
      </c>
      <c r="BU14" s="95">
        <f>Tabella34[[#This Row],[rest of Italy acc. fit]]+CIa</f>
        <v>5338.8394351600173</v>
      </c>
      <c r="BV14" s="95">
        <f>MAX(Tabella34[[#This Row],[rest of Italy acc. fit]]-CIa,0)</f>
        <v>0</v>
      </c>
      <c r="BW14" s="1"/>
      <c r="BX14" s="218" t="s">
        <v>4022</v>
      </c>
      <c r="BY14" s="221" cm="1">
        <f t="array" ref="BY14">1-SUM((Tabella34[Colonna1]-Tabella34[Colonna2])^2)/SUM((Tabella34[Colonna1]-Mean_of_yw)^2)</f>
        <v>-7.69954941630413E-2</v>
      </c>
      <c r="CL14" s="305"/>
    </row>
    <row r="15" spans="2:90" x14ac:dyDescent="0.3">
      <c r="B15" s="281">
        <v>43838</v>
      </c>
      <c r="C15" s="4">
        <v>8</v>
      </c>
      <c r="D15" s="155"/>
      <c r="E15" s="158"/>
      <c r="F15" s="158"/>
      <c r="G15" s="156">
        <f>Tabella34[[#This Row],[Spain daily cases]]*NOT(ISBLANK(Tabella34[[#This Row],[Spain daily cases]]))</f>
        <v>0</v>
      </c>
      <c r="H15" s="157">
        <f>Tabella8[[#This Row],[Spain cum. fit]]</f>
        <v>0</v>
      </c>
      <c r="I15" s="157" t="e">
        <f>_xlfn.LOGNORM.INV(alpha*Tabella34[[#This Row],[Spain cumul. Fit]]/Kt,mu_t,sigma_t)-(Tabella34[[#This Row],[Day]]-pt)</f>
        <v>#NUM!</v>
      </c>
      <c r="J15" s="157" t="e">
        <f>Tabella34[[#This Row],[Spain fitted d.t.]]/Spain_dt_at_lockdown</f>
        <v>#NUM!</v>
      </c>
      <c r="K15" s="157">
        <f>Tabella34[[#This Row],[Spain cumul. Fit]]/Kf</f>
        <v>0</v>
      </c>
      <c r="L15" s="160"/>
      <c r="M15" s="157"/>
      <c r="N15" s="157">
        <f>IFERROR(Kt*_xlfn.LOGNORM.DIST((Tabella34[[#This Row],[Day]]-pt),mu_t,sigma_t,FALSE),0)</f>
        <v>0</v>
      </c>
      <c r="O15" s="157" t="e">
        <f>Kt*EXP(-0.5*Tabella34[[#This Row],[x_t]]^2)/(sigma_t*SQRTPI(2)*(Tabella34[[#This Row],[Day]]-D_bk))</f>
        <v>#NUM!</v>
      </c>
      <c r="P15" s="199" t="e">
        <f>Tabella34[[#This Row],[Spain fitted velocity]]/Tabella34[[#This Row],[Spain cumul. Fit]]</f>
        <v>#DIV/0!</v>
      </c>
      <c r="Q15" s="262" t="e">
        <f>(LN(Tabella34[[#This Row],[Day]]-pt)-mu_t)/sigma_t</f>
        <v>#NUM!</v>
      </c>
      <c r="R15" s="262" t="e">
        <f>EXP(mu_t+sigma_t*Tabella34[[#This Row],[x_t_alpha©+plus]])-(Tabella34[[#This Row],[Day]]-pt)</f>
        <v>#DIV/0!</v>
      </c>
      <c r="S15" s="262" t="e">
        <f>EXP(mu_t+sigma_t*Tabella34[[#This Row],[x_t_alpha©-minus]])-(Tabella34[[#This Row],[Day]]-pt)</f>
        <v>#DIV/0!</v>
      </c>
      <c r="T15" s="262" t="e">
        <f>-sigma_t+SQRT(sigma_t^2-2*Tabella34[[#This Row],[c_t]])</f>
        <v>#DIV/0!</v>
      </c>
      <c r="U15" s="262" t="e">
        <f>-sigma_t-SQRT(sigma_t^2-2*Tabella34[[#This Row],[c_t]])</f>
        <v>#DIV/0!</v>
      </c>
      <c r="V15" s="262" t="e">
        <f>mu_t-LN(alpha*Kt/(Tabella34[[#This Row],[Spain fitted velocity]]*sigma_t*SQRTPI(2)))</f>
        <v>#DIV/0!</v>
      </c>
      <c r="W15" s="262" t="e">
        <f>Tabella34[[#This Row],[Spain fitted g.r.]]/Spain_gr_at_lockdown</f>
        <v>#DIV/0!</v>
      </c>
      <c r="X15" s="262" t="e">
        <f>Tabella34[[#This Row],[t_alpha_t+plus]]</f>
        <v>#DIV/0!</v>
      </c>
      <c r="Y15" s="262" t="e">
        <f>Tabella34[[#This Row],[Spain fitted h.t.]]/Spain_ht_at_lockdown</f>
        <v>#DIV/0!</v>
      </c>
      <c r="Z15" s="90">
        <f>IFERROR(-Kf*_xlfn.LOGNORM.DIST((Tabella34[[#This Row],[Day]]-pf),mu_f,sigma_f,FALSE)*(1+(LN((Tabella34[[#This Row],[Day]]-pf))-mu_f)/sigma_f^2)/(Tabella34[[#This Row],[Day]]-pf),0)</f>
        <v>0</v>
      </c>
      <c r="AA15" s="90">
        <f>Tabella34[[#This Row],[Spain acc. fit]]/Spain_acc_at_lockdown</f>
        <v>0</v>
      </c>
      <c r="AB15" s="157">
        <f>Tabella34[[#This Row],[Spain acc. fit]]/y_f_peak</f>
        <v>0</v>
      </c>
      <c r="AC15" s="157">
        <f>Tabella34[[#This Row],[Colonna4]]*NOT(ISBLANK(Tabella34[[#This Row],[Spain daily cases]]))</f>
        <v>0</v>
      </c>
      <c r="AD15" s="157">
        <f>Tabella34[[#This Row],[Spain acc. fit]]*NOT(ISBLANK(Tabella34[[#This Row],[Spain daily cases]]))</f>
        <v>0</v>
      </c>
      <c r="AE15" s="95">
        <f>Tabella34[[#This Row],[Spain acc. fit]]+CIf</f>
        <v>2342.6884176810927</v>
      </c>
      <c r="AF15" s="95">
        <f>MAX(Tabella34[[#This Row],[Spain acc. fit]]-CIf,0)</f>
        <v>0</v>
      </c>
      <c r="AG15" s="155"/>
      <c r="AH15" s="33"/>
      <c r="AI15" s="33"/>
      <c r="AJ15" s="156">
        <f>Tabella34[[#This Row],[Lombardy data]]*NOT(ISBLANK(Tabella34[[#This Row],[Lombardy data]]))</f>
        <v>0</v>
      </c>
      <c r="AK15" s="161">
        <f>Tabella8[[#This Row],[Lombardy fit]]</f>
        <v>0</v>
      </c>
      <c r="AL15" s="157" t="e">
        <f>_xlfn.LOGNORM.INV(alpha*Tabella34[[#This Row],[Lombardy cumul. Fit]]/Kr,mu_r,sigma_r)-(Tabella34[[#This Row],[Day]]-pr)</f>
        <v>#NUM!</v>
      </c>
      <c r="AM15" s="156">
        <f>Tabella34[[#This Row],[Lombardy cumul. Fit]]/Kl</f>
        <v>0</v>
      </c>
      <c r="AN15" s="157">
        <f>IFERROR(Kr*_xlfn.LOGNORM.DIST((Tabella34[[#This Row],[Day]]-pr),mu_r,sigma_r,FALSE),0)</f>
        <v>0</v>
      </c>
      <c r="AO15" s="199" t="e">
        <f>Tabella34[[#This Row],[Lombardy velocity]]/Tabella34[[#This Row],[Lombardy cumul. Fit]]</f>
        <v>#DIV/0!</v>
      </c>
      <c r="AP15" s="254" t="e">
        <f>(LN(Tabella34[[#This Row],[Day]]-pr)-mu_r)/sigma_r</f>
        <v>#NUM!</v>
      </c>
      <c r="AQ15" s="262" t="e">
        <f>EXP(mu_r+sigma_r*Tabella34[[#This Row],[x_r_alpha©+plus]])-(Tabella34[[#This Row],[Day]]-pr)</f>
        <v>#DIV/0!</v>
      </c>
      <c r="AR15" s="262" t="e">
        <f>EXP(mu_r+sigma_r*Tabella34[[#This Row],[x_r_alpha©-minus]])-(Tabella34[[#This Row],[Day]]-pr)</f>
        <v>#DIV/0!</v>
      </c>
      <c r="AS15" s="262" t="e">
        <f>-sigma_r+SQRT(sigma_r^2-2*Tabella34[[#This Row],[c_r]])</f>
        <v>#DIV/0!</v>
      </c>
      <c r="AT15" s="262" t="e">
        <f>-sigma_r-SQRT(sigma_r^2-2*Tabella34[[#This Row],[c_r]])</f>
        <v>#DIV/0!</v>
      </c>
      <c r="AU15" s="262" t="e">
        <f>mu_r-LN(alpha*Kr/(Tabella34[[#This Row],[Lombardy velocity]]*sigma_r*SQRTPI(2)))</f>
        <v>#DIV/0!</v>
      </c>
      <c r="AV15" s="262" t="e">
        <f>Tabella34[[#This Row],[t_alpha_r+plus]]</f>
        <v>#DIV/0!</v>
      </c>
      <c r="AW15" s="90">
        <f>IFERROR(-Kl*_xlfn.LOGNORM.DIST((Tabella34[[#This Row],[Day]]-pl),mu_l,sigma_l,FALSE)*(1+(LN((Tabella34[[#This Row],[Day]]-pl))-mu_l)/sigma_l^2)/(Tabella34[[#This Row],[Day]]-pl),0)</f>
        <v>0</v>
      </c>
      <c r="AX15" s="157">
        <f>Tabella34[[#This Row],[Lombardy acc. fit]]/y_l_peak</f>
        <v>0</v>
      </c>
      <c r="AY15" s="157">
        <f>Tabella34[[#This Row],[Lombardy acc. fit]]*NOT(ISBLANK(Tabella34[[#This Row],[Lombardy data]]))</f>
        <v>0</v>
      </c>
      <c r="AZ15" s="95">
        <f>Tabella34[[#This Row],[Lombardy acc. fit]]+CIl</f>
        <v>2570.3823229164086</v>
      </c>
      <c r="BA15" s="95">
        <f>MAX(Tabella34[[#This Row],[Lombardy acc. fit]]-CIl,0)</f>
        <v>0</v>
      </c>
      <c r="BB15" s="155"/>
      <c r="BC15" s="33"/>
      <c r="BD15" s="33"/>
      <c r="BE15" s="156">
        <f>Tabella34[[#This Row],[rest of Italy data]]*NOT(ISBLANK(Tabella34[[#This Row],[rest of Italy data]]))</f>
        <v>0</v>
      </c>
      <c r="BF15" s="204">
        <f>Tabella8[[#This Row],[rest of Italy fit]]</f>
        <v>0</v>
      </c>
      <c r="BG15" s="157" t="e">
        <f>_xlfn.LOGNORM.INV(alpha*Tabella34[[#This Row],[rest of Italy cumul. Fit]]/Ko,mu_o,sigma_o)-(Tabella34[[#This Row],[Day]]-po)</f>
        <v>#NUM!</v>
      </c>
      <c r="BH15" s="157">
        <f>Tabella34[[#This Row],[rest of Italy cumul. Fit]]/Ka</f>
        <v>0</v>
      </c>
      <c r="BI15" s="157">
        <f>IFERROR(Ko*_xlfn.LOGNORM.DIST((Tabella34[[#This Row],[Day]]-po),mu_o,sigma_o,FALSE),0)</f>
        <v>0</v>
      </c>
      <c r="BJ15" s="199" t="e">
        <f>Tabella34[[#This Row],[rest of Italy velocity]]/Tabella34[[#This Row],[rest of Italy cumul. Fit]]</f>
        <v>#DIV/0!</v>
      </c>
      <c r="BK15" s="254" t="e">
        <f>(LN(Tabella34[[#This Row],[Day]]-po)-mu_o)/sigma_o</f>
        <v>#NUM!</v>
      </c>
      <c r="BL15" s="262" t="e">
        <f>EXP(mu_o+sigma_o*Tabella34[[#This Row],[x_o_alpha©+plus]])-(Tabella34[[#This Row],[Day]]-po)</f>
        <v>#DIV/0!</v>
      </c>
      <c r="BM15" s="262" t="e">
        <f>EXP(mu_o+sigma_o*Tabella34[[#This Row],[x_o_alpha©-minus]])-(Tabella34[[#This Row],[Day]]-po)</f>
        <v>#DIV/0!</v>
      </c>
      <c r="BN15" s="262" t="e">
        <f>-sigma_o+SQRT(sigma_o^2-2*Tabella34[[#This Row],[c_o]])</f>
        <v>#DIV/0!</v>
      </c>
      <c r="BO15" s="262" t="e">
        <f>-sigma_o-SQRT(sigma_o^2-2*Tabella34[[#This Row],[c_o]])</f>
        <v>#DIV/0!</v>
      </c>
      <c r="BP15" s="262" t="e">
        <f>mu_o-LN(alpha*Ko/(Tabella34[[#This Row],[rest of Italy velocity]]*sigma_o*SQRTPI(2)))</f>
        <v>#DIV/0!</v>
      </c>
      <c r="BQ15" s="262" t="e">
        <f>Tabella34[[#This Row],[t_alpha_o+plus]]</f>
        <v>#DIV/0!</v>
      </c>
      <c r="BR15" s="90">
        <f>IFERROR(-Ka*_xlfn.LOGNORM.DIST((Tabella34[[#This Row],[Day]]-pa),mu_a,sigma_a,FALSE)*(1+(LN((Tabella34[[#This Row],[Day]]-pa))-mu_a)/sigma_a^2)/(Tabella34[[#This Row],[Day]]-pa),0)</f>
        <v>0</v>
      </c>
      <c r="BS15" s="157">
        <f>Tabella34[[#This Row],[rest of Italy acc. fit]]/y_a_peak</f>
        <v>0</v>
      </c>
      <c r="BT15" s="156">
        <f>Tabella34[[#This Row],[rest of Italy acc. fit]]*NOT(ISBLANK(Tabella34[[#This Row],[rest of Italy data]]))</f>
        <v>0</v>
      </c>
      <c r="BU15" s="95">
        <f>Tabella34[[#This Row],[rest of Italy acc. fit]]+CIa</f>
        <v>5338.8394351600173</v>
      </c>
      <c r="BV15" s="95">
        <f>MAX(Tabella34[[#This Row],[rest of Italy acc. fit]]-CIa,0)</f>
        <v>0</v>
      </c>
      <c r="BW15" s="1"/>
      <c r="BX15" s="218" t="s">
        <v>5</v>
      </c>
      <c r="BY15" s="221">
        <f>TINV(0.05,dfw)</f>
        <v>1.9847231860139838</v>
      </c>
      <c r="CL15" s="305"/>
    </row>
    <row r="16" spans="2:90" x14ac:dyDescent="0.3">
      <c r="B16" s="281">
        <v>43839</v>
      </c>
      <c r="C16" s="4">
        <v>9</v>
      </c>
      <c r="D16" s="155"/>
      <c r="E16" s="158"/>
      <c r="F16" s="158"/>
      <c r="G16" s="156">
        <f>Tabella34[[#This Row],[Spain daily cases]]*NOT(ISBLANK(Tabella34[[#This Row],[Spain daily cases]]))</f>
        <v>0</v>
      </c>
      <c r="H16" s="157">
        <f>Tabella8[[#This Row],[Spain cum. fit]]</f>
        <v>0</v>
      </c>
      <c r="I16" s="157" t="e">
        <f>_xlfn.LOGNORM.INV(alpha*Tabella34[[#This Row],[Spain cumul. Fit]]/Kt,mu_t,sigma_t)-(Tabella34[[#This Row],[Day]]-pt)</f>
        <v>#NUM!</v>
      </c>
      <c r="J16" s="157" t="e">
        <f>Tabella34[[#This Row],[Spain fitted d.t.]]/Spain_dt_at_lockdown</f>
        <v>#NUM!</v>
      </c>
      <c r="K16" s="157">
        <f>Tabella34[[#This Row],[Spain cumul. Fit]]/Kf</f>
        <v>0</v>
      </c>
      <c r="L16" s="160"/>
      <c r="M16" s="157"/>
      <c r="N16" s="157">
        <f>IFERROR(Kt*_xlfn.LOGNORM.DIST((Tabella34[[#This Row],[Day]]-pt),mu_t,sigma_t,FALSE),0)</f>
        <v>0</v>
      </c>
      <c r="O16" s="157" t="e">
        <f>Kt*EXP(-0.5*Tabella34[[#This Row],[x_t]]^2)/(sigma_t*SQRTPI(2)*(Tabella34[[#This Row],[Day]]-D_bk))</f>
        <v>#NUM!</v>
      </c>
      <c r="P16" s="199" t="e">
        <f>Tabella34[[#This Row],[Spain fitted velocity]]/Tabella34[[#This Row],[Spain cumul. Fit]]</f>
        <v>#DIV/0!</v>
      </c>
      <c r="Q16" s="262" t="e">
        <f>(LN(Tabella34[[#This Row],[Day]]-pt)-mu_t)/sigma_t</f>
        <v>#NUM!</v>
      </c>
      <c r="R16" s="262" t="e">
        <f>EXP(mu_t+sigma_t*Tabella34[[#This Row],[x_t_alpha©+plus]])-(Tabella34[[#This Row],[Day]]-pt)</f>
        <v>#DIV/0!</v>
      </c>
      <c r="S16" s="262" t="e">
        <f>EXP(mu_t+sigma_t*Tabella34[[#This Row],[x_t_alpha©-minus]])-(Tabella34[[#This Row],[Day]]-pt)</f>
        <v>#DIV/0!</v>
      </c>
      <c r="T16" s="262" t="e">
        <f>-sigma_t+SQRT(sigma_t^2-2*Tabella34[[#This Row],[c_t]])</f>
        <v>#DIV/0!</v>
      </c>
      <c r="U16" s="262" t="e">
        <f>-sigma_t-SQRT(sigma_t^2-2*Tabella34[[#This Row],[c_t]])</f>
        <v>#DIV/0!</v>
      </c>
      <c r="V16" s="262" t="e">
        <f>mu_t-LN(alpha*Kt/(Tabella34[[#This Row],[Spain fitted velocity]]*sigma_t*SQRTPI(2)))</f>
        <v>#DIV/0!</v>
      </c>
      <c r="W16" s="262" t="e">
        <f>Tabella34[[#This Row],[Spain fitted g.r.]]/Spain_gr_at_lockdown</f>
        <v>#DIV/0!</v>
      </c>
      <c r="X16" s="262" t="e">
        <f>Tabella34[[#This Row],[t_alpha_t+plus]]</f>
        <v>#DIV/0!</v>
      </c>
      <c r="Y16" s="262" t="e">
        <f>Tabella34[[#This Row],[Spain fitted h.t.]]/Spain_ht_at_lockdown</f>
        <v>#DIV/0!</v>
      </c>
      <c r="Z16" s="90">
        <f>IFERROR(-Kf*_xlfn.LOGNORM.DIST((Tabella34[[#This Row],[Day]]-pf),mu_f,sigma_f,FALSE)*(1+(LN((Tabella34[[#This Row],[Day]]-pf))-mu_f)/sigma_f^2)/(Tabella34[[#This Row],[Day]]-pf),0)</f>
        <v>0</v>
      </c>
      <c r="AA16" s="90">
        <f>Tabella34[[#This Row],[Spain acc. fit]]/Spain_acc_at_lockdown</f>
        <v>0</v>
      </c>
      <c r="AB16" s="157">
        <f>Tabella34[[#This Row],[Spain acc. fit]]/y_f_peak</f>
        <v>0</v>
      </c>
      <c r="AC16" s="157">
        <f>Tabella34[[#This Row],[Colonna4]]*NOT(ISBLANK(Tabella34[[#This Row],[Spain daily cases]]))</f>
        <v>0</v>
      </c>
      <c r="AD16" s="157">
        <f>Tabella34[[#This Row],[Spain acc. fit]]*NOT(ISBLANK(Tabella34[[#This Row],[Spain daily cases]]))</f>
        <v>0</v>
      </c>
      <c r="AE16" s="95">
        <f>Tabella34[[#This Row],[Spain acc. fit]]+CIf</f>
        <v>2342.6884176810927</v>
      </c>
      <c r="AF16" s="95">
        <f>MAX(Tabella34[[#This Row],[Spain acc. fit]]-CIf,0)</f>
        <v>0</v>
      </c>
      <c r="AG16" s="155"/>
      <c r="AH16" s="33"/>
      <c r="AI16" s="33"/>
      <c r="AJ16" s="156">
        <f>Tabella34[[#This Row],[Lombardy data]]*NOT(ISBLANK(Tabella34[[#This Row],[Lombardy data]]))</f>
        <v>0</v>
      </c>
      <c r="AK16" s="161">
        <f>Tabella8[[#This Row],[Lombardy fit]]</f>
        <v>0</v>
      </c>
      <c r="AL16" s="157" t="e">
        <f>_xlfn.LOGNORM.INV(alpha*Tabella34[[#This Row],[Lombardy cumul. Fit]]/Kr,mu_r,sigma_r)-(Tabella34[[#This Row],[Day]]-pr)</f>
        <v>#NUM!</v>
      </c>
      <c r="AM16" s="156">
        <f>Tabella34[[#This Row],[Lombardy cumul. Fit]]/Kl</f>
        <v>0</v>
      </c>
      <c r="AN16" s="157">
        <f>IFERROR(Kr*_xlfn.LOGNORM.DIST((Tabella34[[#This Row],[Day]]-pr),mu_r,sigma_r,FALSE),0)</f>
        <v>0</v>
      </c>
      <c r="AO16" s="199" t="e">
        <f>Tabella34[[#This Row],[Lombardy velocity]]/Tabella34[[#This Row],[Lombardy cumul. Fit]]</f>
        <v>#DIV/0!</v>
      </c>
      <c r="AP16" s="254" t="e">
        <f>(LN(Tabella34[[#This Row],[Day]]-pr)-mu_r)/sigma_r</f>
        <v>#NUM!</v>
      </c>
      <c r="AQ16" s="262" t="e">
        <f>EXP(mu_r+sigma_r*Tabella34[[#This Row],[x_r_alpha©+plus]])-(Tabella34[[#This Row],[Day]]-pr)</f>
        <v>#DIV/0!</v>
      </c>
      <c r="AR16" s="262" t="e">
        <f>EXP(mu_r+sigma_r*Tabella34[[#This Row],[x_r_alpha©-minus]])-(Tabella34[[#This Row],[Day]]-pr)</f>
        <v>#DIV/0!</v>
      </c>
      <c r="AS16" s="262" t="e">
        <f>-sigma_r+SQRT(sigma_r^2-2*Tabella34[[#This Row],[c_r]])</f>
        <v>#DIV/0!</v>
      </c>
      <c r="AT16" s="262" t="e">
        <f>-sigma_r-SQRT(sigma_r^2-2*Tabella34[[#This Row],[c_r]])</f>
        <v>#DIV/0!</v>
      </c>
      <c r="AU16" s="262" t="e">
        <f>mu_r-LN(alpha*Kr/(Tabella34[[#This Row],[Lombardy velocity]]*sigma_r*SQRTPI(2)))</f>
        <v>#DIV/0!</v>
      </c>
      <c r="AV16" s="262" t="e">
        <f>Tabella34[[#This Row],[t_alpha_r+plus]]</f>
        <v>#DIV/0!</v>
      </c>
      <c r="AW16" s="90">
        <f>IFERROR(-Kl*_xlfn.LOGNORM.DIST((Tabella34[[#This Row],[Day]]-pl),mu_l,sigma_l,FALSE)*(1+(LN((Tabella34[[#This Row],[Day]]-pl))-mu_l)/sigma_l^2)/(Tabella34[[#This Row],[Day]]-pl),0)</f>
        <v>0</v>
      </c>
      <c r="AX16" s="157">
        <f>Tabella34[[#This Row],[Lombardy acc. fit]]/y_l_peak</f>
        <v>0</v>
      </c>
      <c r="AY16" s="157">
        <f>Tabella34[[#This Row],[Lombardy acc. fit]]*NOT(ISBLANK(Tabella34[[#This Row],[Lombardy data]]))</f>
        <v>0</v>
      </c>
      <c r="AZ16" s="95">
        <f>Tabella34[[#This Row],[Lombardy acc. fit]]+CIl</f>
        <v>2570.3823229164086</v>
      </c>
      <c r="BA16" s="95">
        <f>MAX(Tabella34[[#This Row],[Lombardy acc. fit]]-CIl,0)</f>
        <v>0</v>
      </c>
      <c r="BB16" s="155"/>
      <c r="BC16" s="33"/>
      <c r="BD16" s="33"/>
      <c r="BE16" s="156">
        <f>Tabella34[[#This Row],[rest of Italy data]]*NOT(ISBLANK(Tabella34[[#This Row],[rest of Italy data]]))</f>
        <v>0</v>
      </c>
      <c r="BF16" s="204">
        <f>Tabella8[[#This Row],[rest of Italy fit]]</f>
        <v>0</v>
      </c>
      <c r="BG16" s="157" t="e">
        <f>_xlfn.LOGNORM.INV(alpha*Tabella34[[#This Row],[rest of Italy cumul. Fit]]/Ko,mu_o,sigma_o)-(Tabella34[[#This Row],[Day]]-po)</f>
        <v>#NUM!</v>
      </c>
      <c r="BH16" s="157">
        <f>Tabella34[[#This Row],[rest of Italy cumul. Fit]]/Ka</f>
        <v>0</v>
      </c>
      <c r="BI16" s="157">
        <f>IFERROR(Ko*_xlfn.LOGNORM.DIST((Tabella34[[#This Row],[Day]]-po),mu_o,sigma_o,FALSE),0)</f>
        <v>0</v>
      </c>
      <c r="BJ16" s="199" t="e">
        <f>Tabella34[[#This Row],[rest of Italy velocity]]/Tabella34[[#This Row],[rest of Italy cumul. Fit]]</f>
        <v>#DIV/0!</v>
      </c>
      <c r="BK16" s="254" t="e">
        <f>(LN(Tabella34[[#This Row],[Day]]-po)-mu_o)/sigma_o</f>
        <v>#NUM!</v>
      </c>
      <c r="BL16" s="262" t="e">
        <f>EXP(mu_o+sigma_o*Tabella34[[#This Row],[x_o_alpha©+plus]])-(Tabella34[[#This Row],[Day]]-po)</f>
        <v>#DIV/0!</v>
      </c>
      <c r="BM16" s="262" t="e">
        <f>EXP(mu_o+sigma_o*Tabella34[[#This Row],[x_o_alpha©-minus]])-(Tabella34[[#This Row],[Day]]-po)</f>
        <v>#DIV/0!</v>
      </c>
      <c r="BN16" s="262" t="e">
        <f>-sigma_o+SQRT(sigma_o^2-2*Tabella34[[#This Row],[c_o]])</f>
        <v>#DIV/0!</v>
      </c>
      <c r="BO16" s="262" t="e">
        <f>-sigma_o-SQRT(sigma_o^2-2*Tabella34[[#This Row],[c_o]])</f>
        <v>#DIV/0!</v>
      </c>
      <c r="BP16" s="262" t="e">
        <f>mu_o-LN(alpha*Ko/(Tabella34[[#This Row],[rest of Italy velocity]]*sigma_o*SQRTPI(2)))</f>
        <v>#DIV/0!</v>
      </c>
      <c r="BQ16" s="262" t="e">
        <f>Tabella34[[#This Row],[t_alpha_o+plus]]</f>
        <v>#DIV/0!</v>
      </c>
      <c r="BR16" s="90">
        <f>IFERROR(-Ka*_xlfn.LOGNORM.DIST((Tabella34[[#This Row],[Day]]-pa),mu_a,sigma_a,FALSE)*(1+(LN((Tabella34[[#This Row],[Day]]-pa))-mu_a)/sigma_a^2)/(Tabella34[[#This Row],[Day]]-pa),0)</f>
        <v>0</v>
      </c>
      <c r="BS16" s="157">
        <f>Tabella34[[#This Row],[rest of Italy acc. fit]]/y_a_peak</f>
        <v>0</v>
      </c>
      <c r="BT16" s="156">
        <f>Tabella34[[#This Row],[rest of Italy acc. fit]]*NOT(ISBLANK(Tabella34[[#This Row],[rest of Italy data]]))</f>
        <v>0</v>
      </c>
      <c r="BU16" s="95">
        <f>Tabella34[[#This Row],[rest of Italy acc. fit]]+CIa</f>
        <v>5338.8394351600173</v>
      </c>
      <c r="BV16" s="95">
        <f>MAX(Tabella34[[#This Row],[rest of Italy acc. fit]]-CIa,0)</f>
        <v>0</v>
      </c>
      <c r="BW16" s="1"/>
      <c r="BX16" s="218" t="s">
        <v>6</v>
      </c>
      <c r="BY16" s="219" t="e">
        <f>Critical_tw*SE_of_yw</f>
        <v>#NAME?</v>
      </c>
      <c r="CL16" s="305"/>
    </row>
    <row r="17" spans="2:90" ht="15" thickBot="1" x14ac:dyDescent="0.35">
      <c r="B17" s="281">
        <v>43840</v>
      </c>
      <c r="C17" s="4">
        <v>10</v>
      </c>
      <c r="D17" s="155"/>
      <c r="E17" s="158"/>
      <c r="F17" s="158"/>
      <c r="G17" s="156">
        <f>Tabella34[[#This Row],[Spain daily cases]]*NOT(ISBLANK(Tabella34[[#This Row],[Spain daily cases]]))</f>
        <v>0</v>
      </c>
      <c r="H17" s="157">
        <f>Tabella8[[#This Row],[Spain cum. fit]]</f>
        <v>0</v>
      </c>
      <c r="I17" s="157" t="e">
        <f>_xlfn.LOGNORM.INV(alpha*Tabella34[[#This Row],[Spain cumul. Fit]]/Kt,mu_t,sigma_t)-(Tabella34[[#This Row],[Day]]-pt)</f>
        <v>#NUM!</v>
      </c>
      <c r="J17" s="157" t="e">
        <f>Tabella34[[#This Row],[Spain fitted d.t.]]/Spain_dt_at_lockdown</f>
        <v>#NUM!</v>
      </c>
      <c r="K17" s="157">
        <f>Tabella34[[#This Row],[Spain cumul. Fit]]/Kf</f>
        <v>0</v>
      </c>
      <c r="L17" s="160"/>
      <c r="M17" s="157"/>
      <c r="N17" s="157">
        <f>IFERROR(Kt*_xlfn.LOGNORM.DIST((Tabella34[[#This Row],[Day]]-pt),mu_t,sigma_t,FALSE),0)</f>
        <v>0</v>
      </c>
      <c r="O17" s="157" t="e">
        <f>Kt*EXP(-0.5*Tabella34[[#This Row],[x_t]]^2)/(sigma_t*SQRTPI(2)*(Tabella34[[#This Row],[Day]]-D_bk))</f>
        <v>#NUM!</v>
      </c>
      <c r="P17" s="199" t="e">
        <f>Tabella34[[#This Row],[Spain fitted velocity]]/Tabella34[[#This Row],[Spain cumul. Fit]]</f>
        <v>#DIV/0!</v>
      </c>
      <c r="Q17" s="262" t="e">
        <f>(LN(Tabella34[[#This Row],[Day]]-pt)-mu_t)/sigma_t</f>
        <v>#NUM!</v>
      </c>
      <c r="R17" s="262" t="e">
        <f>EXP(mu_t+sigma_t*Tabella34[[#This Row],[x_t_alpha©+plus]])-(Tabella34[[#This Row],[Day]]-pt)</f>
        <v>#DIV/0!</v>
      </c>
      <c r="S17" s="262" t="e">
        <f>EXP(mu_t+sigma_t*Tabella34[[#This Row],[x_t_alpha©-minus]])-(Tabella34[[#This Row],[Day]]-pt)</f>
        <v>#DIV/0!</v>
      </c>
      <c r="T17" s="262" t="e">
        <f>-sigma_t+SQRT(sigma_t^2-2*Tabella34[[#This Row],[c_t]])</f>
        <v>#DIV/0!</v>
      </c>
      <c r="U17" s="262" t="e">
        <f>-sigma_t-SQRT(sigma_t^2-2*Tabella34[[#This Row],[c_t]])</f>
        <v>#DIV/0!</v>
      </c>
      <c r="V17" s="262" t="e">
        <f>mu_t-LN(alpha*Kt/(Tabella34[[#This Row],[Spain fitted velocity]]*sigma_t*SQRTPI(2)))</f>
        <v>#DIV/0!</v>
      </c>
      <c r="W17" s="262" t="e">
        <f>Tabella34[[#This Row],[Spain fitted g.r.]]/Spain_gr_at_lockdown</f>
        <v>#DIV/0!</v>
      </c>
      <c r="X17" s="262" t="e">
        <f>Tabella34[[#This Row],[t_alpha_t+plus]]</f>
        <v>#DIV/0!</v>
      </c>
      <c r="Y17" s="262" t="e">
        <f>Tabella34[[#This Row],[Spain fitted h.t.]]/Spain_ht_at_lockdown</f>
        <v>#DIV/0!</v>
      </c>
      <c r="Z17" s="90">
        <f>IFERROR(-Kf*_xlfn.LOGNORM.DIST((Tabella34[[#This Row],[Day]]-pf),mu_f,sigma_f,FALSE)*(1+(LN((Tabella34[[#This Row],[Day]]-pf))-mu_f)/sigma_f^2)/(Tabella34[[#This Row],[Day]]-pf),0)</f>
        <v>0</v>
      </c>
      <c r="AA17" s="90">
        <f>Tabella34[[#This Row],[Spain acc. fit]]/Spain_acc_at_lockdown</f>
        <v>0</v>
      </c>
      <c r="AB17" s="157">
        <f>Tabella34[[#This Row],[Spain acc. fit]]/y_f_peak</f>
        <v>0</v>
      </c>
      <c r="AC17" s="157">
        <f>Tabella34[[#This Row],[Colonna4]]*NOT(ISBLANK(Tabella34[[#This Row],[Spain daily cases]]))</f>
        <v>0</v>
      </c>
      <c r="AD17" s="157">
        <f>Tabella34[[#This Row],[Spain acc. fit]]*NOT(ISBLANK(Tabella34[[#This Row],[Spain daily cases]]))</f>
        <v>0</v>
      </c>
      <c r="AE17" s="95">
        <f>Tabella34[[#This Row],[Spain acc. fit]]+CIf</f>
        <v>2342.6884176810927</v>
      </c>
      <c r="AF17" s="95">
        <f>MAX(Tabella34[[#This Row],[Spain acc. fit]]-CIf,0)</f>
        <v>0</v>
      </c>
      <c r="AG17" s="155"/>
      <c r="AH17" s="33"/>
      <c r="AI17" s="33"/>
      <c r="AJ17" s="156">
        <f>Tabella34[[#This Row],[Lombardy data]]*NOT(ISBLANK(Tabella34[[#This Row],[Lombardy data]]))</f>
        <v>0</v>
      </c>
      <c r="AK17" s="161">
        <f>Tabella8[[#This Row],[Lombardy fit]]</f>
        <v>0</v>
      </c>
      <c r="AL17" s="157" t="e">
        <f>_xlfn.LOGNORM.INV(alpha*Tabella34[[#This Row],[Lombardy cumul. Fit]]/Kr,mu_r,sigma_r)-(Tabella34[[#This Row],[Day]]-pr)</f>
        <v>#NUM!</v>
      </c>
      <c r="AM17" s="156">
        <f>Tabella34[[#This Row],[Lombardy cumul. Fit]]/Kl</f>
        <v>0</v>
      </c>
      <c r="AN17" s="157">
        <f>IFERROR(Kr*_xlfn.LOGNORM.DIST((Tabella34[[#This Row],[Day]]-pr),mu_r,sigma_r,FALSE),0)</f>
        <v>0</v>
      </c>
      <c r="AO17" s="199" t="e">
        <f>Tabella34[[#This Row],[Lombardy velocity]]/Tabella34[[#This Row],[Lombardy cumul. Fit]]</f>
        <v>#DIV/0!</v>
      </c>
      <c r="AP17" s="254" t="e">
        <f>(LN(Tabella34[[#This Row],[Day]]-pr)-mu_r)/sigma_r</f>
        <v>#NUM!</v>
      </c>
      <c r="AQ17" s="262" t="e">
        <f>EXP(mu_r+sigma_r*Tabella34[[#This Row],[x_r_alpha©+plus]])-(Tabella34[[#This Row],[Day]]-pr)</f>
        <v>#DIV/0!</v>
      </c>
      <c r="AR17" s="262" t="e">
        <f>EXP(mu_r+sigma_r*Tabella34[[#This Row],[x_r_alpha©-minus]])-(Tabella34[[#This Row],[Day]]-pr)</f>
        <v>#DIV/0!</v>
      </c>
      <c r="AS17" s="262" t="e">
        <f>-sigma_r+SQRT(sigma_r^2-2*Tabella34[[#This Row],[c_r]])</f>
        <v>#DIV/0!</v>
      </c>
      <c r="AT17" s="262" t="e">
        <f>-sigma_r-SQRT(sigma_r^2-2*Tabella34[[#This Row],[c_r]])</f>
        <v>#DIV/0!</v>
      </c>
      <c r="AU17" s="262" t="e">
        <f>mu_r-LN(alpha*Kr/(Tabella34[[#This Row],[Lombardy velocity]]*sigma_r*SQRTPI(2)))</f>
        <v>#DIV/0!</v>
      </c>
      <c r="AV17" s="262" t="e">
        <f>Tabella34[[#This Row],[t_alpha_r+plus]]</f>
        <v>#DIV/0!</v>
      </c>
      <c r="AW17" s="90">
        <f>IFERROR(-Kl*_xlfn.LOGNORM.DIST((Tabella34[[#This Row],[Day]]-pl),mu_l,sigma_l,FALSE)*(1+(LN((Tabella34[[#This Row],[Day]]-pl))-mu_l)/sigma_l^2)/(Tabella34[[#This Row],[Day]]-pl),0)</f>
        <v>0</v>
      </c>
      <c r="AX17" s="157">
        <f>Tabella34[[#This Row],[Lombardy acc. fit]]/y_l_peak</f>
        <v>0</v>
      </c>
      <c r="AY17" s="157">
        <f>Tabella34[[#This Row],[Lombardy acc. fit]]*NOT(ISBLANK(Tabella34[[#This Row],[Lombardy data]]))</f>
        <v>0</v>
      </c>
      <c r="AZ17" s="95">
        <f>Tabella34[[#This Row],[Lombardy acc. fit]]+CIl</f>
        <v>2570.3823229164086</v>
      </c>
      <c r="BA17" s="95">
        <f>MAX(Tabella34[[#This Row],[Lombardy acc. fit]]-CIl,0)</f>
        <v>0</v>
      </c>
      <c r="BB17" s="155"/>
      <c r="BC17" s="33"/>
      <c r="BD17" s="33"/>
      <c r="BE17" s="156">
        <f>Tabella34[[#This Row],[rest of Italy data]]*NOT(ISBLANK(Tabella34[[#This Row],[rest of Italy data]]))</f>
        <v>0</v>
      </c>
      <c r="BF17" s="204">
        <f>Tabella8[[#This Row],[rest of Italy fit]]</f>
        <v>0</v>
      </c>
      <c r="BG17" s="157" t="e">
        <f>_xlfn.LOGNORM.INV(alpha*Tabella34[[#This Row],[rest of Italy cumul. Fit]]/Ko,mu_o,sigma_o)-(Tabella34[[#This Row],[Day]]-po)</f>
        <v>#NUM!</v>
      </c>
      <c r="BH17" s="157">
        <f>Tabella34[[#This Row],[rest of Italy cumul. Fit]]/Ka</f>
        <v>0</v>
      </c>
      <c r="BI17" s="157">
        <f>IFERROR(Ko*_xlfn.LOGNORM.DIST((Tabella34[[#This Row],[Day]]-po),mu_o,sigma_o,FALSE),0)</f>
        <v>0</v>
      </c>
      <c r="BJ17" s="199" t="e">
        <f>Tabella34[[#This Row],[rest of Italy velocity]]/Tabella34[[#This Row],[rest of Italy cumul. Fit]]</f>
        <v>#DIV/0!</v>
      </c>
      <c r="BK17" s="254" t="e">
        <f>(LN(Tabella34[[#This Row],[Day]]-po)-mu_o)/sigma_o</f>
        <v>#NUM!</v>
      </c>
      <c r="BL17" s="262" t="e">
        <f>EXP(mu_o+sigma_o*Tabella34[[#This Row],[x_o_alpha©+plus]])-(Tabella34[[#This Row],[Day]]-po)</f>
        <v>#DIV/0!</v>
      </c>
      <c r="BM17" s="262" t="e">
        <f>EXP(mu_o+sigma_o*Tabella34[[#This Row],[x_o_alpha©-minus]])-(Tabella34[[#This Row],[Day]]-po)</f>
        <v>#DIV/0!</v>
      </c>
      <c r="BN17" s="262" t="e">
        <f>-sigma_o+SQRT(sigma_o^2-2*Tabella34[[#This Row],[c_o]])</f>
        <v>#DIV/0!</v>
      </c>
      <c r="BO17" s="262" t="e">
        <f>-sigma_o-SQRT(sigma_o^2-2*Tabella34[[#This Row],[c_o]])</f>
        <v>#DIV/0!</v>
      </c>
      <c r="BP17" s="262" t="e">
        <f>mu_o-LN(alpha*Ko/(Tabella34[[#This Row],[rest of Italy velocity]]*sigma_o*SQRTPI(2)))</f>
        <v>#DIV/0!</v>
      </c>
      <c r="BQ17" s="262" t="e">
        <f>Tabella34[[#This Row],[t_alpha_o+plus]]</f>
        <v>#DIV/0!</v>
      </c>
      <c r="BR17" s="90">
        <f>IFERROR(-Ka*_xlfn.LOGNORM.DIST((Tabella34[[#This Row],[Day]]-pa),mu_a,sigma_a,FALSE)*(1+(LN((Tabella34[[#This Row],[Day]]-pa))-mu_a)/sigma_a^2)/(Tabella34[[#This Row],[Day]]-pa),0)</f>
        <v>0</v>
      </c>
      <c r="BS17" s="157">
        <f>Tabella34[[#This Row],[rest of Italy acc. fit]]/y_a_peak</f>
        <v>0</v>
      </c>
      <c r="BT17" s="156">
        <f>Tabella34[[#This Row],[rest of Italy acc. fit]]*NOT(ISBLANK(Tabella34[[#This Row],[rest of Italy data]]))</f>
        <v>0</v>
      </c>
      <c r="BU17" s="95">
        <f>Tabella34[[#This Row],[rest of Italy acc. fit]]+CIa</f>
        <v>5338.8394351600173</v>
      </c>
      <c r="BV17" s="95">
        <f>MAX(Tabella34[[#This Row],[rest of Italy acc. fit]]-CIa,0)</f>
        <v>0</v>
      </c>
      <c r="BW17" s="1"/>
      <c r="BX17" s="222" t="s">
        <v>21</v>
      </c>
      <c r="BY17" s="223">
        <f>MAX(Tabella34[Colonna4])</f>
        <v>0</v>
      </c>
      <c r="CL17" s="305"/>
    </row>
    <row r="18" spans="2:90" x14ac:dyDescent="0.3">
      <c r="B18" s="281">
        <v>43841</v>
      </c>
      <c r="C18" s="4">
        <v>11</v>
      </c>
      <c r="D18" s="155"/>
      <c r="E18" s="158"/>
      <c r="F18" s="158"/>
      <c r="G18" s="156">
        <f>Tabella34[[#This Row],[Spain daily cases]]*NOT(ISBLANK(Tabella34[[#This Row],[Spain daily cases]]))</f>
        <v>0</v>
      </c>
      <c r="H18" s="157">
        <f>Tabella8[[#This Row],[Spain cum. fit]]</f>
        <v>0</v>
      </c>
      <c r="I18" s="157" t="e">
        <f>_xlfn.LOGNORM.INV(alpha*Tabella34[[#This Row],[Spain cumul. Fit]]/Kt,mu_t,sigma_t)-(Tabella34[[#This Row],[Day]]-pt)</f>
        <v>#NUM!</v>
      </c>
      <c r="J18" s="157" t="e">
        <f>Tabella34[[#This Row],[Spain fitted d.t.]]/Spain_dt_at_lockdown</f>
        <v>#NUM!</v>
      </c>
      <c r="K18" s="157">
        <f>Tabella34[[#This Row],[Spain cumul. Fit]]/Kf</f>
        <v>0</v>
      </c>
      <c r="L18" s="160"/>
      <c r="M18" s="157"/>
      <c r="N18" s="157">
        <f>IFERROR(Kt*_xlfn.LOGNORM.DIST((Tabella34[[#This Row],[Day]]-pt),mu_t,sigma_t,FALSE),0)</f>
        <v>0</v>
      </c>
      <c r="O18" s="157" t="e">
        <f>Kt*EXP(-0.5*Tabella34[[#This Row],[x_t]]^2)/(sigma_t*SQRTPI(2)*(Tabella34[[#This Row],[Day]]-D_bk))</f>
        <v>#NUM!</v>
      </c>
      <c r="P18" s="199" t="e">
        <f>Tabella34[[#This Row],[Spain fitted velocity]]/Tabella34[[#This Row],[Spain cumul. Fit]]</f>
        <v>#DIV/0!</v>
      </c>
      <c r="Q18" s="262" t="e">
        <f>(LN(Tabella34[[#This Row],[Day]]-pt)-mu_t)/sigma_t</f>
        <v>#NUM!</v>
      </c>
      <c r="R18" s="262" t="e">
        <f>EXP(mu_t+sigma_t*Tabella34[[#This Row],[x_t_alpha©+plus]])-(Tabella34[[#This Row],[Day]]-pt)</f>
        <v>#DIV/0!</v>
      </c>
      <c r="S18" s="262" t="e">
        <f>EXP(mu_t+sigma_t*Tabella34[[#This Row],[x_t_alpha©-minus]])-(Tabella34[[#This Row],[Day]]-pt)</f>
        <v>#DIV/0!</v>
      </c>
      <c r="T18" s="262" t="e">
        <f>-sigma_t+SQRT(sigma_t^2-2*Tabella34[[#This Row],[c_t]])</f>
        <v>#DIV/0!</v>
      </c>
      <c r="U18" s="262" t="e">
        <f>-sigma_t-SQRT(sigma_t^2-2*Tabella34[[#This Row],[c_t]])</f>
        <v>#DIV/0!</v>
      </c>
      <c r="V18" s="262" t="e">
        <f>mu_t-LN(alpha*Kt/(Tabella34[[#This Row],[Spain fitted velocity]]*sigma_t*SQRTPI(2)))</f>
        <v>#DIV/0!</v>
      </c>
      <c r="W18" s="262" t="e">
        <f>Tabella34[[#This Row],[Spain fitted g.r.]]/Spain_gr_at_lockdown</f>
        <v>#DIV/0!</v>
      </c>
      <c r="X18" s="262" t="e">
        <f>Tabella34[[#This Row],[t_alpha_t+plus]]</f>
        <v>#DIV/0!</v>
      </c>
      <c r="Y18" s="262" t="e">
        <f>Tabella34[[#This Row],[Spain fitted h.t.]]/Spain_ht_at_lockdown</f>
        <v>#DIV/0!</v>
      </c>
      <c r="Z18" s="90">
        <f>IFERROR(-Kf*_xlfn.LOGNORM.DIST((Tabella34[[#This Row],[Day]]-pf),mu_f,sigma_f,FALSE)*(1+(LN((Tabella34[[#This Row],[Day]]-pf))-mu_f)/sigma_f^2)/(Tabella34[[#This Row],[Day]]-pf),0)</f>
        <v>0</v>
      </c>
      <c r="AA18" s="90">
        <f>Tabella34[[#This Row],[Spain acc. fit]]/Spain_acc_at_lockdown</f>
        <v>0</v>
      </c>
      <c r="AB18" s="157">
        <f>Tabella34[[#This Row],[Spain acc. fit]]/y_f_peak</f>
        <v>0</v>
      </c>
      <c r="AC18" s="157">
        <f>Tabella34[[#This Row],[Colonna4]]*NOT(ISBLANK(Tabella34[[#This Row],[Spain daily cases]]))</f>
        <v>0</v>
      </c>
      <c r="AD18" s="157">
        <f>Tabella34[[#This Row],[Spain acc. fit]]*NOT(ISBLANK(Tabella34[[#This Row],[Spain daily cases]]))</f>
        <v>0</v>
      </c>
      <c r="AE18" s="95">
        <f>Tabella34[[#This Row],[Spain acc. fit]]+CIf</f>
        <v>2342.6884176810927</v>
      </c>
      <c r="AF18" s="95">
        <f>MAX(Tabella34[[#This Row],[Spain acc. fit]]-CIf,0)</f>
        <v>0</v>
      </c>
      <c r="AG18" s="155"/>
      <c r="AH18" s="33"/>
      <c r="AI18" s="33"/>
      <c r="AJ18" s="156">
        <f>Tabella34[[#This Row],[Lombardy data]]*NOT(ISBLANK(Tabella34[[#This Row],[Lombardy data]]))</f>
        <v>0</v>
      </c>
      <c r="AK18" s="161">
        <f>Tabella8[[#This Row],[Lombardy fit]]</f>
        <v>0</v>
      </c>
      <c r="AL18" s="157" t="e">
        <f>_xlfn.LOGNORM.INV(alpha*Tabella34[[#This Row],[Lombardy cumul. Fit]]/Kr,mu_r,sigma_r)-(Tabella34[[#This Row],[Day]]-pr)</f>
        <v>#NUM!</v>
      </c>
      <c r="AM18" s="156">
        <f>Tabella34[[#This Row],[Lombardy cumul. Fit]]/Kl</f>
        <v>0</v>
      </c>
      <c r="AN18" s="157">
        <f>IFERROR(Kr*_xlfn.LOGNORM.DIST((Tabella34[[#This Row],[Day]]-pr),mu_r,sigma_r,FALSE),0)</f>
        <v>0</v>
      </c>
      <c r="AO18" s="199" t="e">
        <f>Tabella34[[#This Row],[Lombardy velocity]]/Tabella34[[#This Row],[Lombardy cumul. Fit]]</f>
        <v>#DIV/0!</v>
      </c>
      <c r="AP18" s="254" t="e">
        <f>(LN(Tabella34[[#This Row],[Day]]-pr)-mu_r)/sigma_r</f>
        <v>#NUM!</v>
      </c>
      <c r="AQ18" s="262" t="e">
        <f>EXP(mu_r+sigma_r*Tabella34[[#This Row],[x_r_alpha©+plus]])-(Tabella34[[#This Row],[Day]]-pr)</f>
        <v>#DIV/0!</v>
      </c>
      <c r="AR18" s="262" t="e">
        <f>EXP(mu_r+sigma_r*Tabella34[[#This Row],[x_r_alpha©-minus]])-(Tabella34[[#This Row],[Day]]-pr)</f>
        <v>#DIV/0!</v>
      </c>
      <c r="AS18" s="262" t="e">
        <f>-sigma_r+SQRT(sigma_r^2-2*Tabella34[[#This Row],[c_r]])</f>
        <v>#DIV/0!</v>
      </c>
      <c r="AT18" s="262" t="e">
        <f>-sigma_r-SQRT(sigma_r^2-2*Tabella34[[#This Row],[c_r]])</f>
        <v>#DIV/0!</v>
      </c>
      <c r="AU18" s="262" t="e">
        <f>mu_r-LN(alpha*Kr/(Tabella34[[#This Row],[Lombardy velocity]]*sigma_r*SQRTPI(2)))</f>
        <v>#DIV/0!</v>
      </c>
      <c r="AV18" s="262" t="e">
        <f>Tabella34[[#This Row],[t_alpha_r+plus]]</f>
        <v>#DIV/0!</v>
      </c>
      <c r="AW18" s="90">
        <f>IFERROR(-Kl*_xlfn.LOGNORM.DIST((Tabella34[[#This Row],[Day]]-pl),mu_l,sigma_l,FALSE)*(1+(LN((Tabella34[[#This Row],[Day]]-pl))-mu_l)/sigma_l^2)/(Tabella34[[#This Row],[Day]]-pl),0)</f>
        <v>0</v>
      </c>
      <c r="AX18" s="157">
        <f>Tabella34[[#This Row],[Lombardy acc. fit]]/y_l_peak</f>
        <v>0</v>
      </c>
      <c r="AY18" s="157">
        <f>Tabella34[[#This Row],[Lombardy acc. fit]]*NOT(ISBLANK(Tabella34[[#This Row],[Lombardy data]]))</f>
        <v>0</v>
      </c>
      <c r="AZ18" s="95">
        <f>Tabella34[[#This Row],[Lombardy acc. fit]]+CIl</f>
        <v>2570.3823229164086</v>
      </c>
      <c r="BA18" s="95">
        <f>MAX(Tabella34[[#This Row],[Lombardy acc. fit]]-CIl,0)</f>
        <v>0</v>
      </c>
      <c r="BB18" s="155"/>
      <c r="BC18" s="33"/>
      <c r="BD18" s="33"/>
      <c r="BE18" s="156">
        <f>Tabella34[[#This Row],[rest of Italy data]]*NOT(ISBLANK(Tabella34[[#This Row],[rest of Italy data]]))</f>
        <v>0</v>
      </c>
      <c r="BF18" s="204">
        <f>Tabella8[[#This Row],[rest of Italy fit]]</f>
        <v>0</v>
      </c>
      <c r="BG18" s="157" t="e">
        <f>_xlfn.LOGNORM.INV(alpha*Tabella34[[#This Row],[rest of Italy cumul. Fit]]/Ko,mu_o,sigma_o)-(Tabella34[[#This Row],[Day]]-po)</f>
        <v>#NUM!</v>
      </c>
      <c r="BH18" s="157">
        <f>Tabella34[[#This Row],[rest of Italy cumul. Fit]]/Ka</f>
        <v>0</v>
      </c>
      <c r="BI18" s="157">
        <f>IFERROR(Ko*_xlfn.LOGNORM.DIST((Tabella34[[#This Row],[Day]]-po),mu_o,sigma_o,FALSE),0)</f>
        <v>0</v>
      </c>
      <c r="BJ18" s="199" t="e">
        <f>Tabella34[[#This Row],[rest of Italy velocity]]/Tabella34[[#This Row],[rest of Italy cumul. Fit]]</f>
        <v>#DIV/0!</v>
      </c>
      <c r="BK18" s="254" t="e">
        <f>(LN(Tabella34[[#This Row],[Day]]-po)-mu_o)/sigma_o</f>
        <v>#NUM!</v>
      </c>
      <c r="BL18" s="262" t="e">
        <f>EXP(mu_o+sigma_o*Tabella34[[#This Row],[x_o_alpha©+plus]])-(Tabella34[[#This Row],[Day]]-po)</f>
        <v>#DIV/0!</v>
      </c>
      <c r="BM18" s="262" t="e">
        <f>EXP(mu_o+sigma_o*Tabella34[[#This Row],[x_o_alpha©-minus]])-(Tabella34[[#This Row],[Day]]-po)</f>
        <v>#DIV/0!</v>
      </c>
      <c r="BN18" s="262" t="e">
        <f>-sigma_o+SQRT(sigma_o^2-2*Tabella34[[#This Row],[c_o]])</f>
        <v>#DIV/0!</v>
      </c>
      <c r="BO18" s="262" t="e">
        <f>-sigma_o-SQRT(sigma_o^2-2*Tabella34[[#This Row],[c_o]])</f>
        <v>#DIV/0!</v>
      </c>
      <c r="BP18" s="262" t="e">
        <f>mu_o-LN(alpha*Ko/(Tabella34[[#This Row],[rest of Italy velocity]]*sigma_o*SQRTPI(2)))</f>
        <v>#DIV/0!</v>
      </c>
      <c r="BQ18" s="262" t="e">
        <f>Tabella34[[#This Row],[t_alpha_o+plus]]</f>
        <v>#DIV/0!</v>
      </c>
      <c r="BR18" s="90">
        <f>IFERROR(-Ka*_xlfn.LOGNORM.DIST((Tabella34[[#This Row],[Day]]-pa),mu_a,sigma_a,FALSE)*(1+(LN((Tabella34[[#This Row],[Day]]-pa))-mu_a)/sigma_a^2)/(Tabella34[[#This Row],[Day]]-pa),0)</f>
        <v>0</v>
      </c>
      <c r="BS18" s="157">
        <f>Tabella34[[#This Row],[rest of Italy acc. fit]]/y_a_peak</f>
        <v>0</v>
      </c>
      <c r="BT18" s="156">
        <f>Tabella34[[#This Row],[rest of Italy acc. fit]]*NOT(ISBLANK(Tabella34[[#This Row],[rest of Italy data]]))</f>
        <v>0</v>
      </c>
      <c r="BU18" s="95">
        <f>Tabella34[[#This Row],[rest of Italy acc. fit]]+CIa</f>
        <v>5338.8394351600173</v>
      </c>
      <c r="BV18" s="95">
        <f>MAX(Tabella34[[#This Row],[rest of Italy acc. fit]]-CIa,0)</f>
        <v>0</v>
      </c>
      <c r="BW18" s="1"/>
      <c r="BX18" s="222" t="s">
        <v>43</v>
      </c>
      <c r="BY18" s="224" t="e">
        <f>_xlfn.XLOOKUP(Peak_w,Tabella34[Colonna4],Tabella34[Date])</f>
        <v>#NAME?</v>
      </c>
      <c r="CL18" s="139" t="e">
        <f>MAX($BY$26)</f>
        <v>#DIV/0!</v>
      </c>
    </row>
    <row r="19" spans="2:90" x14ac:dyDescent="0.3">
      <c r="B19" s="281">
        <v>43842</v>
      </c>
      <c r="C19" s="4">
        <v>12</v>
      </c>
      <c r="D19" s="155"/>
      <c r="E19" s="158"/>
      <c r="F19" s="158"/>
      <c r="G19" s="156">
        <f>Tabella34[[#This Row],[Spain daily cases]]*NOT(ISBLANK(Tabella34[[#This Row],[Spain daily cases]]))</f>
        <v>0</v>
      </c>
      <c r="H19" s="157">
        <f>Tabella8[[#This Row],[Spain cum. fit]]</f>
        <v>0</v>
      </c>
      <c r="I19" s="157" t="e">
        <f>_xlfn.LOGNORM.INV(alpha*Tabella34[[#This Row],[Spain cumul. Fit]]/Kt,mu_t,sigma_t)-(Tabella34[[#This Row],[Day]]-pt)</f>
        <v>#NUM!</v>
      </c>
      <c r="J19" s="157" t="e">
        <f>Tabella34[[#This Row],[Spain fitted d.t.]]/Spain_dt_at_lockdown</f>
        <v>#NUM!</v>
      </c>
      <c r="K19" s="157">
        <f>Tabella34[[#This Row],[Spain cumul. Fit]]/Kf</f>
        <v>0</v>
      </c>
      <c r="L19" s="160"/>
      <c r="M19" s="157"/>
      <c r="N19" s="157">
        <f>IFERROR(Kt*_xlfn.LOGNORM.DIST((Tabella34[[#This Row],[Day]]-pt),mu_t,sigma_t,FALSE),0)</f>
        <v>0</v>
      </c>
      <c r="O19" s="157" t="e">
        <f>Kt*EXP(-0.5*Tabella34[[#This Row],[x_t]]^2)/(sigma_t*SQRTPI(2)*(Tabella34[[#This Row],[Day]]-D_bk))</f>
        <v>#NUM!</v>
      </c>
      <c r="P19" s="199" t="e">
        <f>Tabella34[[#This Row],[Spain fitted velocity]]/Tabella34[[#This Row],[Spain cumul. Fit]]</f>
        <v>#DIV/0!</v>
      </c>
      <c r="Q19" s="262" t="e">
        <f>(LN(Tabella34[[#This Row],[Day]]-pt)-mu_t)/sigma_t</f>
        <v>#NUM!</v>
      </c>
      <c r="R19" s="262" t="e">
        <f>EXP(mu_t+sigma_t*Tabella34[[#This Row],[x_t_alpha©+plus]])-(Tabella34[[#This Row],[Day]]-pt)</f>
        <v>#DIV/0!</v>
      </c>
      <c r="S19" s="262" t="e">
        <f>EXP(mu_t+sigma_t*Tabella34[[#This Row],[x_t_alpha©-minus]])-(Tabella34[[#This Row],[Day]]-pt)</f>
        <v>#DIV/0!</v>
      </c>
      <c r="T19" s="262" t="e">
        <f>-sigma_t+SQRT(sigma_t^2-2*Tabella34[[#This Row],[c_t]])</f>
        <v>#DIV/0!</v>
      </c>
      <c r="U19" s="262" t="e">
        <f>-sigma_t-SQRT(sigma_t^2-2*Tabella34[[#This Row],[c_t]])</f>
        <v>#DIV/0!</v>
      </c>
      <c r="V19" s="262" t="e">
        <f>mu_t-LN(alpha*Kt/(Tabella34[[#This Row],[Spain fitted velocity]]*sigma_t*SQRTPI(2)))</f>
        <v>#DIV/0!</v>
      </c>
      <c r="W19" s="262" t="e">
        <f>Tabella34[[#This Row],[Spain fitted g.r.]]/Spain_gr_at_lockdown</f>
        <v>#DIV/0!</v>
      </c>
      <c r="X19" s="262" t="e">
        <f>Tabella34[[#This Row],[t_alpha_t+plus]]</f>
        <v>#DIV/0!</v>
      </c>
      <c r="Y19" s="262" t="e">
        <f>Tabella34[[#This Row],[Spain fitted h.t.]]/Spain_ht_at_lockdown</f>
        <v>#DIV/0!</v>
      </c>
      <c r="Z19" s="90">
        <f>IFERROR(-Kf*_xlfn.LOGNORM.DIST((Tabella34[[#This Row],[Day]]-pf),mu_f,sigma_f,FALSE)*(1+(LN((Tabella34[[#This Row],[Day]]-pf))-mu_f)/sigma_f^2)/(Tabella34[[#This Row],[Day]]-pf),0)</f>
        <v>0</v>
      </c>
      <c r="AA19" s="90">
        <f>Tabella34[[#This Row],[Spain acc. fit]]/Spain_acc_at_lockdown</f>
        <v>0</v>
      </c>
      <c r="AB19" s="157">
        <f>Tabella34[[#This Row],[Spain acc. fit]]/y_f_peak</f>
        <v>0</v>
      </c>
      <c r="AC19" s="157">
        <f>Tabella34[[#This Row],[Colonna4]]*NOT(ISBLANK(Tabella34[[#This Row],[Spain daily cases]]))</f>
        <v>0</v>
      </c>
      <c r="AD19" s="157">
        <f>Tabella34[[#This Row],[Spain acc. fit]]*NOT(ISBLANK(Tabella34[[#This Row],[Spain daily cases]]))</f>
        <v>0</v>
      </c>
      <c r="AE19" s="95">
        <f>Tabella34[[#This Row],[Spain acc. fit]]+CIf</f>
        <v>2342.6884176810927</v>
      </c>
      <c r="AF19" s="95">
        <f>MAX(Tabella34[[#This Row],[Spain acc. fit]]-CIf,0)</f>
        <v>0</v>
      </c>
      <c r="AG19" s="155"/>
      <c r="AH19" s="33"/>
      <c r="AI19" s="33"/>
      <c r="AJ19" s="156">
        <f>Tabella34[[#This Row],[Lombardy data]]*NOT(ISBLANK(Tabella34[[#This Row],[Lombardy data]]))</f>
        <v>0</v>
      </c>
      <c r="AK19" s="161">
        <f>Tabella8[[#This Row],[Lombardy fit]]</f>
        <v>0</v>
      </c>
      <c r="AL19" s="157" t="e">
        <f>_xlfn.LOGNORM.INV(alpha*Tabella34[[#This Row],[Lombardy cumul. Fit]]/Kr,mu_r,sigma_r)-(Tabella34[[#This Row],[Day]]-pr)</f>
        <v>#NUM!</v>
      </c>
      <c r="AM19" s="156">
        <f>Tabella34[[#This Row],[Lombardy cumul. Fit]]/Kl</f>
        <v>0</v>
      </c>
      <c r="AN19" s="157">
        <f>IFERROR(Kr*_xlfn.LOGNORM.DIST((Tabella34[[#This Row],[Day]]-pr),mu_r,sigma_r,FALSE),0)</f>
        <v>0</v>
      </c>
      <c r="AO19" s="199" t="e">
        <f>Tabella34[[#This Row],[Lombardy velocity]]/Tabella34[[#This Row],[Lombardy cumul. Fit]]</f>
        <v>#DIV/0!</v>
      </c>
      <c r="AP19" s="254" t="e">
        <f>(LN(Tabella34[[#This Row],[Day]]-pr)-mu_r)/sigma_r</f>
        <v>#NUM!</v>
      </c>
      <c r="AQ19" s="262" t="e">
        <f>EXP(mu_r+sigma_r*Tabella34[[#This Row],[x_r_alpha©+plus]])-(Tabella34[[#This Row],[Day]]-pr)</f>
        <v>#DIV/0!</v>
      </c>
      <c r="AR19" s="262" t="e">
        <f>EXP(mu_r+sigma_r*Tabella34[[#This Row],[x_r_alpha©-minus]])-(Tabella34[[#This Row],[Day]]-pr)</f>
        <v>#DIV/0!</v>
      </c>
      <c r="AS19" s="262" t="e">
        <f>-sigma_r+SQRT(sigma_r^2-2*Tabella34[[#This Row],[c_r]])</f>
        <v>#DIV/0!</v>
      </c>
      <c r="AT19" s="262" t="e">
        <f>-sigma_r-SQRT(sigma_r^2-2*Tabella34[[#This Row],[c_r]])</f>
        <v>#DIV/0!</v>
      </c>
      <c r="AU19" s="262" t="e">
        <f>mu_r-LN(alpha*Kr/(Tabella34[[#This Row],[Lombardy velocity]]*sigma_r*SQRTPI(2)))</f>
        <v>#DIV/0!</v>
      </c>
      <c r="AV19" s="262" t="e">
        <f>Tabella34[[#This Row],[t_alpha_r+plus]]</f>
        <v>#DIV/0!</v>
      </c>
      <c r="AW19" s="90">
        <f>IFERROR(-Kl*_xlfn.LOGNORM.DIST((Tabella34[[#This Row],[Day]]-pl),mu_l,sigma_l,FALSE)*(1+(LN((Tabella34[[#This Row],[Day]]-pl))-mu_l)/sigma_l^2)/(Tabella34[[#This Row],[Day]]-pl),0)</f>
        <v>0</v>
      </c>
      <c r="AX19" s="157">
        <f>Tabella34[[#This Row],[Lombardy acc. fit]]/y_l_peak</f>
        <v>0</v>
      </c>
      <c r="AY19" s="157">
        <f>Tabella34[[#This Row],[Lombardy acc. fit]]*NOT(ISBLANK(Tabella34[[#This Row],[Lombardy data]]))</f>
        <v>0</v>
      </c>
      <c r="AZ19" s="95">
        <f>Tabella34[[#This Row],[Lombardy acc. fit]]+CIl</f>
        <v>2570.3823229164086</v>
      </c>
      <c r="BA19" s="95">
        <f>MAX(Tabella34[[#This Row],[Lombardy acc. fit]]-CIl,0)</f>
        <v>0</v>
      </c>
      <c r="BB19" s="155"/>
      <c r="BC19" s="33"/>
      <c r="BD19" s="33"/>
      <c r="BE19" s="156">
        <f>Tabella34[[#This Row],[rest of Italy data]]*NOT(ISBLANK(Tabella34[[#This Row],[rest of Italy data]]))</f>
        <v>0</v>
      </c>
      <c r="BF19" s="204">
        <f>Tabella8[[#This Row],[rest of Italy fit]]</f>
        <v>0</v>
      </c>
      <c r="BG19" s="157" t="e">
        <f>_xlfn.LOGNORM.INV(alpha*Tabella34[[#This Row],[rest of Italy cumul. Fit]]/Ko,mu_o,sigma_o)-(Tabella34[[#This Row],[Day]]-po)</f>
        <v>#NUM!</v>
      </c>
      <c r="BH19" s="157">
        <f>Tabella34[[#This Row],[rest of Italy cumul. Fit]]/Ka</f>
        <v>0</v>
      </c>
      <c r="BI19" s="157">
        <f>IFERROR(Ko*_xlfn.LOGNORM.DIST((Tabella34[[#This Row],[Day]]-po),mu_o,sigma_o,FALSE),0)</f>
        <v>0</v>
      </c>
      <c r="BJ19" s="199" t="e">
        <f>Tabella34[[#This Row],[rest of Italy velocity]]/Tabella34[[#This Row],[rest of Italy cumul. Fit]]</f>
        <v>#DIV/0!</v>
      </c>
      <c r="BK19" s="254" t="e">
        <f>(LN(Tabella34[[#This Row],[Day]]-po)-mu_o)/sigma_o</f>
        <v>#NUM!</v>
      </c>
      <c r="BL19" s="262" t="e">
        <f>EXP(mu_o+sigma_o*Tabella34[[#This Row],[x_o_alpha©+plus]])-(Tabella34[[#This Row],[Day]]-po)</f>
        <v>#DIV/0!</v>
      </c>
      <c r="BM19" s="262" t="e">
        <f>EXP(mu_o+sigma_o*Tabella34[[#This Row],[x_o_alpha©-minus]])-(Tabella34[[#This Row],[Day]]-po)</f>
        <v>#DIV/0!</v>
      </c>
      <c r="BN19" s="262" t="e">
        <f>-sigma_o+SQRT(sigma_o^2-2*Tabella34[[#This Row],[c_o]])</f>
        <v>#DIV/0!</v>
      </c>
      <c r="BO19" s="262" t="e">
        <f>-sigma_o-SQRT(sigma_o^2-2*Tabella34[[#This Row],[c_o]])</f>
        <v>#DIV/0!</v>
      </c>
      <c r="BP19" s="262" t="e">
        <f>mu_o-LN(alpha*Ko/(Tabella34[[#This Row],[rest of Italy velocity]]*sigma_o*SQRTPI(2)))</f>
        <v>#DIV/0!</v>
      </c>
      <c r="BQ19" s="262" t="e">
        <f>Tabella34[[#This Row],[t_alpha_o+plus]]</f>
        <v>#DIV/0!</v>
      </c>
      <c r="BR19" s="90">
        <f>IFERROR(-Ka*_xlfn.LOGNORM.DIST((Tabella34[[#This Row],[Day]]-pa),mu_a,sigma_a,FALSE)*(1+(LN((Tabella34[[#This Row],[Day]]-pa))-mu_a)/sigma_a^2)/(Tabella34[[#This Row],[Day]]-pa),0)</f>
        <v>0</v>
      </c>
      <c r="BS19" s="157">
        <f>Tabella34[[#This Row],[rest of Italy acc. fit]]/y_a_peak</f>
        <v>0</v>
      </c>
      <c r="BT19" s="156">
        <f>Tabella34[[#This Row],[rest of Italy acc. fit]]*NOT(ISBLANK(Tabella34[[#This Row],[rest of Italy data]]))</f>
        <v>0</v>
      </c>
      <c r="BU19" s="95">
        <f>Tabella34[[#This Row],[rest of Italy acc. fit]]+CIa</f>
        <v>5338.8394351600173</v>
      </c>
      <c r="BV19" s="95">
        <f>MAX(Tabella34[[#This Row],[rest of Italy acc. fit]]-CIa,0)</f>
        <v>0</v>
      </c>
      <c r="BW19" s="1"/>
      <c r="BX19" s="225" t="s">
        <v>13</v>
      </c>
      <c r="BY19" s="226" t="s">
        <v>32</v>
      </c>
      <c r="CL19" s="59">
        <f>COUNT($BY$20,$BY$21,$BY$22,$BY$31)</f>
        <v>4</v>
      </c>
    </row>
    <row r="20" spans="2:90" x14ac:dyDescent="0.3">
      <c r="B20" s="281">
        <v>43843</v>
      </c>
      <c r="C20" s="4">
        <v>13</v>
      </c>
      <c r="D20" s="155"/>
      <c r="E20" s="158"/>
      <c r="F20" s="158"/>
      <c r="G20" s="156">
        <f>Tabella34[[#This Row],[Spain daily cases]]*NOT(ISBLANK(Tabella34[[#This Row],[Spain daily cases]]))</f>
        <v>0</v>
      </c>
      <c r="H20" s="157">
        <f>Tabella8[[#This Row],[Spain cum. fit]]</f>
        <v>0</v>
      </c>
      <c r="I20" s="157" t="e">
        <f>_xlfn.LOGNORM.INV(alpha*Tabella34[[#This Row],[Spain cumul. Fit]]/Kt,mu_t,sigma_t)-(Tabella34[[#This Row],[Day]]-pt)</f>
        <v>#NUM!</v>
      </c>
      <c r="J20" s="157" t="e">
        <f>Tabella34[[#This Row],[Spain fitted d.t.]]/Spain_dt_at_lockdown</f>
        <v>#NUM!</v>
      </c>
      <c r="K20" s="157">
        <f>Tabella34[[#This Row],[Spain cumul. Fit]]/Kf</f>
        <v>0</v>
      </c>
      <c r="L20" s="160"/>
      <c r="M20" s="157"/>
      <c r="N20" s="157">
        <f>IFERROR(Kt*_xlfn.LOGNORM.DIST((Tabella34[[#This Row],[Day]]-pt),mu_t,sigma_t,FALSE),0)</f>
        <v>0</v>
      </c>
      <c r="O20" s="157" t="e">
        <f>Kt*EXP(-0.5*Tabella34[[#This Row],[x_t]]^2)/(sigma_t*SQRTPI(2)*(Tabella34[[#This Row],[Day]]-D_bk))</f>
        <v>#NUM!</v>
      </c>
      <c r="P20" s="199" t="e">
        <f>Tabella34[[#This Row],[Spain fitted velocity]]/Tabella34[[#This Row],[Spain cumul. Fit]]</f>
        <v>#DIV/0!</v>
      </c>
      <c r="Q20" s="262" t="e">
        <f>(LN(Tabella34[[#This Row],[Day]]-pt)-mu_t)/sigma_t</f>
        <v>#NUM!</v>
      </c>
      <c r="R20" s="262" t="e">
        <f>EXP(mu_t+sigma_t*Tabella34[[#This Row],[x_t_alpha©+plus]])-(Tabella34[[#This Row],[Day]]-pt)</f>
        <v>#DIV/0!</v>
      </c>
      <c r="S20" s="262" t="e">
        <f>EXP(mu_t+sigma_t*Tabella34[[#This Row],[x_t_alpha©-minus]])-(Tabella34[[#This Row],[Day]]-pt)</f>
        <v>#DIV/0!</v>
      </c>
      <c r="T20" s="262" t="e">
        <f>-sigma_t+SQRT(sigma_t^2-2*Tabella34[[#This Row],[c_t]])</f>
        <v>#DIV/0!</v>
      </c>
      <c r="U20" s="262" t="e">
        <f>-sigma_t-SQRT(sigma_t^2-2*Tabella34[[#This Row],[c_t]])</f>
        <v>#DIV/0!</v>
      </c>
      <c r="V20" s="262" t="e">
        <f>mu_t-LN(alpha*Kt/(Tabella34[[#This Row],[Spain fitted velocity]]*sigma_t*SQRTPI(2)))</f>
        <v>#DIV/0!</v>
      </c>
      <c r="W20" s="262" t="e">
        <f>Tabella34[[#This Row],[Spain fitted g.r.]]/Spain_gr_at_lockdown</f>
        <v>#DIV/0!</v>
      </c>
      <c r="X20" s="262" t="e">
        <f>Tabella34[[#This Row],[t_alpha_t+plus]]</f>
        <v>#DIV/0!</v>
      </c>
      <c r="Y20" s="262" t="e">
        <f>Tabella34[[#This Row],[Spain fitted h.t.]]/Spain_ht_at_lockdown</f>
        <v>#DIV/0!</v>
      </c>
      <c r="Z20" s="90">
        <f>IFERROR(-Kf*_xlfn.LOGNORM.DIST((Tabella34[[#This Row],[Day]]-pf),mu_f,sigma_f,FALSE)*(1+(LN((Tabella34[[#This Row],[Day]]-pf))-mu_f)/sigma_f^2)/(Tabella34[[#This Row],[Day]]-pf),0)</f>
        <v>0</v>
      </c>
      <c r="AA20" s="90">
        <f>Tabella34[[#This Row],[Spain acc. fit]]/Spain_acc_at_lockdown</f>
        <v>0</v>
      </c>
      <c r="AB20" s="157">
        <f>Tabella34[[#This Row],[Spain acc. fit]]/y_f_peak</f>
        <v>0</v>
      </c>
      <c r="AC20" s="157">
        <f>Tabella34[[#This Row],[Colonna4]]*NOT(ISBLANK(Tabella34[[#This Row],[Spain daily cases]]))</f>
        <v>0</v>
      </c>
      <c r="AD20" s="157">
        <f>Tabella34[[#This Row],[Spain acc. fit]]*NOT(ISBLANK(Tabella34[[#This Row],[Spain daily cases]]))</f>
        <v>0</v>
      </c>
      <c r="AE20" s="95">
        <f>Tabella34[[#This Row],[Spain acc. fit]]+CIf</f>
        <v>2342.6884176810927</v>
      </c>
      <c r="AF20" s="95">
        <f>MAX(Tabella34[[#This Row],[Spain acc. fit]]-CIf,0)</f>
        <v>0</v>
      </c>
      <c r="AG20" s="155"/>
      <c r="AH20" s="33"/>
      <c r="AI20" s="33"/>
      <c r="AJ20" s="156">
        <f>Tabella34[[#This Row],[Lombardy data]]*NOT(ISBLANK(Tabella34[[#This Row],[Lombardy data]]))</f>
        <v>0</v>
      </c>
      <c r="AK20" s="161">
        <f>Tabella8[[#This Row],[Lombardy fit]]</f>
        <v>0</v>
      </c>
      <c r="AL20" s="157" t="e">
        <f>_xlfn.LOGNORM.INV(alpha*Tabella34[[#This Row],[Lombardy cumul. Fit]]/Kr,mu_r,sigma_r)-(Tabella34[[#This Row],[Day]]-pr)</f>
        <v>#NUM!</v>
      </c>
      <c r="AM20" s="156">
        <f>Tabella34[[#This Row],[Lombardy cumul. Fit]]/Kl</f>
        <v>0</v>
      </c>
      <c r="AN20" s="157">
        <f>IFERROR(Kr*_xlfn.LOGNORM.DIST((Tabella34[[#This Row],[Day]]-pr),mu_r,sigma_r,FALSE),0)</f>
        <v>0</v>
      </c>
      <c r="AO20" s="199" t="e">
        <f>Tabella34[[#This Row],[Lombardy velocity]]/Tabella34[[#This Row],[Lombardy cumul. Fit]]</f>
        <v>#DIV/0!</v>
      </c>
      <c r="AP20" s="254" t="e">
        <f>(LN(Tabella34[[#This Row],[Day]]-pr)-mu_r)/sigma_r</f>
        <v>#NUM!</v>
      </c>
      <c r="AQ20" s="262" t="e">
        <f>EXP(mu_r+sigma_r*Tabella34[[#This Row],[x_r_alpha©+plus]])-(Tabella34[[#This Row],[Day]]-pr)</f>
        <v>#DIV/0!</v>
      </c>
      <c r="AR20" s="262" t="e">
        <f>EXP(mu_r+sigma_r*Tabella34[[#This Row],[x_r_alpha©-minus]])-(Tabella34[[#This Row],[Day]]-pr)</f>
        <v>#DIV/0!</v>
      </c>
      <c r="AS20" s="262" t="e">
        <f>-sigma_r+SQRT(sigma_r^2-2*Tabella34[[#This Row],[c_r]])</f>
        <v>#DIV/0!</v>
      </c>
      <c r="AT20" s="262" t="e">
        <f>-sigma_r-SQRT(sigma_r^2-2*Tabella34[[#This Row],[c_r]])</f>
        <v>#DIV/0!</v>
      </c>
      <c r="AU20" s="262" t="e">
        <f>mu_r-LN(alpha*Kr/(Tabella34[[#This Row],[Lombardy velocity]]*sigma_r*SQRTPI(2)))</f>
        <v>#DIV/0!</v>
      </c>
      <c r="AV20" s="262" t="e">
        <f>Tabella34[[#This Row],[t_alpha_r+plus]]</f>
        <v>#DIV/0!</v>
      </c>
      <c r="AW20" s="90">
        <f>IFERROR(-Kl*_xlfn.LOGNORM.DIST((Tabella34[[#This Row],[Day]]-pl),mu_l,sigma_l,FALSE)*(1+(LN((Tabella34[[#This Row],[Day]]-pl))-mu_l)/sigma_l^2)/(Tabella34[[#This Row],[Day]]-pl),0)</f>
        <v>0</v>
      </c>
      <c r="AX20" s="157">
        <f>Tabella34[[#This Row],[Lombardy acc. fit]]/y_l_peak</f>
        <v>0</v>
      </c>
      <c r="AY20" s="157">
        <f>Tabella34[[#This Row],[Lombardy acc. fit]]*NOT(ISBLANK(Tabella34[[#This Row],[Lombardy data]]))</f>
        <v>0</v>
      </c>
      <c r="AZ20" s="95">
        <f>Tabella34[[#This Row],[Lombardy acc. fit]]+CIl</f>
        <v>2570.3823229164086</v>
      </c>
      <c r="BA20" s="95">
        <f>MAX(Tabella34[[#This Row],[Lombardy acc. fit]]-CIl,0)</f>
        <v>0</v>
      </c>
      <c r="BB20" s="155"/>
      <c r="BC20" s="33"/>
      <c r="BD20" s="33"/>
      <c r="BE20" s="156">
        <f>Tabella34[[#This Row],[rest of Italy data]]*NOT(ISBLANK(Tabella34[[#This Row],[rest of Italy data]]))</f>
        <v>0</v>
      </c>
      <c r="BF20" s="204">
        <f>Tabella8[[#This Row],[rest of Italy fit]]</f>
        <v>0</v>
      </c>
      <c r="BG20" s="157" t="e">
        <f>_xlfn.LOGNORM.INV(alpha*Tabella34[[#This Row],[rest of Italy cumul. Fit]]/Ko,mu_o,sigma_o)-(Tabella34[[#This Row],[Day]]-po)</f>
        <v>#NUM!</v>
      </c>
      <c r="BH20" s="157">
        <f>Tabella34[[#This Row],[rest of Italy cumul. Fit]]/Ka</f>
        <v>0</v>
      </c>
      <c r="BI20" s="157">
        <f>IFERROR(Ko*_xlfn.LOGNORM.DIST((Tabella34[[#This Row],[Day]]-po),mu_o,sigma_o,FALSE),0)</f>
        <v>0</v>
      </c>
      <c r="BJ20" s="199" t="e">
        <f>Tabella34[[#This Row],[rest of Italy velocity]]/Tabella34[[#This Row],[rest of Italy cumul. Fit]]</f>
        <v>#DIV/0!</v>
      </c>
      <c r="BK20" s="254" t="e">
        <f>(LN(Tabella34[[#This Row],[Day]]-po)-mu_o)/sigma_o</f>
        <v>#NUM!</v>
      </c>
      <c r="BL20" s="262" t="e">
        <f>EXP(mu_o+sigma_o*Tabella34[[#This Row],[x_o_alpha©+plus]])-(Tabella34[[#This Row],[Day]]-po)</f>
        <v>#DIV/0!</v>
      </c>
      <c r="BM20" s="262" t="e">
        <f>EXP(mu_o+sigma_o*Tabella34[[#This Row],[x_o_alpha©-minus]])-(Tabella34[[#This Row],[Day]]-po)</f>
        <v>#DIV/0!</v>
      </c>
      <c r="BN20" s="262" t="e">
        <f>-sigma_o+SQRT(sigma_o^2-2*Tabella34[[#This Row],[c_o]])</f>
        <v>#DIV/0!</v>
      </c>
      <c r="BO20" s="262" t="e">
        <f>-sigma_o-SQRT(sigma_o^2-2*Tabella34[[#This Row],[c_o]])</f>
        <v>#DIV/0!</v>
      </c>
      <c r="BP20" s="262" t="e">
        <f>mu_o-LN(alpha*Ko/(Tabella34[[#This Row],[rest of Italy velocity]]*sigma_o*SQRTPI(2)))</f>
        <v>#DIV/0!</v>
      </c>
      <c r="BQ20" s="262" t="e">
        <f>Tabella34[[#This Row],[t_alpha_o+plus]]</f>
        <v>#DIV/0!</v>
      </c>
      <c r="BR20" s="90">
        <f>IFERROR(-Ka*_xlfn.LOGNORM.DIST((Tabella34[[#This Row],[Day]]-pa),mu_a,sigma_a,FALSE)*(1+(LN((Tabella34[[#This Row],[Day]]-pa))-mu_a)/sigma_a^2)/(Tabella34[[#This Row],[Day]]-pa),0)</f>
        <v>0</v>
      </c>
      <c r="BS20" s="157">
        <f>Tabella34[[#This Row],[rest of Italy acc. fit]]/y_a_peak</f>
        <v>0</v>
      </c>
      <c r="BT20" s="156">
        <f>Tabella34[[#This Row],[rest of Italy acc. fit]]*NOT(ISBLANK(Tabella34[[#This Row],[rest of Italy data]]))</f>
        <v>0</v>
      </c>
      <c r="BU20" s="95">
        <f>Tabella34[[#This Row],[rest of Italy acc. fit]]+CIa</f>
        <v>5338.8394351600173</v>
      </c>
      <c r="BV20" s="95">
        <f>MAX(Tabella34[[#This Row],[rest of Italy acc. fit]]-CIa,0)</f>
        <v>0</v>
      </c>
      <c r="BW20" s="1"/>
      <c r="BX20" s="227" t="s">
        <v>0</v>
      </c>
      <c r="BY20" s="228">
        <f>Kr</f>
        <v>87000</v>
      </c>
      <c r="CL20" s="59" t="b">
        <f>pl&lt;=0</f>
        <v>0</v>
      </c>
    </row>
    <row r="21" spans="2:90" x14ac:dyDescent="0.3">
      <c r="B21" s="281">
        <v>43844</v>
      </c>
      <c r="C21" s="4">
        <v>14</v>
      </c>
      <c r="D21" s="155"/>
      <c r="E21" s="158"/>
      <c r="F21" s="158"/>
      <c r="G21" s="156">
        <f>Tabella34[[#This Row],[Spain daily cases]]*NOT(ISBLANK(Tabella34[[#This Row],[Spain daily cases]]))</f>
        <v>0</v>
      </c>
      <c r="H21" s="157">
        <f>Tabella8[[#This Row],[Spain cum. fit]]</f>
        <v>0</v>
      </c>
      <c r="I21" s="157" t="e">
        <f>_xlfn.LOGNORM.INV(alpha*Tabella34[[#This Row],[Spain cumul. Fit]]/Kt,mu_t,sigma_t)-(Tabella34[[#This Row],[Day]]-pt)</f>
        <v>#NUM!</v>
      </c>
      <c r="J21" s="157" t="e">
        <f>Tabella34[[#This Row],[Spain fitted d.t.]]/Spain_dt_at_lockdown</f>
        <v>#NUM!</v>
      </c>
      <c r="K21" s="157">
        <f>Tabella34[[#This Row],[Spain cumul. Fit]]/Kf</f>
        <v>0</v>
      </c>
      <c r="L21" s="160"/>
      <c r="M21" s="157"/>
      <c r="N21" s="157">
        <f>IFERROR(Kt*_xlfn.LOGNORM.DIST((Tabella34[[#This Row],[Day]]-pt),mu_t,sigma_t,FALSE),0)</f>
        <v>0</v>
      </c>
      <c r="O21" s="157" t="e">
        <f>Kt*EXP(-0.5*Tabella34[[#This Row],[x_t]]^2)/(sigma_t*SQRTPI(2)*(Tabella34[[#This Row],[Day]]-D_bk))</f>
        <v>#NUM!</v>
      </c>
      <c r="P21" s="199" t="e">
        <f>Tabella34[[#This Row],[Spain fitted velocity]]/Tabella34[[#This Row],[Spain cumul. Fit]]</f>
        <v>#DIV/0!</v>
      </c>
      <c r="Q21" s="262" t="e">
        <f>(LN(Tabella34[[#This Row],[Day]]-pt)-mu_t)/sigma_t</f>
        <v>#NUM!</v>
      </c>
      <c r="R21" s="262" t="e">
        <f>EXP(mu_t+sigma_t*Tabella34[[#This Row],[x_t_alpha©+plus]])-(Tabella34[[#This Row],[Day]]-pt)</f>
        <v>#DIV/0!</v>
      </c>
      <c r="S21" s="262" t="e">
        <f>EXP(mu_t+sigma_t*Tabella34[[#This Row],[x_t_alpha©-minus]])-(Tabella34[[#This Row],[Day]]-pt)</f>
        <v>#DIV/0!</v>
      </c>
      <c r="T21" s="262" t="e">
        <f>-sigma_t+SQRT(sigma_t^2-2*Tabella34[[#This Row],[c_t]])</f>
        <v>#DIV/0!</v>
      </c>
      <c r="U21" s="262" t="e">
        <f>-sigma_t-SQRT(sigma_t^2-2*Tabella34[[#This Row],[c_t]])</f>
        <v>#DIV/0!</v>
      </c>
      <c r="V21" s="262" t="e">
        <f>mu_t-LN(alpha*Kt/(Tabella34[[#This Row],[Spain fitted velocity]]*sigma_t*SQRTPI(2)))</f>
        <v>#DIV/0!</v>
      </c>
      <c r="W21" s="262" t="e">
        <f>Tabella34[[#This Row],[Spain fitted g.r.]]/Spain_gr_at_lockdown</f>
        <v>#DIV/0!</v>
      </c>
      <c r="X21" s="262" t="e">
        <f>Tabella34[[#This Row],[t_alpha_t+plus]]</f>
        <v>#DIV/0!</v>
      </c>
      <c r="Y21" s="262" t="e">
        <f>Tabella34[[#This Row],[Spain fitted h.t.]]/Spain_ht_at_lockdown</f>
        <v>#DIV/0!</v>
      </c>
      <c r="Z21" s="90">
        <f>IFERROR(-Kf*_xlfn.LOGNORM.DIST((Tabella34[[#This Row],[Day]]-pf),mu_f,sigma_f,FALSE)*(1+(LN((Tabella34[[#This Row],[Day]]-pf))-mu_f)/sigma_f^2)/(Tabella34[[#This Row],[Day]]-pf),0)</f>
        <v>0</v>
      </c>
      <c r="AA21" s="90">
        <f>Tabella34[[#This Row],[Spain acc. fit]]/Spain_acc_at_lockdown</f>
        <v>0</v>
      </c>
      <c r="AB21" s="157">
        <f>Tabella34[[#This Row],[Spain acc. fit]]/y_f_peak</f>
        <v>0</v>
      </c>
      <c r="AC21" s="157">
        <f>Tabella34[[#This Row],[Colonna4]]*NOT(ISBLANK(Tabella34[[#This Row],[Spain daily cases]]))</f>
        <v>0</v>
      </c>
      <c r="AD21" s="157">
        <f>Tabella34[[#This Row],[Spain acc. fit]]*NOT(ISBLANK(Tabella34[[#This Row],[Spain daily cases]]))</f>
        <v>0</v>
      </c>
      <c r="AE21" s="95">
        <f>Tabella34[[#This Row],[Spain acc. fit]]+CIf</f>
        <v>2342.6884176810927</v>
      </c>
      <c r="AF21" s="95">
        <f>MAX(Tabella34[[#This Row],[Spain acc. fit]]-CIf,0)</f>
        <v>0</v>
      </c>
      <c r="AG21" s="155"/>
      <c r="AH21" s="33"/>
      <c r="AI21" s="33"/>
      <c r="AJ21" s="156">
        <f>Tabella34[[#This Row],[Lombardy data]]*NOT(ISBLANK(Tabella34[[#This Row],[Lombardy data]]))</f>
        <v>0</v>
      </c>
      <c r="AK21" s="161">
        <f>Tabella8[[#This Row],[Lombardy fit]]</f>
        <v>0</v>
      </c>
      <c r="AL21" s="157" t="e">
        <f>_xlfn.LOGNORM.INV(alpha*Tabella34[[#This Row],[Lombardy cumul. Fit]]/Kr,mu_r,sigma_r)-(Tabella34[[#This Row],[Day]]-pr)</f>
        <v>#NUM!</v>
      </c>
      <c r="AM21" s="156">
        <f>Tabella34[[#This Row],[Lombardy cumul. Fit]]/Kl</f>
        <v>0</v>
      </c>
      <c r="AN21" s="157">
        <f>IFERROR(Kr*_xlfn.LOGNORM.DIST((Tabella34[[#This Row],[Day]]-pr),mu_r,sigma_r,FALSE),0)</f>
        <v>0</v>
      </c>
      <c r="AO21" s="199" t="e">
        <f>Tabella34[[#This Row],[Lombardy velocity]]/Tabella34[[#This Row],[Lombardy cumul. Fit]]</f>
        <v>#DIV/0!</v>
      </c>
      <c r="AP21" s="254" t="e">
        <f>(LN(Tabella34[[#This Row],[Day]]-pr)-mu_r)/sigma_r</f>
        <v>#NUM!</v>
      </c>
      <c r="AQ21" s="262" t="e">
        <f>EXP(mu_r+sigma_r*Tabella34[[#This Row],[x_r_alpha©+plus]])-(Tabella34[[#This Row],[Day]]-pr)</f>
        <v>#DIV/0!</v>
      </c>
      <c r="AR21" s="262" t="e">
        <f>EXP(mu_r+sigma_r*Tabella34[[#This Row],[x_r_alpha©-minus]])-(Tabella34[[#This Row],[Day]]-pr)</f>
        <v>#DIV/0!</v>
      </c>
      <c r="AS21" s="262" t="e">
        <f>-sigma_r+SQRT(sigma_r^2-2*Tabella34[[#This Row],[c_r]])</f>
        <v>#DIV/0!</v>
      </c>
      <c r="AT21" s="262" t="e">
        <f>-sigma_r-SQRT(sigma_r^2-2*Tabella34[[#This Row],[c_r]])</f>
        <v>#DIV/0!</v>
      </c>
      <c r="AU21" s="262" t="e">
        <f>mu_r-LN(alpha*Kr/(Tabella34[[#This Row],[Lombardy velocity]]*sigma_r*SQRTPI(2)))</f>
        <v>#DIV/0!</v>
      </c>
      <c r="AV21" s="262" t="e">
        <f>Tabella34[[#This Row],[t_alpha_r+plus]]</f>
        <v>#DIV/0!</v>
      </c>
      <c r="AW21" s="90">
        <f>IFERROR(-Kl*_xlfn.LOGNORM.DIST((Tabella34[[#This Row],[Day]]-pl),mu_l,sigma_l,FALSE)*(1+(LN((Tabella34[[#This Row],[Day]]-pl))-mu_l)/sigma_l^2)/(Tabella34[[#This Row],[Day]]-pl),0)</f>
        <v>0</v>
      </c>
      <c r="AX21" s="157">
        <f>Tabella34[[#This Row],[Lombardy acc. fit]]/y_l_peak</f>
        <v>0</v>
      </c>
      <c r="AY21" s="157">
        <f>Tabella34[[#This Row],[Lombardy acc. fit]]*NOT(ISBLANK(Tabella34[[#This Row],[Lombardy data]]))</f>
        <v>0</v>
      </c>
      <c r="AZ21" s="95">
        <f>Tabella34[[#This Row],[Lombardy acc. fit]]+CIl</f>
        <v>2570.3823229164086</v>
      </c>
      <c r="BA21" s="95">
        <f>MAX(Tabella34[[#This Row],[Lombardy acc. fit]]-CIl,0)</f>
        <v>0</v>
      </c>
      <c r="BB21" s="155"/>
      <c r="BC21" s="33"/>
      <c r="BD21" s="33"/>
      <c r="BE21" s="156">
        <f>Tabella34[[#This Row],[rest of Italy data]]*NOT(ISBLANK(Tabella34[[#This Row],[rest of Italy data]]))</f>
        <v>0</v>
      </c>
      <c r="BF21" s="204">
        <f>Tabella8[[#This Row],[rest of Italy fit]]</f>
        <v>0</v>
      </c>
      <c r="BG21" s="157" t="e">
        <f>_xlfn.LOGNORM.INV(alpha*Tabella34[[#This Row],[rest of Italy cumul. Fit]]/Ko,mu_o,sigma_o)-(Tabella34[[#This Row],[Day]]-po)</f>
        <v>#NUM!</v>
      </c>
      <c r="BH21" s="157">
        <f>Tabella34[[#This Row],[rest of Italy cumul. Fit]]/Ka</f>
        <v>0</v>
      </c>
      <c r="BI21" s="157">
        <f>IFERROR(Ko*_xlfn.LOGNORM.DIST((Tabella34[[#This Row],[Day]]-po),mu_o,sigma_o,FALSE),0)</f>
        <v>0</v>
      </c>
      <c r="BJ21" s="199" t="e">
        <f>Tabella34[[#This Row],[rest of Italy velocity]]/Tabella34[[#This Row],[rest of Italy cumul. Fit]]</f>
        <v>#DIV/0!</v>
      </c>
      <c r="BK21" s="254" t="e">
        <f>(LN(Tabella34[[#This Row],[Day]]-po)-mu_o)/sigma_o</f>
        <v>#NUM!</v>
      </c>
      <c r="BL21" s="262" t="e">
        <f>EXP(mu_o+sigma_o*Tabella34[[#This Row],[x_o_alpha©+plus]])-(Tabella34[[#This Row],[Day]]-po)</f>
        <v>#DIV/0!</v>
      </c>
      <c r="BM21" s="262" t="e">
        <f>EXP(mu_o+sigma_o*Tabella34[[#This Row],[x_o_alpha©-minus]])-(Tabella34[[#This Row],[Day]]-po)</f>
        <v>#DIV/0!</v>
      </c>
      <c r="BN21" s="262" t="e">
        <f>-sigma_o+SQRT(sigma_o^2-2*Tabella34[[#This Row],[c_o]])</f>
        <v>#DIV/0!</v>
      </c>
      <c r="BO21" s="262" t="e">
        <f>-sigma_o-SQRT(sigma_o^2-2*Tabella34[[#This Row],[c_o]])</f>
        <v>#DIV/0!</v>
      </c>
      <c r="BP21" s="262" t="e">
        <f>mu_o-LN(alpha*Ko/(Tabella34[[#This Row],[rest of Italy velocity]]*sigma_o*SQRTPI(2)))</f>
        <v>#DIV/0!</v>
      </c>
      <c r="BQ21" s="262" t="e">
        <f>Tabella34[[#This Row],[t_alpha_o+plus]]</f>
        <v>#DIV/0!</v>
      </c>
      <c r="BR21" s="90">
        <f>IFERROR(-Ka*_xlfn.LOGNORM.DIST((Tabella34[[#This Row],[Day]]-pa),mu_a,sigma_a,FALSE)*(1+(LN((Tabella34[[#This Row],[Day]]-pa))-mu_a)/sigma_a^2)/(Tabella34[[#This Row],[Day]]-pa),0)</f>
        <v>0</v>
      </c>
      <c r="BS21" s="157">
        <f>Tabella34[[#This Row],[rest of Italy acc. fit]]/y_a_peak</f>
        <v>0</v>
      </c>
      <c r="BT21" s="156">
        <f>Tabella34[[#This Row],[rest of Italy acc. fit]]*NOT(ISBLANK(Tabella34[[#This Row],[rest of Italy data]]))</f>
        <v>0</v>
      </c>
      <c r="BU21" s="95">
        <f>Tabella34[[#This Row],[rest of Italy acc. fit]]+CIa</f>
        <v>5338.8394351600173</v>
      </c>
      <c r="BV21" s="95">
        <f>MAX(Tabella34[[#This Row],[rest of Italy acc. fit]]-CIa,0)</f>
        <v>0</v>
      </c>
      <c r="BW21" s="1"/>
      <c r="BX21" s="229" t="s">
        <v>63</v>
      </c>
      <c r="BY21" s="230">
        <f>mu_r</f>
        <v>4.1183177467413179</v>
      </c>
      <c r="CL21" s="59" t="b">
        <f>sigma_l&gt;=0.000001</f>
        <v>1</v>
      </c>
    </row>
    <row r="22" spans="2:90" x14ac:dyDescent="0.3">
      <c r="B22" s="281">
        <v>43845</v>
      </c>
      <c r="C22" s="4">
        <v>15</v>
      </c>
      <c r="D22" s="155"/>
      <c r="E22" s="158"/>
      <c r="F22" s="158"/>
      <c r="G22" s="156">
        <f>Tabella34[[#This Row],[Spain daily cases]]*NOT(ISBLANK(Tabella34[[#This Row],[Spain daily cases]]))</f>
        <v>0</v>
      </c>
      <c r="H22" s="157">
        <f>Tabella8[[#This Row],[Spain cum. fit]]</f>
        <v>0</v>
      </c>
      <c r="I22" s="157" t="e">
        <f>_xlfn.LOGNORM.INV(alpha*Tabella34[[#This Row],[Spain cumul. Fit]]/Kt,mu_t,sigma_t)-(Tabella34[[#This Row],[Day]]-pt)</f>
        <v>#NUM!</v>
      </c>
      <c r="J22" s="157" t="e">
        <f>Tabella34[[#This Row],[Spain fitted d.t.]]/Spain_dt_at_lockdown</f>
        <v>#NUM!</v>
      </c>
      <c r="K22" s="157">
        <f>Tabella34[[#This Row],[Spain cumul. Fit]]/Kf</f>
        <v>0</v>
      </c>
      <c r="L22" s="160"/>
      <c r="M22" s="157"/>
      <c r="N22" s="157">
        <f>IFERROR(Kt*_xlfn.LOGNORM.DIST((Tabella34[[#This Row],[Day]]-pt),mu_t,sigma_t,FALSE),0)</f>
        <v>0</v>
      </c>
      <c r="O22" s="157" t="e">
        <f>Kt*EXP(-0.5*Tabella34[[#This Row],[x_t]]^2)/(sigma_t*SQRTPI(2)*(Tabella34[[#This Row],[Day]]-D_bk))</f>
        <v>#NUM!</v>
      </c>
      <c r="P22" s="199" t="e">
        <f>Tabella34[[#This Row],[Spain fitted velocity]]/Tabella34[[#This Row],[Spain cumul. Fit]]</f>
        <v>#DIV/0!</v>
      </c>
      <c r="Q22" s="262" t="e">
        <f>(LN(Tabella34[[#This Row],[Day]]-pt)-mu_t)/sigma_t</f>
        <v>#NUM!</v>
      </c>
      <c r="R22" s="262" t="e">
        <f>EXP(mu_t+sigma_t*Tabella34[[#This Row],[x_t_alpha©+plus]])-(Tabella34[[#This Row],[Day]]-pt)</f>
        <v>#DIV/0!</v>
      </c>
      <c r="S22" s="262" t="e">
        <f>EXP(mu_t+sigma_t*Tabella34[[#This Row],[x_t_alpha©-minus]])-(Tabella34[[#This Row],[Day]]-pt)</f>
        <v>#DIV/0!</v>
      </c>
      <c r="T22" s="262" t="e">
        <f>-sigma_t+SQRT(sigma_t^2-2*Tabella34[[#This Row],[c_t]])</f>
        <v>#DIV/0!</v>
      </c>
      <c r="U22" s="262" t="e">
        <f>-sigma_t-SQRT(sigma_t^2-2*Tabella34[[#This Row],[c_t]])</f>
        <v>#DIV/0!</v>
      </c>
      <c r="V22" s="262" t="e">
        <f>mu_t-LN(alpha*Kt/(Tabella34[[#This Row],[Spain fitted velocity]]*sigma_t*SQRTPI(2)))</f>
        <v>#DIV/0!</v>
      </c>
      <c r="W22" s="262" t="e">
        <f>Tabella34[[#This Row],[Spain fitted g.r.]]/Spain_gr_at_lockdown</f>
        <v>#DIV/0!</v>
      </c>
      <c r="X22" s="262" t="e">
        <f>Tabella34[[#This Row],[t_alpha_t+plus]]</f>
        <v>#DIV/0!</v>
      </c>
      <c r="Y22" s="262" t="e">
        <f>Tabella34[[#This Row],[Spain fitted h.t.]]/Spain_ht_at_lockdown</f>
        <v>#DIV/0!</v>
      </c>
      <c r="Z22" s="90">
        <f>IFERROR(-Kf*_xlfn.LOGNORM.DIST((Tabella34[[#This Row],[Day]]-pf),mu_f,sigma_f,FALSE)*(1+(LN((Tabella34[[#This Row],[Day]]-pf))-mu_f)/sigma_f^2)/(Tabella34[[#This Row],[Day]]-pf),0)</f>
        <v>0</v>
      </c>
      <c r="AA22" s="90">
        <f>Tabella34[[#This Row],[Spain acc. fit]]/Spain_acc_at_lockdown</f>
        <v>0</v>
      </c>
      <c r="AB22" s="157">
        <f>Tabella34[[#This Row],[Spain acc. fit]]/y_f_peak</f>
        <v>0</v>
      </c>
      <c r="AC22" s="157">
        <f>Tabella34[[#This Row],[Colonna4]]*NOT(ISBLANK(Tabella34[[#This Row],[Spain daily cases]]))</f>
        <v>0</v>
      </c>
      <c r="AD22" s="157">
        <f>Tabella34[[#This Row],[Spain acc. fit]]*NOT(ISBLANK(Tabella34[[#This Row],[Spain daily cases]]))</f>
        <v>0</v>
      </c>
      <c r="AE22" s="95">
        <f>Tabella34[[#This Row],[Spain acc. fit]]+CIf</f>
        <v>2342.6884176810927</v>
      </c>
      <c r="AF22" s="95">
        <f>MAX(Tabella34[[#This Row],[Spain acc. fit]]-CIf,0)</f>
        <v>0</v>
      </c>
      <c r="AG22" s="155"/>
      <c r="AH22" s="33"/>
      <c r="AI22" s="33"/>
      <c r="AJ22" s="156">
        <f>Tabella34[[#This Row],[Lombardy data]]*NOT(ISBLANK(Tabella34[[#This Row],[Lombardy data]]))</f>
        <v>0</v>
      </c>
      <c r="AK22" s="161">
        <f>Tabella8[[#This Row],[Lombardy fit]]</f>
        <v>0</v>
      </c>
      <c r="AL22" s="157" t="e">
        <f>_xlfn.LOGNORM.INV(alpha*Tabella34[[#This Row],[Lombardy cumul. Fit]]/Kr,mu_r,sigma_r)-(Tabella34[[#This Row],[Day]]-pr)</f>
        <v>#NUM!</v>
      </c>
      <c r="AM22" s="156">
        <f>Tabella34[[#This Row],[Lombardy cumul. Fit]]/Kl</f>
        <v>0</v>
      </c>
      <c r="AN22" s="157">
        <f>IFERROR(Kr*_xlfn.LOGNORM.DIST((Tabella34[[#This Row],[Day]]-pr),mu_r,sigma_r,FALSE),0)</f>
        <v>0</v>
      </c>
      <c r="AO22" s="199" t="e">
        <f>Tabella34[[#This Row],[Lombardy velocity]]/Tabella34[[#This Row],[Lombardy cumul. Fit]]</f>
        <v>#DIV/0!</v>
      </c>
      <c r="AP22" s="254" t="e">
        <f>(LN(Tabella34[[#This Row],[Day]]-pr)-mu_r)/sigma_r</f>
        <v>#NUM!</v>
      </c>
      <c r="AQ22" s="262" t="e">
        <f>EXP(mu_r+sigma_r*Tabella34[[#This Row],[x_r_alpha©+plus]])-(Tabella34[[#This Row],[Day]]-pr)</f>
        <v>#DIV/0!</v>
      </c>
      <c r="AR22" s="262" t="e">
        <f>EXP(mu_r+sigma_r*Tabella34[[#This Row],[x_r_alpha©-minus]])-(Tabella34[[#This Row],[Day]]-pr)</f>
        <v>#DIV/0!</v>
      </c>
      <c r="AS22" s="262" t="e">
        <f>-sigma_r+SQRT(sigma_r^2-2*Tabella34[[#This Row],[c_r]])</f>
        <v>#DIV/0!</v>
      </c>
      <c r="AT22" s="262" t="e">
        <f>-sigma_r-SQRT(sigma_r^2-2*Tabella34[[#This Row],[c_r]])</f>
        <v>#DIV/0!</v>
      </c>
      <c r="AU22" s="262" t="e">
        <f>mu_r-LN(alpha*Kr/(Tabella34[[#This Row],[Lombardy velocity]]*sigma_r*SQRTPI(2)))</f>
        <v>#DIV/0!</v>
      </c>
      <c r="AV22" s="262" t="e">
        <f>Tabella34[[#This Row],[t_alpha_r+plus]]</f>
        <v>#DIV/0!</v>
      </c>
      <c r="AW22" s="90">
        <f>IFERROR(-Kl*_xlfn.LOGNORM.DIST((Tabella34[[#This Row],[Day]]-pl),mu_l,sigma_l,FALSE)*(1+(LN((Tabella34[[#This Row],[Day]]-pl))-mu_l)/sigma_l^2)/(Tabella34[[#This Row],[Day]]-pl),0)</f>
        <v>0</v>
      </c>
      <c r="AX22" s="157">
        <f>Tabella34[[#This Row],[Lombardy acc. fit]]/y_l_peak</f>
        <v>0</v>
      </c>
      <c r="AY22" s="157">
        <f>Tabella34[[#This Row],[Lombardy acc. fit]]*NOT(ISBLANK(Tabella34[[#This Row],[Lombardy data]]))</f>
        <v>0</v>
      </c>
      <c r="AZ22" s="95">
        <f>Tabella34[[#This Row],[Lombardy acc. fit]]+CIl</f>
        <v>2570.3823229164086</v>
      </c>
      <c r="BA22" s="95">
        <f>MAX(Tabella34[[#This Row],[Lombardy acc. fit]]-CIl,0)</f>
        <v>0</v>
      </c>
      <c r="BB22" s="155"/>
      <c r="BC22" s="33"/>
      <c r="BD22" s="33"/>
      <c r="BE22" s="156">
        <f>Tabella34[[#This Row],[rest of Italy data]]*NOT(ISBLANK(Tabella34[[#This Row],[rest of Italy data]]))</f>
        <v>0</v>
      </c>
      <c r="BF22" s="204">
        <f>Tabella8[[#This Row],[rest of Italy fit]]</f>
        <v>0</v>
      </c>
      <c r="BG22" s="157" t="e">
        <f>_xlfn.LOGNORM.INV(alpha*Tabella34[[#This Row],[rest of Italy cumul. Fit]]/Ko,mu_o,sigma_o)-(Tabella34[[#This Row],[Day]]-po)</f>
        <v>#NUM!</v>
      </c>
      <c r="BH22" s="157">
        <f>Tabella34[[#This Row],[rest of Italy cumul. Fit]]/Ka</f>
        <v>0</v>
      </c>
      <c r="BI22" s="157">
        <f>IFERROR(Ko*_xlfn.LOGNORM.DIST((Tabella34[[#This Row],[Day]]-po),mu_o,sigma_o,FALSE),0)</f>
        <v>0</v>
      </c>
      <c r="BJ22" s="199" t="e">
        <f>Tabella34[[#This Row],[rest of Italy velocity]]/Tabella34[[#This Row],[rest of Italy cumul. Fit]]</f>
        <v>#DIV/0!</v>
      </c>
      <c r="BK22" s="254" t="e">
        <f>(LN(Tabella34[[#This Row],[Day]]-po)-mu_o)/sigma_o</f>
        <v>#NUM!</v>
      </c>
      <c r="BL22" s="262" t="e">
        <f>EXP(mu_o+sigma_o*Tabella34[[#This Row],[x_o_alpha©+plus]])-(Tabella34[[#This Row],[Day]]-po)</f>
        <v>#DIV/0!</v>
      </c>
      <c r="BM22" s="262" t="e">
        <f>EXP(mu_o+sigma_o*Tabella34[[#This Row],[x_o_alpha©-minus]])-(Tabella34[[#This Row],[Day]]-po)</f>
        <v>#DIV/0!</v>
      </c>
      <c r="BN22" s="262" t="e">
        <f>-sigma_o+SQRT(sigma_o^2-2*Tabella34[[#This Row],[c_o]])</f>
        <v>#DIV/0!</v>
      </c>
      <c r="BO22" s="262" t="e">
        <f>-sigma_o-SQRT(sigma_o^2-2*Tabella34[[#This Row],[c_o]])</f>
        <v>#DIV/0!</v>
      </c>
      <c r="BP22" s="262" t="e">
        <f>mu_o-LN(alpha*Ko/(Tabella34[[#This Row],[rest of Italy velocity]]*sigma_o*SQRTPI(2)))</f>
        <v>#DIV/0!</v>
      </c>
      <c r="BQ22" s="262" t="e">
        <f>Tabella34[[#This Row],[t_alpha_o+plus]]</f>
        <v>#DIV/0!</v>
      </c>
      <c r="BR22" s="90">
        <f>IFERROR(-Ka*_xlfn.LOGNORM.DIST((Tabella34[[#This Row],[Day]]-pa),mu_a,sigma_a,FALSE)*(1+(LN((Tabella34[[#This Row],[Day]]-pa))-mu_a)/sigma_a^2)/(Tabella34[[#This Row],[Day]]-pa),0)</f>
        <v>0</v>
      </c>
      <c r="BS22" s="157">
        <f>Tabella34[[#This Row],[rest of Italy acc. fit]]/y_a_peak</f>
        <v>0</v>
      </c>
      <c r="BT22" s="156">
        <f>Tabella34[[#This Row],[rest of Italy acc. fit]]*NOT(ISBLANK(Tabella34[[#This Row],[rest of Italy data]]))</f>
        <v>0</v>
      </c>
      <c r="BU22" s="95">
        <f>Tabella34[[#This Row],[rest of Italy acc. fit]]+CIa</f>
        <v>5338.8394351600173</v>
      </c>
      <c r="BV22" s="95">
        <f>MAX(Tabella34[[#This Row],[rest of Italy acc. fit]]-CIa,0)</f>
        <v>0</v>
      </c>
      <c r="BW22" s="1"/>
      <c r="BX22" s="227" t="s">
        <v>64</v>
      </c>
      <c r="BY22" s="230">
        <f>sigma_r</f>
        <v>0.3404272985968646</v>
      </c>
      <c r="CL22" s="59">
        <f>{32767;32767;0.000001;0.01;FALSE;FALSE;FALSE;1;2;1;0.0001;TRUE}</f>
        <v>32767</v>
      </c>
    </row>
    <row r="23" spans="2:90" x14ac:dyDescent="0.3">
      <c r="B23" s="281">
        <v>43846</v>
      </c>
      <c r="C23" s="4">
        <v>16</v>
      </c>
      <c r="D23" s="155"/>
      <c r="E23" s="158"/>
      <c r="F23" s="158"/>
      <c r="G23" s="156">
        <f>Tabella34[[#This Row],[Spain daily cases]]*NOT(ISBLANK(Tabella34[[#This Row],[Spain daily cases]]))</f>
        <v>0</v>
      </c>
      <c r="H23" s="157">
        <f>Tabella8[[#This Row],[Spain cum. fit]]</f>
        <v>0</v>
      </c>
      <c r="I23" s="157" t="e">
        <f>_xlfn.LOGNORM.INV(alpha*Tabella34[[#This Row],[Spain cumul. Fit]]/Kt,mu_t,sigma_t)-(Tabella34[[#This Row],[Day]]-pt)</f>
        <v>#NUM!</v>
      </c>
      <c r="J23" s="157" t="e">
        <f>Tabella34[[#This Row],[Spain fitted d.t.]]/Spain_dt_at_lockdown</f>
        <v>#NUM!</v>
      </c>
      <c r="K23" s="157">
        <f>Tabella34[[#This Row],[Spain cumul. Fit]]/Kf</f>
        <v>0</v>
      </c>
      <c r="L23" s="160"/>
      <c r="M23" s="157"/>
      <c r="N23" s="157">
        <f>IFERROR(Kt*_xlfn.LOGNORM.DIST((Tabella34[[#This Row],[Day]]-pt),mu_t,sigma_t,FALSE),0)</f>
        <v>0</v>
      </c>
      <c r="O23" s="157" t="e">
        <f>Kt*EXP(-0.5*Tabella34[[#This Row],[x_t]]^2)/(sigma_t*SQRTPI(2)*(Tabella34[[#This Row],[Day]]-D_bk))</f>
        <v>#NUM!</v>
      </c>
      <c r="P23" s="199" t="e">
        <f>Tabella34[[#This Row],[Spain fitted velocity]]/Tabella34[[#This Row],[Spain cumul. Fit]]</f>
        <v>#DIV/0!</v>
      </c>
      <c r="Q23" s="262" t="e">
        <f>(LN(Tabella34[[#This Row],[Day]]-pt)-mu_t)/sigma_t</f>
        <v>#NUM!</v>
      </c>
      <c r="R23" s="262" t="e">
        <f>EXP(mu_t+sigma_t*Tabella34[[#This Row],[x_t_alpha©+plus]])-(Tabella34[[#This Row],[Day]]-pt)</f>
        <v>#DIV/0!</v>
      </c>
      <c r="S23" s="262" t="e">
        <f>EXP(mu_t+sigma_t*Tabella34[[#This Row],[x_t_alpha©-minus]])-(Tabella34[[#This Row],[Day]]-pt)</f>
        <v>#DIV/0!</v>
      </c>
      <c r="T23" s="262" t="e">
        <f>-sigma_t+SQRT(sigma_t^2-2*Tabella34[[#This Row],[c_t]])</f>
        <v>#DIV/0!</v>
      </c>
      <c r="U23" s="262" t="e">
        <f>-sigma_t-SQRT(sigma_t^2-2*Tabella34[[#This Row],[c_t]])</f>
        <v>#DIV/0!</v>
      </c>
      <c r="V23" s="262" t="e">
        <f>mu_t-LN(alpha*Kt/(Tabella34[[#This Row],[Spain fitted velocity]]*sigma_t*SQRTPI(2)))</f>
        <v>#DIV/0!</v>
      </c>
      <c r="W23" s="262" t="e">
        <f>Tabella34[[#This Row],[Spain fitted g.r.]]/Spain_gr_at_lockdown</f>
        <v>#DIV/0!</v>
      </c>
      <c r="X23" s="262" t="e">
        <f>Tabella34[[#This Row],[t_alpha_t+plus]]</f>
        <v>#DIV/0!</v>
      </c>
      <c r="Y23" s="262" t="e">
        <f>Tabella34[[#This Row],[Spain fitted h.t.]]/Spain_ht_at_lockdown</f>
        <v>#DIV/0!</v>
      </c>
      <c r="Z23" s="90">
        <f>IFERROR(-Kf*_xlfn.LOGNORM.DIST((Tabella34[[#This Row],[Day]]-pf),mu_f,sigma_f,FALSE)*(1+(LN((Tabella34[[#This Row],[Day]]-pf))-mu_f)/sigma_f^2)/(Tabella34[[#This Row],[Day]]-pf),0)</f>
        <v>0</v>
      </c>
      <c r="AA23" s="90">
        <f>Tabella34[[#This Row],[Spain acc. fit]]/Spain_acc_at_lockdown</f>
        <v>0</v>
      </c>
      <c r="AB23" s="157">
        <f>Tabella34[[#This Row],[Spain acc. fit]]/y_f_peak</f>
        <v>0</v>
      </c>
      <c r="AC23" s="157">
        <f>Tabella34[[#This Row],[Colonna4]]*NOT(ISBLANK(Tabella34[[#This Row],[Spain daily cases]]))</f>
        <v>0</v>
      </c>
      <c r="AD23" s="157">
        <f>Tabella34[[#This Row],[Spain acc. fit]]*NOT(ISBLANK(Tabella34[[#This Row],[Spain daily cases]]))</f>
        <v>0</v>
      </c>
      <c r="AE23" s="95">
        <f>Tabella34[[#This Row],[Spain acc. fit]]+CIf</f>
        <v>2342.6884176810927</v>
      </c>
      <c r="AF23" s="95">
        <f>MAX(Tabella34[[#This Row],[Spain acc. fit]]-CIf,0)</f>
        <v>0</v>
      </c>
      <c r="AG23" s="155"/>
      <c r="AH23" s="33"/>
      <c r="AI23" s="33"/>
      <c r="AJ23" s="156">
        <f>Tabella34[[#This Row],[Lombardy data]]*NOT(ISBLANK(Tabella34[[#This Row],[Lombardy data]]))</f>
        <v>0</v>
      </c>
      <c r="AK23" s="161">
        <f>Tabella8[[#This Row],[Lombardy fit]]</f>
        <v>0</v>
      </c>
      <c r="AL23" s="157" t="e">
        <f>_xlfn.LOGNORM.INV(alpha*Tabella34[[#This Row],[Lombardy cumul. Fit]]/Kr,mu_r,sigma_r)-(Tabella34[[#This Row],[Day]]-pr)</f>
        <v>#NUM!</v>
      </c>
      <c r="AM23" s="156">
        <f>Tabella34[[#This Row],[Lombardy cumul. Fit]]/Kl</f>
        <v>0</v>
      </c>
      <c r="AN23" s="157">
        <f>IFERROR(Kr*_xlfn.LOGNORM.DIST((Tabella34[[#This Row],[Day]]-pr),mu_r,sigma_r,FALSE),0)</f>
        <v>0</v>
      </c>
      <c r="AO23" s="199" t="e">
        <f>Tabella34[[#This Row],[Lombardy velocity]]/Tabella34[[#This Row],[Lombardy cumul. Fit]]</f>
        <v>#DIV/0!</v>
      </c>
      <c r="AP23" s="254" t="e">
        <f>(LN(Tabella34[[#This Row],[Day]]-pr)-mu_r)/sigma_r</f>
        <v>#NUM!</v>
      </c>
      <c r="AQ23" s="262" t="e">
        <f>EXP(mu_r+sigma_r*Tabella34[[#This Row],[x_r_alpha©+plus]])-(Tabella34[[#This Row],[Day]]-pr)</f>
        <v>#DIV/0!</v>
      </c>
      <c r="AR23" s="262" t="e">
        <f>EXP(mu_r+sigma_r*Tabella34[[#This Row],[x_r_alpha©-minus]])-(Tabella34[[#This Row],[Day]]-pr)</f>
        <v>#DIV/0!</v>
      </c>
      <c r="AS23" s="262" t="e">
        <f>-sigma_r+SQRT(sigma_r^2-2*Tabella34[[#This Row],[c_r]])</f>
        <v>#DIV/0!</v>
      </c>
      <c r="AT23" s="262" t="e">
        <f>-sigma_r-SQRT(sigma_r^2-2*Tabella34[[#This Row],[c_r]])</f>
        <v>#DIV/0!</v>
      </c>
      <c r="AU23" s="262" t="e">
        <f>mu_r-LN(alpha*Kr/(Tabella34[[#This Row],[Lombardy velocity]]*sigma_r*SQRTPI(2)))</f>
        <v>#DIV/0!</v>
      </c>
      <c r="AV23" s="262" t="e">
        <f>Tabella34[[#This Row],[t_alpha_r+plus]]</f>
        <v>#DIV/0!</v>
      </c>
      <c r="AW23" s="90">
        <f>IFERROR(-Kl*_xlfn.LOGNORM.DIST((Tabella34[[#This Row],[Day]]-pl),mu_l,sigma_l,FALSE)*(1+(LN((Tabella34[[#This Row],[Day]]-pl))-mu_l)/sigma_l^2)/(Tabella34[[#This Row],[Day]]-pl),0)</f>
        <v>0</v>
      </c>
      <c r="AX23" s="157">
        <f>Tabella34[[#This Row],[Lombardy acc. fit]]/y_l_peak</f>
        <v>0</v>
      </c>
      <c r="AY23" s="157">
        <f>Tabella34[[#This Row],[Lombardy acc. fit]]*NOT(ISBLANK(Tabella34[[#This Row],[Lombardy data]]))</f>
        <v>0</v>
      </c>
      <c r="AZ23" s="95">
        <f>Tabella34[[#This Row],[Lombardy acc. fit]]+CIl</f>
        <v>2570.3823229164086</v>
      </c>
      <c r="BA23" s="95">
        <f>MAX(Tabella34[[#This Row],[Lombardy acc. fit]]-CIl,0)</f>
        <v>0</v>
      </c>
      <c r="BB23" s="155"/>
      <c r="BC23" s="33"/>
      <c r="BD23" s="33"/>
      <c r="BE23" s="156">
        <f>Tabella34[[#This Row],[rest of Italy data]]*NOT(ISBLANK(Tabella34[[#This Row],[rest of Italy data]]))</f>
        <v>0</v>
      </c>
      <c r="BF23" s="204">
        <f>Tabella8[[#This Row],[rest of Italy fit]]</f>
        <v>0</v>
      </c>
      <c r="BG23" s="157" t="e">
        <f>_xlfn.LOGNORM.INV(alpha*Tabella34[[#This Row],[rest of Italy cumul. Fit]]/Ko,mu_o,sigma_o)-(Tabella34[[#This Row],[Day]]-po)</f>
        <v>#NUM!</v>
      </c>
      <c r="BH23" s="157">
        <f>Tabella34[[#This Row],[rest of Italy cumul. Fit]]/Ka</f>
        <v>0</v>
      </c>
      <c r="BI23" s="157">
        <f>IFERROR(Ko*_xlfn.LOGNORM.DIST((Tabella34[[#This Row],[Day]]-po),mu_o,sigma_o,FALSE),0)</f>
        <v>0</v>
      </c>
      <c r="BJ23" s="199" t="e">
        <f>Tabella34[[#This Row],[rest of Italy velocity]]/Tabella34[[#This Row],[rest of Italy cumul. Fit]]</f>
        <v>#DIV/0!</v>
      </c>
      <c r="BK23" s="254" t="e">
        <f>(LN(Tabella34[[#This Row],[Day]]-po)-mu_o)/sigma_o</f>
        <v>#NUM!</v>
      </c>
      <c r="BL23" s="262" t="e">
        <f>EXP(mu_o+sigma_o*Tabella34[[#This Row],[x_o_alpha©+plus]])-(Tabella34[[#This Row],[Day]]-po)</f>
        <v>#DIV/0!</v>
      </c>
      <c r="BM23" s="262" t="e">
        <f>EXP(mu_o+sigma_o*Tabella34[[#This Row],[x_o_alpha©-minus]])-(Tabella34[[#This Row],[Day]]-po)</f>
        <v>#DIV/0!</v>
      </c>
      <c r="BN23" s="262" t="e">
        <f>-sigma_o+SQRT(sigma_o^2-2*Tabella34[[#This Row],[c_o]])</f>
        <v>#DIV/0!</v>
      </c>
      <c r="BO23" s="262" t="e">
        <f>-sigma_o-SQRT(sigma_o^2-2*Tabella34[[#This Row],[c_o]])</f>
        <v>#DIV/0!</v>
      </c>
      <c r="BP23" s="262" t="e">
        <f>mu_o-LN(alpha*Ko/(Tabella34[[#This Row],[rest of Italy velocity]]*sigma_o*SQRTPI(2)))</f>
        <v>#DIV/0!</v>
      </c>
      <c r="BQ23" s="262" t="e">
        <f>Tabella34[[#This Row],[t_alpha_o+plus]]</f>
        <v>#DIV/0!</v>
      </c>
      <c r="BR23" s="90">
        <f>IFERROR(-Ka*_xlfn.LOGNORM.DIST((Tabella34[[#This Row],[Day]]-pa),mu_a,sigma_a,FALSE)*(1+(LN((Tabella34[[#This Row],[Day]]-pa))-mu_a)/sigma_a^2)/(Tabella34[[#This Row],[Day]]-pa),0)</f>
        <v>0</v>
      </c>
      <c r="BS23" s="157">
        <f>Tabella34[[#This Row],[rest of Italy acc. fit]]/y_a_peak</f>
        <v>0</v>
      </c>
      <c r="BT23" s="156">
        <f>Tabella34[[#This Row],[rest of Italy acc. fit]]*NOT(ISBLANK(Tabella34[[#This Row],[rest of Italy data]]))</f>
        <v>0</v>
      </c>
      <c r="BU23" s="95">
        <f>Tabella34[[#This Row],[rest of Italy acc. fit]]+CIa</f>
        <v>5338.8394351600173</v>
      </c>
      <c r="BV23" s="95">
        <f>MAX(Tabella34[[#This Row],[rest of Italy acc. fit]]-CIa,0)</f>
        <v>0</v>
      </c>
      <c r="BW23" s="1"/>
      <c r="BX23" s="231" t="s">
        <v>1</v>
      </c>
      <c r="BY23" s="232">
        <f>AVERAGE(Tabella34[Lombardy data])</f>
        <v>0</v>
      </c>
      <c r="CL23" s="59">
        <f>{0;0;1;200;0;FALSE;FALSE;0.075;0;0;FALSE;30}</f>
        <v>0</v>
      </c>
    </row>
    <row r="24" spans="2:90" x14ac:dyDescent="0.3">
      <c r="B24" s="281">
        <v>43847</v>
      </c>
      <c r="C24" s="4">
        <v>17</v>
      </c>
      <c r="D24" s="155"/>
      <c r="E24" s="158"/>
      <c r="F24" s="158"/>
      <c r="G24" s="156">
        <f>Tabella34[[#This Row],[Spain daily cases]]*NOT(ISBLANK(Tabella34[[#This Row],[Spain daily cases]]))</f>
        <v>0</v>
      </c>
      <c r="H24" s="157">
        <f>Tabella8[[#This Row],[Spain cum. fit]]</f>
        <v>0</v>
      </c>
      <c r="I24" s="157" t="e">
        <f>_xlfn.LOGNORM.INV(alpha*Tabella34[[#This Row],[Spain cumul. Fit]]/Kt,mu_t,sigma_t)-(Tabella34[[#This Row],[Day]]-pt)</f>
        <v>#NUM!</v>
      </c>
      <c r="J24" s="157" t="e">
        <f>Tabella34[[#This Row],[Spain fitted d.t.]]/Spain_dt_at_lockdown</f>
        <v>#NUM!</v>
      </c>
      <c r="K24" s="157">
        <f>Tabella34[[#This Row],[Spain cumul. Fit]]/Kf</f>
        <v>0</v>
      </c>
      <c r="L24" s="160"/>
      <c r="M24" s="157"/>
      <c r="N24" s="157">
        <f>IFERROR(Kt*_xlfn.LOGNORM.DIST((Tabella34[[#This Row],[Day]]-pt),mu_t,sigma_t,FALSE),0)</f>
        <v>0</v>
      </c>
      <c r="O24" s="157" t="e">
        <f>Kt*EXP(-0.5*Tabella34[[#This Row],[x_t]]^2)/(sigma_t*SQRTPI(2)*(Tabella34[[#This Row],[Day]]-D_bk))</f>
        <v>#NUM!</v>
      </c>
      <c r="P24" s="199" t="e">
        <f>Tabella34[[#This Row],[Spain fitted velocity]]/Tabella34[[#This Row],[Spain cumul. Fit]]</f>
        <v>#DIV/0!</v>
      </c>
      <c r="Q24" s="262" t="e">
        <f>(LN(Tabella34[[#This Row],[Day]]-pt)-mu_t)/sigma_t</f>
        <v>#NUM!</v>
      </c>
      <c r="R24" s="262" t="e">
        <f>EXP(mu_t+sigma_t*Tabella34[[#This Row],[x_t_alpha©+plus]])-(Tabella34[[#This Row],[Day]]-pt)</f>
        <v>#DIV/0!</v>
      </c>
      <c r="S24" s="262" t="e">
        <f>EXP(mu_t+sigma_t*Tabella34[[#This Row],[x_t_alpha©-minus]])-(Tabella34[[#This Row],[Day]]-pt)</f>
        <v>#DIV/0!</v>
      </c>
      <c r="T24" s="262" t="e">
        <f>-sigma_t+SQRT(sigma_t^2-2*Tabella34[[#This Row],[c_t]])</f>
        <v>#DIV/0!</v>
      </c>
      <c r="U24" s="262" t="e">
        <f>-sigma_t-SQRT(sigma_t^2-2*Tabella34[[#This Row],[c_t]])</f>
        <v>#DIV/0!</v>
      </c>
      <c r="V24" s="262" t="e">
        <f>mu_t-LN(alpha*Kt/(Tabella34[[#This Row],[Spain fitted velocity]]*sigma_t*SQRTPI(2)))</f>
        <v>#DIV/0!</v>
      </c>
      <c r="W24" s="262" t="e">
        <f>Tabella34[[#This Row],[Spain fitted g.r.]]/Spain_gr_at_lockdown</f>
        <v>#DIV/0!</v>
      </c>
      <c r="X24" s="262" t="e">
        <f>Tabella34[[#This Row],[t_alpha_t+plus]]</f>
        <v>#DIV/0!</v>
      </c>
      <c r="Y24" s="262" t="e">
        <f>Tabella34[[#This Row],[Spain fitted h.t.]]/Spain_ht_at_lockdown</f>
        <v>#DIV/0!</v>
      </c>
      <c r="Z24" s="90">
        <f>IFERROR(-Kf*_xlfn.LOGNORM.DIST((Tabella34[[#This Row],[Day]]-pf),mu_f,sigma_f,FALSE)*(1+(LN((Tabella34[[#This Row],[Day]]-pf))-mu_f)/sigma_f^2)/(Tabella34[[#This Row],[Day]]-pf),0)</f>
        <v>0</v>
      </c>
      <c r="AA24" s="90">
        <f>Tabella34[[#This Row],[Spain acc. fit]]/Spain_acc_at_lockdown</f>
        <v>0</v>
      </c>
      <c r="AB24" s="157">
        <f>Tabella34[[#This Row],[Spain acc. fit]]/y_f_peak</f>
        <v>0</v>
      </c>
      <c r="AC24" s="157">
        <f>Tabella34[[#This Row],[Colonna4]]*NOT(ISBLANK(Tabella34[[#This Row],[Spain daily cases]]))</f>
        <v>0</v>
      </c>
      <c r="AD24" s="157">
        <f>Tabella34[[#This Row],[Spain acc. fit]]*NOT(ISBLANK(Tabella34[[#This Row],[Spain daily cases]]))</f>
        <v>0</v>
      </c>
      <c r="AE24" s="95">
        <f>Tabella34[[#This Row],[Spain acc. fit]]+CIf</f>
        <v>2342.6884176810927</v>
      </c>
      <c r="AF24" s="95">
        <f>MAX(Tabella34[[#This Row],[Spain acc. fit]]-CIf,0)</f>
        <v>0</v>
      </c>
      <c r="AG24" s="155"/>
      <c r="AH24" s="33"/>
      <c r="AI24" s="33"/>
      <c r="AJ24" s="156">
        <f>Tabella34[[#This Row],[Lombardy data]]*NOT(ISBLANK(Tabella34[[#This Row],[Lombardy data]]))</f>
        <v>0</v>
      </c>
      <c r="AK24" s="161">
        <f>Tabella8[[#This Row],[Lombardy fit]]</f>
        <v>0</v>
      </c>
      <c r="AL24" s="157" t="e">
        <f>_xlfn.LOGNORM.INV(alpha*Tabella34[[#This Row],[Lombardy cumul. Fit]]/Kr,mu_r,sigma_r)-(Tabella34[[#This Row],[Day]]-pr)</f>
        <v>#NUM!</v>
      </c>
      <c r="AM24" s="156">
        <f>Tabella34[[#This Row],[Lombardy cumul. Fit]]/Kl</f>
        <v>0</v>
      </c>
      <c r="AN24" s="157">
        <f>IFERROR(Kr*_xlfn.LOGNORM.DIST((Tabella34[[#This Row],[Day]]-pr),mu_r,sigma_r,FALSE),0)</f>
        <v>0</v>
      </c>
      <c r="AO24" s="199" t="e">
        <f>Tabella34[[#This Row],[Lombardy velocity]]/Tabella34[[#This Row],[Lombardy cumul. Fit]]</f>
        <v>#DIV/0!</v>
      </c>
      <c r="AP24" s="254" t="e">
        <f>(LN(Tabella34[[#This Row],[Day]]-pr)-mu_r)/sigma_r</f>
        <v>#NUM!</v>
      </c>
      <c r="AQ24" s="262" t="e">
        <f>EXP(mu_r+sigma_r*Tabella34[[#This Row],[x_r_alpha©+plus]])-(Tabella34[[#This Row],[Day]]-pr)</f>
        <v>#DIV/0!</v>
      </c>
      <c r="AR24" s="262" t="e">
        <f>EXP(mu_r+sigma_r*Tabella34[[#This Row],[x_r_alpha©-minus]])-(Tabella34[[#This Row],[Day]]-pr)</f>
        <v>#DIV/0!</v>
      </c>
      <c r="AS24" s="262" t="e">
        <f>-sigma_r+SQRT(sigma_r^2-2*Tabella34[[#This Row],[c_r]])</f>
        <v>#DIV/0!</v>
      </c>
      <c r="AT24" s="262" t="e">
        <f>-sigma_r-SQRT(sigma_r^2-2*Tabella34[[#This Row],[c_r]])</f>
        <v>#DIV/0!</v>
      </c>
      <c r="AU24" s="262" t="e">
        <f>mu_r-LN(alpha*Kr/(Tabella34[[#This Row],[Lombardy velocity]]*sigma_r*SQRTPI(2)))</f>
        <v>#DIV/0!</v>
      </c>
      <c r="AV24" s="262" t="e">
        <f>Tabella34[[#This Row],[t_alpha_r+plus]]</f>
        <v>#DIV/0!</v>
      </c>
      <c r="AW24" s="90">
        <f>IFERROR(-Kl*_xlfn.LOGNORM.DIST((Tabella34[[#This Row],[Day]]-pl),mu_l,sigma_l,FALSE)*(1+(LN((Tabella34[[#This Row],[Day]]-pl))-mu_l)/sigma_l^2)/(Tabella34[[#This Row],[Day]]-pl),0)</f>
        <v>0</v>
      </c>
      <c r="AX24" s="157">
        <f>Tabella34[[#This Row],[Lombardy acc. fit]]/y_l_peak</f>
        <v>0</v>
      </c>
      <c r="AY24" s="157">
        <f>Tabella34[[#This Row],[Lombardy acc. fit]]*NOT(ISBLANK(Tabella34[[#This Row],[Lombardy data]]))</f>
        <v>0</v>
      </c>
      <c r="AZ24" s="95">
        <f>Tabella34[[#This Row],[Lombardy acc. fit]]+CIl</f>
        <v>2570.3823229164086</v>
      </c>
      <c r="BA24" s="95">
        <f>MAX(Tabella34[[#This Row],[Lombardy acc. fit]]-CIl,0)</f>
        <v>0</v>
      </c>
      <c r="BB24" s="155"/>
      <c r="BC24" s="33"/>
      <c r="BD24" s="33"/>
      <c r="BE24" s="156">
        <f>Tabella34[[#This Row],[rest of Italy data]]*NOT(ISBLANK(Tabella34[[#This Row],[rest of Italy data]]))</f>
        <v>0</v>
      </c>
      <c r="BF24" s="204">
        <f>Tabella8[[#This Row],[rest of Italy fit]]</f>
        <v>0</v>
      </c>
      <c r="BG24" s="157" t="e">
        <f>_xlfn.LOGNORM.INV(alpha*Tabella34[[#This Row],[rest of Italy cumul. Fit]]/Ko,mu_o,sigma_o)-(Tabella34[[#This Row],[Day]]-po)</f>
        <v>#NUM!</v>
      </c>
      <c r="BH24" s="157">
        <f>Tabella34[[#This Row],[rest of Italy cumul. Fit]]/Ka</f>
        <v>0</v>
      </c>
      <c r="BI24" s="157">
        <f>IFERROR(Ko*_xlfn.LOGNORM.DIST((Tabella34[[#This Row],[Day]]-po),mu_o,sigma_o,FALSE),0)</f>
        <v>0</v>
      </c>
      <c r="BJ24" s="199" t="e">
        <f>Tabella34[[#This Row],[rest of Italy velocity]]/Tabella34[[#This Row],[rest of Italy cumul. Fit]]</f>
        <v>#DIV/0!</v>
      </c>
      <c r="BK24" s="254" t="e">
        <f>(LN(Tabella34[[#This Row],[Day]]-po)-mu_o)/sigma_o</f>
        <v>#NUM!</v>
      </c>
      <c r="BL24" s="262" t="e">
        <f>EXP(mu_o+sigma_o*Tabella34[[#This Row],[x_o_alpha©+plus]])-(Tabella34[[#This Row],[Day]]-po)</f>
        <v>#DIV/0!</v>
      </c>
      <c r="BM24" s="262" t="e">
        <f>EXP(mu_o+sigma_o*Tabella34[[#This Row],[x_o_alpha©-minus]])-(Tabella34[[#This Row],[Day]]-po)</f>
        <v>#DIV/0!</v>
      </c>
      <c r="BN24" s="262" t="e">
        <f>-sigma_o+SQRT(sigma_o^2-2*Tabella34[[#This Row],[c_o]])</f>
        <v>#DIV/0!</v>
      </c>
      <c r="BO24" s="262" t="e">
        <f>-sigma_o-SQRT(sigma_o^2-2*Tabella34[[#This Row],[c_o]])</f>
        <v>#DIV/0!</v>
      </c>
      <c r="BP24" s="262" t="e">
        <f>mu_o-LN(alpha*Ko/(Tabella34[[#This Row],[rest of Italy velocity]]*sigma_o*SQRTPI(2)))</f>
        <v>#DIV/0!</v>
      </c>
      <c r="BQ24" s="262" t="e">
        <f>Tabella34[[#This Row],[t_alpha_o+plus]]</f>
        <v>#DIV/0!</v>
      </c>
      <c r="BR24" s="90">
        <f>IFERROR(-Ka*_xlfn.LOGNORM.DIST((Tabella34[[#This Row],[Day]]-pa),mu_a,sigma_a,FALSE)*(1+(LN((Tabella34[[#This Row],[Day]]-pa))-mu_a)/sigma_a^2)/(Tabella34[[#This Row],[Day]]-pa),0)</f>
        <v>0</v>
      </c>
      <c r="BS24" s="157">
        <f>Tabella34[[#This Row],[rest of Italy acc. fit]]/y_a_peak</f>
        <v>0</v>
      </c>
      <c r="BT24" s="156">
        <f>Tabella34[[#This Row],[rest of Italy acc. fit]]*NOT(ISBLANK(Tabella34[[#This Row],[rest of Italy data]]))</f>
        <v>0</v>
      </c>
      <c r="BU24" s="95">
        <f>Tabella34[[#This Row],[rest of Italy acc. fit]]+CIa</f>
        <v>5338.8394351600173</v>
      </c>
      <c r="BV24" s="95">
        <f>MAX(Tabella34[[#This Row],[rest of Italy acc. fit]]-CIa,0)</f>
        <v>0</v>
      </c>
      <c r="BW24" s="1"/>
      <c r="BX24" s="231" t="s">
        <v>2</v>
      </c>
      <c r="BY24" s="233">
        <f>COUNT(Tabella34[Lombardy data])-COUNT(BY20:BY22)</f>
        <v>61</v>
      </c>
      <c r="CL24" s="59"/>
    </row>
    <row r="25" spans="2:90" x14ac:dyDescent="0.3">
      <c r="B25" s="281">
        <v>43848</v>
      </c>
      <c r="C25" s="4">
        <v>18</v>
      </c>
      <c r="D25" s="155"/>
      <c r="E25" s="158"/>
      <c r="F25" s="158"/>
      <c r="G25" s="156">
        <f>Tabella34[[#This Row],[Spain daily cases]]*NOT(ISBLANK(Tabella34[[#This Row],[Spain daily cases]]))</f>
        <v>0</v>
      </c>
      <c r="H25" s="157">
        <f>Tabella8[[#This Row],[Spain cum. fit]]</f>
        <v>0</v>
      </c>
      <c r="I25" s="157" t="e">
        <f>_xlfn.LOGNORM.INV(alpha*Tabella34[[#This Row],[Spain cumul. Fit]]/Kt,mu_t,sigma_t)-(Tabella34[[#This Row],[Day]]-pt)</f>
        <v>#NUM!</v>
      </c>
      <c r="J25" s="157" t="e">
        <f>Tabella34[[#This Row],[Spain fitted d.t.]]/Spain_dt_at_lockdown</f>
        <v>#NUM!</v>
      </c>
      <c r="K25" s="157">
        <f>Tabella34[[#This Row],[Spain cumul. Fit]]/Kf</f>
        <v>0</v>
      </c>
      <c r="L25" s="160"/>
      <c r="M25" s="157"/>
      <c r="N25" s="157">
        <f>IFERROR(Kt*_xlfn.LOGNORM.DIST((Tabella34[[#This Row],[Day]]-pt),mu_t,sigma_t,FALSE),0)</f>
        <v>0</v>
      </c>
      <c r="O25" s="157" t="e">
        <f>Kt*EXP(-0.5*Tabella34[[#This Row],[x_t]]^2)/(sigma_t*SQRTPI(2)*(Tabella34[[#This Row],[Day]]-D_bk))</f>
        <v>#NUM!</v>
      </c>
      <c r="P25" s="199" t="e">
        <f>Tabella34[[#This Row],[Spain fitted velocity]]/Tabella34[[#This Row],[Spain cumul. Fit]]</f>
        <v>#DIV/0!</v>
      </c>
      <c r="Q25" s="262" t="e">
        <f>(LN(Tabella34[[#This Row],[Day]]-pt)-mu_t)/sigma_t</f>
        <v>#NUM!</v>
      </c>
      <c r="R25" s="262" t="e">
        <f>EXP(mu_t+sigma_t*Tabella34[[#This Row],[x_t_alpha©+plus]])-(Tabella34[[#This Row],[Day]]-pt)</f>
        <v>#DIV/0!</v>
      </c>
      <c r="S25" s="262" t="e">
        <f>EXP(mu_t+sigma_t*Tabella34[[#This Row],[x_t_alpha©-minus]])-(Tabella34[[#This Row],[Day]]-pt)</f>
        <v>#DIV/0!</v>
      </c>
      <c r="T25" s="262" t="e">
        <f>-sigma_t+SQRT(sigma_t^2-2*Tabella34[[#This Row],[c_t]])</f>
        <v>#DIV/0!</v>
      </c>
      <c r="U25" s="262" t="e">
        <f>-sigma_t-SQRT(sigma_t^2-2*Tabella34[[#This Row],[c_t]])</f>
        <v>#DIV/0!</v>
      </c>
      <c r="V25" s="262" t="e">
        <f>mu_t-LN(alpha*Kt/(Tabella34[[#This Row],[Spain fitted velocity]]*sigma_t*SQRTPI(2)))</f>
        <v>#DIV/0!</v>
      </c>
      <c r="W25" s="262" t="e">
        <f>Tabella34[[#This Row],[Spain fitted g.r.]]/Spain_gr_at_lockdown</f>
        <v>#DIV/0!</v>
      </c>
      <c r="X25" s="262" t="e">
        <f>Tabella34[[#This Row],[t_alpha_t+plus]]</f>
        <v>#DIV/0!</v>
      </c>
      <c r="Y25" s="262" t="e">
        <f>Tabella34[[#This Row],[Spain fitted h.t.]]/Spain_ht_at_lockdown</f>
        <v>#DIV/0!</v>
      </c>
      <c r="Z25" s="90">
        <f>IFERROR(-Kf*_xlfn.LOGNORM.DIST((Tabella34[[#This Row],[Day]]-pf),mu_f,sigma_f,FALSE)*(1+(LN((Tabella34[[#This Row],[Day]]-pf))-mu_f)/sigma_f^2)/(Tabella34[[#This Row],[Day]]-pf),0)</f>
        <v>0</v>
      </c>
      <c r="AA25" s="90">
        <f>Tabella34[[#This Row],[Spain acc. fit]]/Spain_acc_at_lockdown</f>
        <v>0</v>
      </c>
      <c r="AB25" s="157">
        <f>Tabella34[[#This Row],[Spain acc. fit]]/y_f_peak</f>
        <v>0</v>
      </c>
      <c r="AC25" s="157">
        <f>Tabella34[[#This Row],[Colonna4]]*NOT(ISBLANK(Tabella34[[#This Row],[Spain daily cases]]))</f>
        <v>0</v>
      </c>
      <c r="AD25" s="157">
        <f>Tabella34[[#This Row],[Spain acc. fit]]*NOT(ISBLANK(Tabella34[[#This Row],[Spain daily cases]]))</f>
        <v>0</v>
      </c>
      <c r="AE25" s="95">
        <f>Tabella34[[#This Row],[Spain acc. fit]]+CIf</f>
        <v>2342.6884176810927</v>
      </c>
      <c r="AF25" s="95">
        <f>MAX(Tabella34[[#This Row],[Spain acc. fit]]-CIf,0)</f>
        <v>0</v>
      </c>
      <c r="AG25" s="155"/>
      <c r="AH25" s="33"/>
      <c r="AI25" s="33"/>
      <c r="AJ25" s="156">
        <f>Tabella34[[#This Row],[Lombardy data]]*NOT(ISBLANK(Tabella34[[#This Row],[Lombardy data]]))</f>
        <v>0</v>
      </c>
      <c r="AK25" s="161">
        <f>Tabella8[[#This Row],[Lombardy fit]]</f>
        <v>0</v>
      </c>
      <c r="AL25" s="157" t="e">
        <f>_xlfn.LOGNORM.INV(alpha*Tabella34[[#This Row],[Lombardy cumul. Fit]]/Kr,mu_r,sigma_r)-(Tabella34[[#This Row],[Day]]-pr)</f>
        <v>#NUM!</v>
      </c>
      <c r="AM25" s="156">
        <f>Tabella34[[#This Row],[Lombardy cumul. Fit]]/Kl</f>
        <v>0</v>
      </c>
      <c r="AN25" s="157">
        <f>IFERROR(Kr*_xlfn.LOGNORM.DIST((Tabella34[[#This Row],[Day]]-pr),mu_r,sigma_r,FALSE),0)</f>
        <v>0</v>
      </c>
      <c r="AO25" s="199" t="e">
        <f>Tabella34[[#This Row],[Lombardy velocity]]/Tabella34[[#This Row],[Lombardy cumul. Fit]]</f>
        <v>#DIV/0!</v>
      </c>
      <c r="AP25" s="254" t="e">
        <f>(LN(Tabella34[[#This Row],[Day]]-pr)-mu_r)/sigma_r</f>
        <v>#NUM!</v>
      </c>
      <c r="AQ25" s="262" t="e">
        <f>EXP(mu_r+sigma_r*Tabella34[[#This Row],[x_r_alpha©+plus]])-(Tabella34[[#This Row],[Day]]-pr)</f>
        <v>#DIV/0!</v>
      </c>
      <c r="AR25" s="262" t="e">
        <f>EXP(mu_r+sigma_r*Tabella34[[#This Row],[x_r_alpha©-minus]])-(Tabella34[[#This Row],[Day]]-pr)</f>
        <v>#DIV/0!</v>
      </c>
      <c r="AS25" s="262" t="e">
        <f>-sigma_r+SQRT(sigma_r^2-2*Tabella34[[#This Row],[c_r]])</f>
        <v>#DIV/0!</v>
      </c>
      <c r="AT25" s="262" t="e">
        <f>-sigma_r-SQRT(sigma_r^2-2*Tabella34[[#This Row],[c_r]])</f>
        <v>#DIV/0!</v>
      </c>
      <c r="AU25" s="262" t="e">
        <f>mu_r-LN(alpha*Kr/(Tabella34[[#This Row],[Lombardy velocity]]*sigma_r*SQRTPI(2)))</f>
        <v>#DIV/0!</v>
      </c>
      <c r="AV25" s="262" t="e">
        <f>Tabella34[[#This Row],[t_alpha_r+plus]]</f>
        <v>#DIV/0!</v>
      </c>
      <c r="AW25" s="90">
        <f>IFERROR(-Kl*_xlfn.LOGNORM.DIST((Tabella34[[#This Row],[Day]]-pl),mu_l,sigma_l,FALSE)*(1+(LN((Tabella34[[#This Row],[Day]]-pl))-mu_l)/sigma_l^2)/(Tabella34[[#This Row],[Day]]-pl),0)</f>
        <v>0</v>
      </c>
      <c r="AX25" s="157">
        <f>Tabella34[[#This Row],[Lombardy acc. fit]]/y_l_peak</f>
        <v>0</v>
      </c>
      <c r="AY25" s="157">
        <f>Tabella34[[#This Row],[Lombardy acc. fit]]*NOT(ISBLANK(Tabella34[[#This Row],[Lombardy data]]))</f>
        <v>0</v>
      </c>
      <c r="AZ25" s="95">
        <f>Tabella34[[#This Row],[Lombardy acc. fit]]+CIl</f>
        <v>2570.3823229164086</v>
      </c>
      <c r="BA25" s="95">
        <f>MAX(Tabella34[[#This Row],[Lombardy acc. fit]]-CIl,0)</f>
        <v>0</v>
      </c>
      <c r="BB25" s="155"/>
      <c r="BC25" s="33"/>
      <c r="BD25" s="33"/>
      <c r="BE25" s="156">
        <f>Tabella34[[#This Row],[rest of Italy data]]*NOT(ISBLANK(Tabella34[[#This Row],[rest of Italy data]]))</f>
        <v>0</v>
      </c>
      <c r="BF25" s="204">
        <f>Tabella8[[#This Row],[rest of Italy fit]]</f>
        <v>0</v>
      </c>
      <c r="BG25" s="157" t="e">
        <f>_xlfn.LOGNORM.INV(alpha*Tabella34[[#This Row],[rest of Italy cumul. Fit]]/Ko,mu_o,sigma_o)-(Tabella34[[#This Row],[Day]]-po)</f>
        <v>#NUM!</v>
      </c>
      <c r="BH25" s="157">
        <f>Tabella34[[#This Row],[rest of Italy cumul. Fit]]/Ka</f>
        <v>0</v>
      </c>
      <c r="BI25" s="157">
        <f>IFERROR(Ko*_xlfn.LOGNORM.DIST((Tabella34[[#This Row],[Day]]-po),mu_o,sigma_o,FALSE),0)</f>
        <v>0</v>
      </c>
      <c r="BJ25" s="199" t="e">
        <f>Tabella34[[#This Row],[rest of Italy velocity]]/Tabella34[[#This Row],[rest of Italy cumul. Fit]]</f>
        <v>#DIV/0!</v>
      </c>
      <c r="BK25" s="254" t="e">
        <f>(LN(Tabella34[[#This Row],[Day]]-po)-mu_o)/sigma_o</f>
        <v>#NUM!</v>
      </c>
      <c r="BL25" s="262" t="e">
        <f>EXP(mu_o+sigma_o*Tabella34[[#This Row],[x_o_alpha©+plus]])-(Tabella34[[#This Row],[Day]]-po)</f>
        <v>#DIV/0!</v>
      </c>
      <c r="BM25" s="262" t="e">
        <f>EXP(mu_o+sigma_o*Tabella34[[#This Row],[x_o_alpha©-minus]])-(Tabella34[[#This Row],[Day]]-po)</f>
        <v>#DIV/0!</v>
      </c>
      <c r="BN25" s="262" t="e">
        <f>-sigma_o+SQRT(sigma_o^2-2*Tabella34[[#This Row],[c_o]])</f>
        <v>#DIV/0!</v>
      </c>
      <c r="BO25" s="262" t="e">
        <f>-sigma_o-SQRT(sigma_o^2-2*Tabella34[[#This Row],[c_o]])</f>
        <v>#DIV/0!</v>
      </c>
      <c r="BP25" s="262" t="e">
        <f>mu_o-LN(alpha*Ko/(Tabella34[[#This Row],[rest of Italy velocity]]*sigma_o*SQRTPI(2)))</f>
        <v>#DIV/0!</v>
      </c>
      <c r="BQ25" s="262" t="e">
        <f>Tabella34[[#This Row],[t_alpha_o+plus]]</f>
        <v>#DIV/0!</v>
      </c>
      <c r="BR25" s="90">
        <f>IFERROR(-Ka*_xlfn.LOGNORM.DIST((Tabella34[[#This Row],[Day]]-pa),mu_a,sigma_a,FALSE)*(1+(LN((Tabella34[[#This Row],[Day]]-pa))-mu_a)/sigma_a^2)/(Tabella34[[#This Row],[Day]]-pa),0)</f>
        <v>0</v>
      </c>
      <c r="BS25" s="157">
        <f>Tabella34[[#This Row],[rest of Italy acc. fit]]/y_a_peak</f>
        <v>0</v>
      </c>
      <c r="BT25" s="156">
        <f>Tabella34[[#This Row],[rest of Italy acc. fit]]*NOT(ISBLANK(Tabella34[[#This Row],[rest of Italy data]]))</f>
        <v>0</v>
      </c>
      <c r="BU25" s="95">
        <f>Tabella34[[#This Row],[rest of Italy acc. fit]]+CIa</f>
        <v>5338.8394351600173</v>
      </c>
      <c r="BV25" s="95">
        <f>MAX(Tabella34[[#This Row],[rest of Italy acc. fit]]-CIa,0)</f>
        <v>0</v>
      </c>
      <c r="BW25" s="1"/>
      <c r="BX25" s="231" t="s">
        <v>3</v>
      </c>
      <c r="BY25" s="232" cm="1">
        <f t="array" ref="BY25">SQRT(SUM((Tabella34[Colonna3]-Tabella34[Colonna32])^2)/dfl)</f>
        <v>49.166380920887157</v>
      </c>
      <c r="CL25" s="59"/>
    </row>
    <row r="26" spans="2:90" ht="16.2" x14ac:dyDescent="0.3">
      <c r="B26" s="281">
        <v>43849</v>
      </c>
      <c r="C26" s="4">
        <v>19</v>
      </c>
      <c r="D26" s="155"/>
      <c r="E26" s="158"/>
      <c r="F26" s="158"/>
      <c r="G26" s="156">
        <f>Tabella34[[#This Row],[Spain daily cases]]*NOT(ISBLANK(Tabella34[[#This Row],[Spain daily cases]]))</f>
        <v>0</v>
      </c>
      <c r="H26" s="157">
        <f>Tabella8[[#This Row],[Spain cum. fit]]</f>
        <v>0</v>
      </c>
      <c r="I26" s="157" t="e">
        <f>_xlfn.LOGNORM.INV(alpha*Tabella34[[#This Row],[Spain cumul. Fit]]/Kt,mu_t,sigma_t)-(Tabella34[[#This Row],[Day]]-pt)</f>
        <v>#NUM!</v>
      </c>
      <c r="J26" s="157" t="e">
        <f>Tabella34[[#This Row],[Spain fitted d.t.]]/Spain_dt_at_lockdown</f>
        <v>#NUM!</v>
      </c>
      <c r="K26" s="157">
        <f>Tabella34[[#This Row],[Spain cumul. Fit]]/Kf</f>
        <v>0</v>
      </c>
      <c r="L26" s="160"/>
      <c r="M26" s="157"/>
      <c r="N26" s="157">
        <f>IFERROR(Kt*_xlfn.LOGNORM.DIST((Tabella34[[#This Row],[Day]]-pt),mu_t,sigma_t,FALSE),0)</f>
        <v>0</v>
      </c>
      <c r="O26" s="157" t="e">
        <f>Kt*EXP(-0.5*Tabella34[[#This Row],[x_t]]^2)/(sigma_t*SQRTPI(2)*(Tabella34[[#This Row],[Day]]-D_bk))</f>
        <v>#NUM!</v>
      </c>
      <c r="P26" s="199" t="e">
        <f>Tabella34[[#This Row],[Spain fitted velocity]]/Tabella34[[#This Row],[Spain cumul. Fit]]</f>
        <v>#DIV/0!</v>
      </c>
      <c r="Q26" s="262" t="e">
        <f>(LN(Tabella34[[#This Row],[Day]]-pt)-mu_t)/sigma_t</f>
        <v>#NUM!</v>
      </c>
      <c r="R26" s="262" t="e">
        <f>EXP(mu_t+sigma_t*Tabella34[[#This Row],[x_t_alpha©+plus]])-(Tabella34[[#This Row],[Day]]-pt)</f>
        <v>#DIV/0!</v>
      </c>
      <c r="S26" s="262" t="e">
        <f>EXP(mu_t+sigma_t*Tabella34[[#This Row],[x_t_alpha©-minus]])-(Tabella34[[#This Row],[Day]]-pt)</f>
        <v>#DIV/0!</v>
      </c>
      <c r="T26" s="262" t="e">
        <f>-sigma_t+SQRT(sigma_t^2-2*Tabella34[[#This Row],[c_t]])</f>
        <v>#DIV/0!</v>
      </c>
      <c r="U26" s="262" t="e">
        <f>-sigma_t-SQRT(sigma_t^2-2*Tabella34[[#This Row],[c_t]])</f>
        <v>#DIV/0!</v>
      </c>
      <c r="V26" s="262" t="e">
        <f>mu_t-LN(alpha*Kt/(Tabella34[[#This Row],[Spain fitted velocity]]*sigma_t*SQRTPI(2)))</f>
        <v>#DIV/0!</v>
      </c>
      <c r="W26" s="262" t="e">
        <f>Tabella34[[#This Row],[Spain fitted g.r.]]/Spain_gr_at_lockdown</f>
        <v>#DIV/0!</v>
      </c>
      <c r="X26" s="262" t="e">
        <f>Tabella34[[#This Row],[t_alpha_t+plus]]</f>
        <v>#DIV/0!</v>
      </c>
      <c r="Y26" s="262" t="e">
        <f>Tabella34[[#This Row],[Spain fitted h.t.]]/Spain_ht_at_lockdown</f>
        <v>#DIV/0!</v>
      </c>
      <c r="Z26" s="90">
        <f>IFERROR(-Kf*_xlfn.LOGNORM.DIST((Tabella34[[#This Row],[Day]]-pf),mu_f,sigma_f,FALSE)*(1+(LN((Tabella34[[#This Row],[Day]]-pf))-mu_f)/sigma_f^2)/(Tabella34[[#This Row],[Day]]-pf),0)</f>
        <v>0</v>
      </c>
      <c r="AA26" s="90">
        <f>Tabella34[[#This Row],[Spain acc. fit]]/Spain_acc_at_lockdown</f>
        <v>0</v>
      </c>
      <c r="AB26" s="157">
        <f>Tabella34[[#This Row],[Spain acc. fit]]/y_f_peak</f>
        <v>0</v>
      </c>
      <c r="AC26" s="157">
        <f>Tabella34[[#This Row],[Colonna4]]*NOT(ISBLANK(Tabella34[[#This Row],[Spain daily cases]]))</f>
        <v>0</v>
      </c>
      <c r="AD26" s="157">
        <f>Tabella34[[#This Row],[Spain acc. fit]]*NOT(ISBLANK(Tabella34[[#This Row],[Spain daily cases]]))</f>
        <v>0</v>
      </c>
      <c r="AE26" s="95">
        <f>Tabella34[[#This Row],[Spain acc. fit]]+CIf</f>
        <v>2342.6884176810927</v>
      </c>
      <c r="AF26" s="95">
        <f>MAX(Tabella34[[#This Row],[Spain acc. fit]]-CIf,0)</f>
        <v>0</v>
      </c>
      <c r="AG26" s="155"/>
      <c r="AH26" s="33"/>
      <c r="AI26" s="33"/>
      <c r="AJ26" s="156">
        <f>Tabella34[[#This Row],[Lombardy data]]*NOT(ISBLANK(Tabella34[[#This Row],[Lombardy data]]))</f>
        <v>0</v>
      </c>
      <c r="AK26" s="161">
        <f>Tabella8[[#This Row],[Lombardy fit]]</f>
        <v>0</v>
      </c>
      <c r="AL26" s="157" t="e">
        <f>_xlfn.LOGNORM.INV(alpha*Tabella34[[#This Row],[Lombardy cumul. Fit]]/Kr,mu_r,sigma_r)-(Tabella34[[#This Row],[Day]]-pr)</f>
        <v>#NUM!</v>
      </c>
      <c r="AM26" s="156">
        <f>Tabella34[[#This Row],[Lombardy cumul. Fit]]/Kl</f>
        <v>0</v>
      </c>
      <c r="AN26" s="157">
        <f>IFERROR(Kr*_xlfn.LOGNORM.DIST((Tabella34[[#This Row],[Day]]-pr),mu_r,sigma_r,FALSE),0)</f>
        <v>0</v>
      </c>
      <c r="AO26" s="199" t="e">
        <f>Tabella34[[#This Row],[Lombardy velocity]]/Tabella34[[#This Row],[Lombardy cumul. Fit]]</f>
        <v>#DIV/0!</v>
      </c>
      <c r="AP26" s="254" t="e">
        <f>(LN(Tabella34[[#This Row],[Day]]-pr)-mu_r)/sigma_r</f>
        <v>#NUM!</v>
      </c>
      <c r="AQ26" s="262" t="e">
        <f>EXP(mu_r+sigma_r*Tabella34[[#This Row],[x_r_alpha©+plus]])-(Tabella34[[#This Row],[Day]]-pr)</f>
        <v>#DIV/0!</v>
      </c>
      <c r="AR26" s="262" t="e">
        <f>EXP(mu_r+sigma_r*Tabella34[[#This Row],[x_r_alpha©-minus]])-(Tabella34[[#This Row],[Day]]-pr)</f>
        <v>#DIV/0!</v>
      </c>
      <c r="AS26" s="262" t="e">
        <f>-sigma_r+SQRT(sigma_r^2-2*Tabella34[[#This Row],[c_r]])</f>
        <v>#DIV/0!</v>
      </c>
      <c r="AT26" s="262" t="e">
        <f>-sigma_r-SQRT(sigma_r^2-2*Tabella34[[#This Row],[c_r]])</f>
        <v>#DIV/0!</v>
      </c>
      <c r="AU26" s="262" t="e">
        <f>mu_r-LN(alpha*Kr/(Tabella34[[#This Row],[Lombardy velocity]]*sigma_r*SQRTPI(2)))</f>
        <v>#DIV/0!</v>
      </c>
      <c r="AV26" s="262" t="e">
        <f>Tabella34[[#This Row],[t_alpha_r+plus]]</f>
        <v>#DIV/0!</v>
      </c>
      <c r="AW26" s="90">
        <f>IFERROR(-Kl*_xlfn.LOGNORM.DIST((Tabella34[[#This Row],[Day]]-pl),mu_l,sigma_l,FALSE)*(1+(LN((Tabella34[[#This Row],[Day]]-pl))-mu_l)/sigma_l^2)/(Tabella34[[#This Row],[Day]]-pl),0)</f>
        <v>0</v>
      </c>
      <c r="AX26" s="157">
        <f>Tabella34[[#This Row],[Lombardy acc. fit]]/y_l_peak</f>
        <v>0</v>
      </c>
      <c r="AY26" s="157">
        <f>Tabella34[[#This Row],[Lombardy acc. fit]]*NOT(ISBLANK(Tabella34[[#This Row],[Lombardy data]]))</f>
        <v>0</v>
      </c>
      <c r="AZ26" s="95">
        <f>Tabella34[[#This Row],[Lombardy acc. fit]]+CIl</f>
        <v>2570.3823229164086</v>
      </c>
      <c r="BA26" s="95">
        <f>MAX(Tabella34[[#This Row],[Lombardy acc. fit]]-CIl,0)</f>
        <v>0</v>
      </c>
      <c r="BB26" s="155"/>
      <c r="BC26" s="33"/>
      <c r="BD26" s="33"/>
      <c r="BE26" s="156">
        <f>Tabella34[[#This Row],[rest of Italy data]]*NOT(ISBLANK(Tabella34[[#This Row],[rest of Italy data]]))</f>
        <v>0</v>
      </c>
      <c r="BF26" s="204">
        <f>Tabella8[[#This Row],[rest of Italy fit]]</f>
        <v>0</v>
      </c>
      <c r="BG26" s="157" t="e">
        <f>_xlfn.LOGNORM.INV(alpha*Tabella34[[#This Row],[rest of Italy cumul. Fit]]/Ko,mu_o,sigma_o)-(Tabella34[[#This Row],[Day]]-po)</f>
        <v>#NUM!</v>
      </c>
      <c r="BH26" s="157">
        <f>Tabella34[[#This Row],[rest of Italy cumul. Fit]]/Ka</f>
        <v>0</v>
      </c>
      <c r="BI26" s="157">
        <f>IFERROR(Ko*_xlfn.LOGNORM.DIST((Tabella34[[#This Row],[Day]]-po),mu_o,sigma_o,FALSE),0)</f>
        <v>0</v>
      </c>
      <c r="BJ26" s="199" t="e">
        <f>Tabella34[[#This Row],[rest of Italy velocity]]/Tabella34[[#This Row],[rest of Italy cumul. Fit]]</f>
        <v>#DIV/0!</v>
      </c>
      <c r="BK26" s="254" t="e">
        <f>(LN(Tabella34[[#This Row],[Day]]-po)-mu_o)/sigma_o</f>
        <v>#NUM!</v>
      </c>
      <c r="BL26" s="262" t="e">
        <f>EXP(mu_o+sigma_o*Tabella34[[#This Row],[x_o_alpha©+plus]])-(Tabella34[[#This Row],[Day]]-po)</f>
        <v>#DIV/0!</v>
      </c>
      <c r="BM26" s="262" t="e">
        <f>EXP(mu_o+sigma_o*Tabella34[[#This Row],[x_o_alpha©-minus]])-(Tabella34[[#This Row],[Day]]-po)</f>
        <v>#DIV/0!</v>
      </c>
      <c r="BN26" s="262" t="e">
        <f>-sigma_o+SQRT(sigma_o^2-2*Tabella34[[#This Row],[c_o]])</f>
        <v>#DIV/0!</v>
      </c>
      <c r="BO26" s="262" t="e">
        <f>-sigma_o-SQRT(sigma_o^2-2*Tabella34[[#This Row],[c_o]])</f>
        <v>#DIV/0!</v>
      </c>
      <c r="BP26" s="262" t="e">
        <f>mu_o-LN(alpha*Ko/(Tabella34[[#This Row],[rest of Italy velocity]]*sigma_o*SQRTPI(2)))</f>
        <v>#DIV/0!</v>
      </c>
      <c r="BQ26" s="262" t="e">
        <f>Tabella34[[#This Row],[t_alpha_o+plus]]</f>
        <v>#DIV/0!</v>
      </c>
      <c r="BR26" s="90">
        <f>IFERROR(-Ka*_xlfn.LOGNORM.DIST((Tabella34[[#This Row],[Day]]-pa),mu_a,sigma_a,FALSE)*(1+(LN((Tabella34[[#This Row],[Day]]-pa))-mu_a)/sigma_a^2)/(Tabella34[[#This Row],[Day]]-pa),0)</f>
        <v>0</v>
      </c>
      <c r="BS26" s="157">
        <f>Tabella34[[#This Row],[rest of Italy acc. fit]]/y_a_peak</f>
        <v>0</v>
      </c>
      <c r="BT26" s="156">
        <f>Tabella34[[#This Row],[rest of Italy acc. fit]]*NOT(ISBLANK(Tabella34[[#This Row],[rest of Italy data]]))</f>
        <v>0</v>
      </c>
      <c r="BU26" s="95">
        <f>Tabella34[[#This Row],[rest of Italy acc. fit]]+CIa</f>
        <v>5338.8394351600173</v>
      </c>
      <c r="BV26" s="95">
        <f>MAX(Tabella34[[#This Row],[rest of Italy acc. fit]]-CIa,0)</f>
        <v>0</v>
      </c>
      <c r="BW26" s="1"/>
      <c r="BX26" s="231" t="s">
        <v>4023</v>
      </c>
      <c r="BY26" s="234" t="e" cm="1">
        <f t="array" ref="BY26">1-SUM((Tabella34[Colonna3]-Tabella34[Colonna32])^2)/SUM((Tabella34[Colonna3]-Mean_of_yl)^2)</f>
        <v>#DIV/0!</v>
      </c>
      <c r="CL26" s="59"/>
    </row>
    <row r="27" spans="2:90" ht="15" thickBot="1" x14ac:dyDescent="0.35">
      <c r="B27" s="281">
        <v>43850</v>
      </c>
      <c r="C27" s="4">
        <v>20</v>
      </c>
      <c r="D27" s="155"/>
      <c r="E27" s="158"/>
      <c r="F27" s="158"/>
      <c r="G27" s="156">
        <f>Tabella34[[#This Row],[Spain daily cases]]*NOT(ISBLANK(Tabella34[[#This Row],[Spain daily cases]]))</f>
        <v>0</v>
      </c>
      <c r="H27" s="157">
        <f>Tabella8[[#This Row],[Spain cum. fit]]</f>
        <v>0</v>
      </c>
      <c r="I27" s="157" t="e">
        <f>_xlfn.LOGNORM.INV(alpha*Tabella34[[#This Row],[Spain cumul. Fit]]/Kt,mu_t,sigma_t)-(Tabella34[[#This Row],[Day]]-pt)</f>
        <v>#NUM!</v>
      </c>
      <c r="J27" s="157" t="e">
        <f>Tabella34[[#This Row],[Spain fitted d.t.]]/Spain_dt_at_lockdown</f>
        <v>#NUM!</v>
      </c>
      <c r="K27" s="157">
        <f>Tabella34[[#This Row],[Spain cumul. Fit]]/Kf</f>
        <v>0</v>
      </c>
      <c r="L27" s="160"/>
      <c r="M27" s="157"/>
      <c r="N27" s="157">
        <f>IFERROR(Kt*_xlfn.LOGNORM.DIST((Tabella34[[#This Row],[Day]]-pt),mu_t,sigma_t,FALSE),0)</f>
        <v>0</v>
      </c>
      <c r="O27" s="157" t="e">
        <f>Kt*EXP(-0.5*Tabella34[[#This Row],[x_t]]^2)/(sigma_t*SQRTPI(2)*(Tabella34[[#This Row],[Day]]-D_bk))</f>
        <v>#NUM!</v>
      </c>
      <c r="P27" s="199" t="e">
        <f>Tabella34[[#This Row],[Spain fitted velocity]]/Tabella34[[#This Row],[Spain cumul. Fit]]</f>
        <v>#DIV/0!</v>
      </c>
      <c r="Q27" s="262" t="e">
        <f>(LN(Tabella34[[#This Row],[Day]]-pt)-mu_t)/sigma_t</f>
        <v>#NUM!</v>
      </c>
      <c r="R27" s="262" t="e">
        <f>EXP(mu_t+sigma_t*Tabella34[[#This Row],[x_t_alpha©+plus]])-(Tabella34[[#This Row],[Day]]-pt)</f>
        <v>#DIV/0!</v>
      </c>
      <c r="S27" s="262" t="e">
        <f>EXP(mu_t+sigma_t*Tabella34[[#This Row],[x_t_alpha©-minus]])-(Tabella34[[#This Row],[Day]]-pt)</f>
        <v>#DIV/0!</v>
      </c>
      <c r="T27" s="262" t="e">
        <f>-sigma_t+SQRT(sigma_t^2-2*Tabella34[[#This Row],[c_t]])</f>
        <v>#DIV/0!</v>
      </c>
      <c r="U27" s="262" t="e">
        <f>-sigma_t-SQRT(sigma_t^2-2*Tabella34[[#This Row],[c_t]])</f>
        <v>#DIV/0!</v>
      </c>
      <c r="V27" s="262" t="e">
        <f>mu_t-LN(alpha*Kt/(Tabella34[[#This Row],[Spain fitted velocity]]*sigma_t*SQRTPI(2)))</f>
        <v>#DIV/0!</v>
      </c>
      <c r="W27" s="262" t="e">
        <f>Tabella34[[#This Row],[Spain fitted g.r.]]/Spain_gr_at_lockdown</f>
        <v>#DIV/0!</v>
      </c>
      <c r="X27" s="262" t="e">
        <f>Tabella34[[#This Row],[t_alpha_t+plus]]</f>
        <v>#DIV/0!</v>
      </c>
      <c r="Y27" s="262" t="e">
        <f>Tabella34[[#This Row],[Spain fitted h.t.]]/Spain_ht_at_lockdown</f>
        <v>#DIV/0!</v>
      </c>
      <c r="Z27" s="90">
        <f>IFERROR(-Kf*_xlfn.LOGNORM.DIST((Tabella34[[#This Row],[Day]]-pf),mu_f,sigma_f,FALSE)*(1+(LN((Tabella34[[#This Row],[Day]]-pf))-mu_f)/sigma_f^2)/(Tabella34[[#This Row],[Day]]-pf),0)</f>
        <v>0</v>
      </c>
      <c r="AA27" s="90">
        <f>Tabella34[[#This Row],[Spain acc. fit]]/Spain_acc_at_lockdown</f>
        <v>0</v>
      </c>
      <c r="AB27" s="157">
        <f>Tabella34[[#This Row],[Spain acc. fit]]/y_f_peak</f>
        <v>0</v>
      </c>
      <c r="AC27" s="157">
        <f>Tabella34[[#This Row],[Colonna4]]*NOT(ISBLANK(Tabella34[[#This Row],[Spain daily cases]]))</f>
        <v>0</v>
      </c>
      <c r="AD27" s="157">
        <f>Tabella34[[#This Row],[Spain acc. fit]]*NOT(ISBLANK(Tabella34[[#This Row],[Spain daily cases]]))</f>
        <v>0</v>
      </c>
      <c r="AE27" s="95">
        <f>Tabella34[[#This Row],[Spain acc. fit]]+CIf</f>
        <v>2342.6884176810927</v>
      </c>
      <c r="AF27" s="95">
        <f>MAX(Tabella34[[#This Row],[Spain acc. fit]]-CIf,0)</f>
        <v>0</v>
      </c>
      <c r="AG27" s="155"/>
      <c r="AH27" s="33"/>
      <c r="AI27" s="33"/>
      <c r="AJ27" s="156">
        <f>Tabella34[[#This Row],[Lombardy data]]*NOT(ISBLANK(Tabella34[[#This Row],[Lombardy data]]))</f>
        <v>0</v>
      </c>
      <c r="AK27" s="161">
        <f>Tabella8[[#This Row],[Lombardy fit]]</f>
        <v>0</v>
      </c>
      <c r="AL27" s="157" t="e">
        <f>_xlfn.LOGNORM.INV(alpha*Tabella34[[#This Row],[Lombardy cumul. Fit]]/Kr,mu_r,sigma_r)-(Tabella34[[#This Row],[Day]]-pr)</f>
        <v>#NUM!</v>
      </c>
      <c r="AM27" s="156">
        <f>Tabella34[[#This Row],[Lombardy cumul. Fit]]/Kl</f>
        <v>0</v>
      </c>
      <c r="AN27" s="157">
        <f>IFERROR(Kr*_xlfn.LOGNORM.DIST((Tabella34[[#This Row],[Day]]-pr),mu_r,sigma_r,FALSE),0)</f>
        <v>0</v>
      </c>
      <c r="AO27" s="199" t="e">
        <f>Tabella34[[#This Row],[Lombardy velocity]]/Tabella34[[#This Row],[Lombardy cumul. Fit]]</f>
        <v>#DIV/0!</v>
      </c>
      <c r="AP27" s="254" t="e">
        <f>(LN(Tabella34[[#This Row],[Day]]-pr)-mu_r)/sigma_r</f>
        <v>#NUM!</v>
      </c>
      <c r="AQ27" s="262" t="e">
        <f>EXP(mu_r+sigma_r*Tabella34[[#This Row],[x_r_alpha©+plus]])-(Tabella34[[#This Row],[Day]]-pr)</f>
        <v>#DIV/0!</v>
      </c>
      <c r="AR27" s="262" t="e">
        <f>EXP(mu_r+sigma_r*Tabella34[[#This Row],[x_r_alpha©-minus]])-(Tabella34[[#This Row],[Day]]-pr)</f>
        <v>#DIV/0!</v>
      </c>
      <c r="AS27" s="262" t="e">
        <f>-sigma_r+SQRT(sigma_r^2-2*Tabella34[[#This Row],[c_r]])</f>
        <v>#DIV/0!</v>
      </c>
      <c r="AT27" s="262" t="e">
        <f>-sigma_r-SQRT(sigma_r^2-2*Tabella34[[#This Row],[c_r]])</f>
        <v>#DIV/0!</v>
      </c>
      <c r="AU27" s="262" t="e">
        <f>mu_r-LN(alpha*Kr/(Tabella34[[#This Row],[Lombardy velocity]]*sigma_r*SQRTPI(2)))</f>
        <v>#DIV/0!</v>
      </c>
      <c r="AV27" s="262" t="e">
        <f>Tabella34[[#This Row],[t_alpha_r+plus]]</f>
        <v>#DIV/0!</v>
      </c>
      <c r="AW27" s="90">
        <f>IFERROR(-Kl*_xlfn.LOGNORM.DIST((Tabella34[[#This Row],[Day]]-pl),mu_l,sigma_l,FALSE)*(1+(LN((Tabella34[[#This Row],[Day]]-pl))-mu_l)/sigma_l^2)/(Tabella34[[#This Row],[Day]]-pl),0)</f>
        <v>0</v>
      </c>
      <c r="AX27" s="157">
        <f>Tabella34[[#This Row],[Lombardy acc. fit]]/y_l_peak</f>
        <v>0</v>
      </c>
      <c r="AY27" s="157">
        <f>Tabella34[[#This Row],[Lombardy acc. fit]]*NOT(ISBLANK(Tabella34[[#This Row],[Lombardy data]]))</f>
        <v>0</v>
      </c>
      <c r="AZ27" s="95">
        <f>Tabella34[[#This Row],[Lombardy acc. fit]]+CIl</f>
        <v>2570.3823229164086</v>
      </c>
      <c r="BA27" s="95">
        <f>MAX(Tabella34[[#This Row],[Lombardy acc. fit]]-CIl,0)</f>
        <v>0</v>
      </c>
      <c r="BB27" s="155"/>
      <c r="BC27" s="33"/>
      <c r="BD27" s="33"/>
      <c r="BE27" s="156">
        <f>Tabella34[[#This Row],[rest of Italy data]]*NOT(ISBLANK(Tabella34[[#This Row],[rest of Italy data]]))</f>
        <v>0</v>
      </c>
      <c r="BF27" s="204">
        <f>Tabella8[[#This Row],[rest of Italy fit]]</f>
        <v>0</v>
      </c>
      <c r="BG27" s="157" t="e">
        <f>_xlfn.LOGNORM.INV(alpha*Tabella34[[#This Row],[rest of Italy cumul. Fit]]/Ko,mu_o,sigma_o)-(Tabella34[[#This Row],[Day]]-po)</f>
        <v>#NUM!</v>
      </c>
      <c r="BH27" s="157">
        <f>Tabella34[[#This Row],[rest of Italy cumul. Fit]]/Ka</f>
        <v>0</v>
      </c>
      <c r="BI27" s="157">
        <f>IFERROR(Ko*_xlfn.LOGNORM.DIST((Tabella34[[#This Row],[Day]]-po),mu_o,sigma_o,FALSE),0)</f>
        <v>0</v>
      </c>
      <c r="BJ27" s="199" t="e">
        <f>Tabella34[[#This Row],[rest of Italy velocity]]/Tabella34[[#This Row],[rest of Italy cumul. Fit]]</f>
        <v>#DIV/0!</v>
      </c>
      <c r="BK27" s="254" t="e">
        <f>(LN(Tabella34[[#This Row],[Day]]-po)-mu_o)/sigma_o</f>
        <v>#NUM!</v>
      </c>
      <c r="BL27" s="262" t="e">
        <f>EXP(mu_o+sigma_o*Tabella34[[#This Row],[x_o_alpha©+plus]])-(Tabella34[[#This Row],[Day]]-po)</f>
        <v>#DIV/0!</v>
      </c>
      <c r="BM27" s="262" t="e">
        <f>EXP(mu_o+sigma_o*Tabella34[[#This Row],[x_o_alpha©-minus]])-(Tabella34[[#This Row],[Day]]-po)</f>
        <v>#DIV/0!</v>
      </c>
      <c r="BN27" s="262" t="e">
        <f>-sigma_o+SQRT(sigma_o^2-2*Tabella34[[#This Row],[c_o]])</f>
        <v>#DIV/0!</v>
      </c>
      <c r="BO27" s="262" t="e">
        <f>-sigma_o-SQRT(sigma_o^2-2*Tabella34[[#This Row],[c_o]])</f>
        <v>#DIV/0!</v>
      </c>
      <c r="BP27" s="262" t="e">
        <f>mu_o-LN(alpha*Ko/(Tabella34[[#This Row],[rest of Italy velocity]]*sigma_o*SQRTPI(2)))</f>
        <v>#DIV/0!</v>
      </c>
      <c r="BQ27" s="262" t="e">
        <f>Tabella34[[#This Row],[t_alpha_o+plus]]</f>
        <v>#DIV/0!</v>
      </c>
      <c r="BR27" s="90">
        <f>IFERROR(-Ka*_xlfn.LOGNORM.DIST((Tabella34[[#This Row],[Day]]-pa),mu_a,sigma_a,FALSE)*(1+(LN((Tabella34[[#This Row],[Day]]-pa))-mu_a)/sigma_a^2)/(Tabella34[[#This Row],[Day]]-pa),0)</f>
        <v>0</v>
      </c>
      <c r="BS27" s="157">
        <f>Tabella34[[#This Row],[rest of Italy acc. fit]]/y_a_peak</f>
        <v>0</v>
      </c>
      <c r="BT27" s="156">
        <f>Tabella34[[#This Row],[rest of Italy acc. fit]]*NOT(ISBLANK(Tabella34[[#This Row],[rest of Italy data]]))</f>
        <v>0</v>
      </c>
      <c r="BU27" s="95">
        <f>Tabella34[[#This Row],[rest of Italy acc. fit]]+CIa</f>
        <v>5338.8394351600173</v>
      </c>
      <c r="BV27" s="95">
        <f>MAX(Tabella34[[#This Row],[rest of Italy acc. fit]]-CIa,0)</f>
        <v>0</v>
      </c>
      <c r="BW27" s="1"/>
      <c r="BX27" s="231" t="s">
        <v>5</v>
      </c>
      <c r="BY27" s="234">
        <f>TINV(0.05,dfl)</f>
        <v>1.9996235849949404</v>
      </c>
      <c r="CL27" s="140"/>
    </row>
    <row r="28" spans="2:90" x14ac:dyDescent="0.3">
      <c r="B28" s="281">
        <v>43851</v>
      </c>
      <c r="C28" s="4">
        <v>21</v>
      </c>
      <c r="D28" s="155"/>
      <c r="E28" s="158"/>
      <c r="F28" s="158"/>
      <c r="G28" s="156">
        <f>Tabella34[[#This Row],[Spain daily cases]]*NOT(ISBLANK(Tabella34[[#This Row],[Spain daily cases]]))</f>
        <v>0</v>
      </c>
      <c r="H28" s="157">
        <f>Tabella8[[#This Row],[Spain cum. fit]]</f>
        <v>0</v>
      </c>
      <c r="I28" s="157" t="e">
        <f>_xlfn.LOGNORM.INV(alpha*Tabella34[[#This Row],[Spain cumul. Fit]]/Kt,mu_t,sigma_t)-(Tabella34[[#This Row],[Day]]-pt)</f>
        <v>#NUM!</v>
      </c>
      <c r="J28" s="157" t="e">
        <f>Tabella34[[#This Row],[Spain fitted d.t.]]/Spain_dt_at_lockdown</f>
        <v>#NUM!</v>
      </c>
      <c r="K28" s="157">
        <f>Tabella34[[#This Row],[Spain cumul. Fit]]/Kf</f>
        <v>0</v>
      </c>
      <c r="L28" s="160"/>
      <c r="M28" s="157"/>
      <c r="N28" s="157">
        <f>IFERROR(Kt*_xlfn.LOGNORM.DIST((Tabella34[[#This Row],[Day]]-pt),mu_t,sigma_t,FALSE),0)</f>
        <v>0</v>
      </c>
      <c r="O28" s="157" t="e">
        <f>Kt*EXP(-0.5*Tabella34[[#This Row],[x_t]]^2)/(sigma_t*SQRTPI(2)*(Tabella34[[#This Row],[Day]]-D_bk))</f>
        <v>#NUM!</v>
      </c>
      <c r="P28" s="199" t="e">
        <f>Tabella34[[#This Row],[Spain fitted velocity]]/Tabella34[[#This Row],[Spain cumul. Fit]]</f>
        <v>#DIV/0!</v>
      </c>
      <c r="Q28" s="262" t="e">
        <f>(LN(Tabella34[[#This Row],[Day]]-pt)-mu_t)/sigma_t</f>
        <v>#NUM!</v>
      </c>
      <c r="R28" s="262" t="e">
        <f>EXP(mu_t+sigma_t*Tabella34[[#This Row],[x_t_alpha©+plus]])-(Tabella34[[#This Row],[Day]]-pt)</f>
        <v>#DIV/0!</v>
      </c>
      <c r="S28" s="262" t="e">
        <f>EXP(mu_t+sigma_t*Tabella34[[#This Row],[x_t_alpha©-minus]])-(Tabella34[[#This Row],[Day]]-pt)</f>
        <v>#DIV/0!</v>
      </c>
      <c r="T28" s="262" t="e">
        <f>-sigma_t+SQRT(sigma_t^2-2*Tabella34[[#This Row],[c_t]])</f>
        <v>#DIV/0!</v>
      </c>
      <c r="U28" s="262" t="e">
        <f>-sigma_t-SQRT(sigma_t^2-2*Tabella34[[#This Row],[c_t]])</f>
        <v>#DIV/0!</v>
      </c>
      <c r="V28" s="262" t="e">
        <f>mu_t-LN(alpha*Kt/(Tabella34[[#This Row],[Spain fitted velocity]]*sigma_t*SQRTPI(2)))</f>
        <v>#DIV/0!</v>
      </c>
      <c r="W28" s="262" t="e">
        <f>Tabella34[[#This Row],[Spain fitted g.r.]]/Spain_gr_at_lockdown</f>
        <v>#DIV/0!</v>
      </c>
      <c r="X28" s="262" t="e">
        <f>Tabella34[[#This Row],[t_alpha_t+plus]]</f>
        <v>#DIV/0!</v>
      </c>
      <c r="Y28" s="262" t="e">
        <f>Tabella34[[#This Row],[Spain fitted h.t.]]/Spain_ht_at_lockdown</f>
        <v>#DIV/0!</v>
      </c>
      <c r="Z28" s="90">
        <f>IFERROR(-Kf*_xlfn.LOGNORM.DIST((Tabella34[[#This Row],[Day]]-pf),mu_f,sigma_f,FALSE)*(1+(LN((Tabella34[[#This Row],[Day]]-pf))-mu_f)/sigma_f^2)/(Tabella34[[#This Row],[Day]]-pf),0)</f>
        <v>0</v>
      </c>
      <c r="AA28" s="90">
        <f>Tabella34[[#This Row],[Spain acc. fit]]/Spain_acc_at_lockdown</f>
        <v>0</v>
      </c>
      <c r="AB28" s="157">
        <f>Tabella34[[#This Row],[Spain acc. fit]]/y_f_peak</f>
        <v>0</v>
      </c>
      <c r="AC28" s="157">
        <f>Tabella34[[#This Row],[Colonna4]]*NOT(ISBLANK(Tabella34[[#This Row],[Spain daily cases]]))</f>
        <v>0</v>
      </c>
      <c r="AD28" s="157">
        <f>Tabella34[[#This Row],[Spain acc. fit]]*NOT(ISBLANK(Tabella34[[#This Row],[Spain daily cases]]))</f>
        <v>0</v>
      </c>
      <c r="AE28" s="95">
        <f>Tabella34[[#This Row],[Spain acc. fit]]+CIf</f>
        <v>2342.6884176810927</v>
      </c>
      <c r="AF28" s="95">
        <f>MAX(Tabella34[[#This Row],[Spain acc. fit]]-CIf,0)</f>
        <v>0</v>
      </c>
      <c r="AG28" s="155"/>
      <c r="AH28" s="33"/>
      <c r="AI28" s="33"/>
      <c r="AJ28" s="156">
        <f>Tabella34[[#This Row],[Lombardy data]]*NOT(ISBLANK(Tabella34[[#This Row],[Lombardy data]]))</f>
        <v>0</v>
      </c>
      <c r="AK28" s="161">
        <f>Tabella8[[#This Row],[Lombardy fit]]</f>
        <v>0</v>
      </c>
      <c r="AL28" s="157" t="e">
        <f>_xlfn.LOGNORM.INV(alpha*Tabella34[[#This Row],[Lombardy cumul. Fit]]/Kr,mu_r,sigma_r)-(Tabella34[[#This Row],[Day]]-pr)</f>
        <v>#NUM!</v>
      </c>
      <c r="AM28" s="156">
        <f>Tabella34[[#This Row],[Lombardy cumul. Fit]]/Kl</f>
        <v>0</v>
      </c>
      <c r="AN28" s="157">
        <f>IFERROR(Kr*_xlfn.LOGNORM.DIST((Tabella34[[#This Row],[Day]]-pr),mu_r,sigma_r,FALSE),0)</f>
        <v>0</v>
      </c>
      <c r="AO28" s="199" t="e">
        <f>Tabella34[[#This Row],[Lombardy velocity]]/Tabella34[[#This Row],[Lombardy cumul. Fit]]</f>
        <v>#DIV/0!</v>
      </c>
      <c r="AP28" s="254" t="e">
        <f>(LN(Tabella34[[#This Row],[Day]]-pr)-mu_r)/sigma_r</f>
        <v>#NUM!</v>
      </c>
      <c r="AQ28" s="262" t="e">
        <f>EXP(mu_r+sigma_r*Tabella34[[#This Row],[x_r_alpha©+plus]])-(Tabella34[[#This Row],[Day]]-pr)</f>
        <v>#DIV/0!</v>
      </c>
      <c r="AR28" s="262" t="e">
        <f>EXP(mu_r+sigma_r*Tabella34[[#This Row],[x_r_alpha©-minus]])-(Tabella34[[#This Row],[Day]]-pr)</f>
        <v>#DIV/0!</v>
      </c>
      <c r="AS28" s="262" t="e">
        <f>-sigma_r+SQRT(sigma_r^2-2*Tabella34[[#This Row],[c_r]])</f>
        <v>#DIV/0!</v>
      </c>
      <c r="AT28" s="262" t="e">
        <f>-sigma_r-SQRT(sigma_r^2-2*Tabella34[[#This Row],[c_r]])</f>
        <v>#DIV/0!</v>
      </c>
      <c r="AU28" s="262" t="e">
        <f>mu_r-LN(alpha*Kr/(Tabella34[[#This Row],[Lombardy velocity]]*sigma_r*SQRTPI(2)))</f>
        <v>#DIV/0!</v>
      </c>
      <c r="AV28" s="262" t="e">
        <f>Tabella34[[#This Row],[t_alpha_r+plus]]</f>
        <v>#DIV/0!</v>
      </c>
      <c r="AW28" s="90">
        <f>IFERROR(-Kl*_xlfn.LOGNORM.DIST((Tabella34[[#This Row],[Day]]-pl),mu_l,sigma_l,FALSE)*(1+(LN((Tabella34[[#This Row],[Day]]-pl))-mu_l)/sigma_l^2)/(Tabella34[[#This Row],[Day]]-pl),0)</f>
        <v>0</v>
      </c>
      <c r="AX28" s="157">
        <f>Tabella34[[#This Row],[Lombardy acc. fit]]/y_l_peak</f>
        <v>0</v>
      </c>
      <c r="AY28" s="157">
        <f>Tabella34[[#This Row],[Lombardy acc. fit]]*NOT(ISBLANK(Tabella34[[#This Row],[Lombardy data]]))</f>
        <v>0</v>
      </c>
      <c r="AZ28" s="95">
        <f>Tabella34[[#This Row],[Lombardy acc. fit]]+CIl</f>
        <v>2570.3823229164086</v>
      </c>
      <c r="BA28" s="95">
        <f>MAX(Tabella34[[#This Row],[Lombardy acc. fit]]-CIl,0)</f>
        <v>0</v>
      </c>
      <c r="BB28" s="155"/>
      <c r="BC28" s="33"/>
      <c r="BD28" s="33"/>
      <c r="BE28" s="156">
        <f>Tabella34[[#This Row],[rest of Italy data]]*NOT(ISBLANK(Tabella34[[#This Row],[rest of Italy data]]))</f>
        <v>0</v>
      </c>
      <c r="BF28" s="204">
        <f>Tabella8[[#This Row],[rest of Italy fit]]</f>
        <v>0</v>
      </c>
      <c r="BG28" s="157" t="e">
        <f>_xlfn.LOGNORM.INV(alpha*Tabella34[[#This Row],[rest of Italy cumul. Fit]]/Ko,mu_o,sigma_o)-(Tabella34[[#This Row],[Day]]-po)</f>
        <v>#NUM!</v>
      </c>
      <c r="BH28" s="157">
        <f>Tabella34[[#This Row],[rest of Italy cumul. Fit]]/Ka</f>
        <v>0</v>
      </c>
      <c r="BI28" s="157">
        <f>IFERROR(Ko*_xlfn.LOGNORM.DIST((Tabella34[[#This Row],[Day]]-po),mu_o,sigma_o,FALSE),0)</f>
        <v>0</v>
      </c>
      <c r="BJ28" s="199" t="e">
        <f>Tabella34[[#This Row],[rest of Italy velocity]]/Tabella34[[#This Row],[rest of Italy cumul. Fit]]</f>
        <v>#DIV/0!</v>
      </c>
      <c r="BK28" s="254" t="e">
        <f>(LN(Tabella34[[#This Row],[Day]]-po)-mu_o)/sigma_o</f>
        <v>#NUM!</v>
      </c>
      <c r="BL28" s="262" t="e">
        <f>EXP(mu_o+sigma_o*Tabella34[[#This Row],[x_o_alpha©+plus]])-(Tabella34[[#This Row],[Day]]-po)</f>
        <v>#DIV/0!</v>
      </c>
      <c r="BM28" s="262" t="e">
        <f>EXP(mu_o+sigma_o*Tabella34[[#This Row],[x_o_alpha©-minus]])-(Tabella34[[#This Row],[Day]]-po)</f>
        <v>#DIV/0!</v>
      </c>
      <c r="BN28" s="262" t="e">
        <f>-sigma_o+SQRT(sigma_o^2-2*Tabella34[[#This Row],[c_o]])</f>
        <v>#DIV/0!</v>
      </c>
      <c r="BO28" s="262" t="e">
        <f>-sigma_o-SQRT(sigma_o^2-2*Tabella34[[#This Row],[c_o]])</f>
        <v>#DIV/0!</v>
      </c>
      <c r="BP28" s="262" t="e">
        <f>mu_o-LN(alpha*Ko/(Tabella34[[#This Row],[rest of Italy velocity]]*sigma_o*SQRTPI(2)))</f>
        <v>#DIV/0!</v>
      </c>
      <c r="BQ28" s="262" t="e">
        <f>Tabella34[[#This Row],[t_alpha_o+plus]]</f>
        <v>#DIV/0!</v>
      </c>
      <c r="BR28" s="90">
        <f>IFERROR(-Ka*_xlfn.LOGNORM.DIST((Tabella34[[#This Row],[Day]]-pa),mu_a,sigma_a,FALSE)*(1+(LN((Tabella34[[#This Row],[Day]]-pa))-mu_a)/sigma_a^2)/(Tabella34[[#This Row],[Day]]-pa),0)</f>
        <v>0</v>
      </c>
      <c r="BS28" s="157">
        <f>Tabella34[[#This Row],[rest of Italy acc. fit]]/y_a_peak</f>
        <v>0</v>
      </c>
      <c r="BT28" s="156">
        <f>Tabella34[[#This Row],[rest of Italy acc. fit]]*NOT(ISBLANK(Tabella34[[#This Row],[rest of Italy data]]))</f>
        <v>0</v>
      </c>
      <c r="BU28" s="95">
        <f>Tabella34[[#This Row],[rest of Italy acc. fit]]+CIa</f>
        <v>5338.8394351600173</v>
      </c>
      <c r="BV28" s="95">
        <f>MAX(Tabella34[[#This Row],[rest of Italy acc. fit]]-CIa,0)</f>
        <v>0</v>
      </c>
      <c r="BW28" s="1"/>
      <c r="BX28" s="231" t="s">
        <v>6</v>
      </c>
      <c r="BY28" s="232">
        <f>Critical_tl*SE_of_yl</f>
        <v>2570.3823229164086</v>
      </c>
      <c r="CL28" s="61">
        <f>MAX($BY$39)</f>
        <v>0.31704596144294805</v>
      </c>
    </row>
    <row r="29" spans="2:90" x14ac:dyDescent="0.3">
      <c r="B29" s="281">
        <v>43852</v>
      </c>
      <c r="C29" s="4">
        <v>22</v>
      </c>
      <c r="D29" s="10">
        <f>Tabella8[[#This Row],[Spain cum. Cases]]</f>
        <v>0</v>
      </c>
      <c r="E29" s="158"/>
      <c r="F29" s="158"/>
      <c r="G29" s="156">
        <f>Tabella34[[#This Row],[Spain daily cases]]*NOT(ISBLANK(Tabella34[[#This Row],[Spain daily cases]]))</f>
        <v>0</v>
      </c>
      <c r="H29" s="157">
        <f>Tabella8[[#This Row],[Spain cum. fit]]</f>
        <v>0</v>
      </c>
      <c r="I29" s="157" t="e">
        <f>_xlfn.LOGNORM.INV(alpha*Tabella34[[#This Row],[Spain cumul. Fit]]/Kt,mu_t,sigma_t)-(Tabella34[[#This Row],[Day]]-pt)</f>
        <v>#NUM!</v>
      </c>
      <c r="J29" s="157" t="e">
        <f>Tabella34[[#This Row],[Spain fitted d.t.]]/Spain_dt_at_lockdown</f>
        <v>#NUM!</v>
      </c>
      <c r="K29" s="157">
        <f>Tabella34[[#This Row],[Spain cumul. Fit]]/Kf</f>
        <v>0</v>
      </c>
      <c r="L29" s="160"/>
      <c r="M29" s="157"/>
      <c r="N29" s="157">
        <f>IFERROR(Kt*_xlfn.LOGNORM.DIST((Tabella34[[#This Row],[Day]]-pt),mu_t,sigma_t,FALSE),0)</f>
        <v>0</v>
      </c>
      <c r="O29" s="157" t="e">
        <f>Kt*EXP(-0.5*Tabella34[[#This Row],[x_t]]^2)/(sigma_t*SQRTPI(2)*(Tabella34[[#This Row],[Day]]-D_bk))</f>
        <v>#NUM!</v>
      </c>
      <c r="P29" s="199" t="e">
        <f>Tabella34[[#This Row],[Spain fitted velocity]]/Tabella34[[#This Row],[Spain cumul. Fit]]</f>
        <v>#DIV/0!</v>
      </c>
      <c r="Q29" s="262" t="e">
        <f>(LN(Tabella34[[#This Row],[Day]]-pt)-mu_t)/sigma_t</f>
        <v>#NUM!</v>
      </c>
      <c r="R29" s="262" t="e">
        <f>EXP(mu_t+sigma_t*Tabella34[[#This Row],[x_t_alpha©+plus]])-(Tabella34[[#This Row],[Day]]-pt)</f>
        <v>#DIV/0!</v>
      </c>
      <c r="S29" s="262" t="e">
        <f>EXP(mu_t+sigma_t*Tabella34[[#This Row],[x_t_alpha©-minus]])-(Tabella34[[#This Row],[Day]]-pt)</f>
        <v>#DIV/0!</v>
      </c>
      <c r="T29" s="262" t="e">
        <f>-sigma_t+SQRT(sigma_t^2-2*Tabella34[[#This Row],[c_t]])</f>
        <v>#DIV/0!</v>
      </c>
      <c r="U29" s="262" t="e">
        <f>-sigma_t-SQRT(sigma_t^2-2*Tabella34[[#This Row],[c_t]])</f>
        <v>#DIV/0!</v>
      </c>
      <c r="V29" s="262" t="e">
        <f>mu_t-LN(alpha*Kt/(Tabella34[[#This Row],[Spain fitted velocity]]*sigma_t*SQRTPI(2)))</f>
        <v>#DIV/0!</v>
      </c>
      <c r="W29" s="262" t="e">
        <f>Tabella34[[#This Row],[Spain fitted g.r.]]/Spain_gr_at_lockdown</f>
        <v>#DIV/0!</v>
      </c>
      <c r="X29" s="262" t="e">
        <f>Tabella34[[#This Row],[t_alpha_t+plus]]</f>
        <v>#DIV/0!</v>
      </c>
      <c r="Y29" s="262" t="e">
        <f>Tabella34[[#This Row],[Spain fitted h.t.]]/Spain_ht_at_lockdown</f>
        <v>#DIV/0!</v>
      </c>
      <c r="Z29" s="90">
        <f>IFERROR(-Kf*_xlfn.LOGNORM.DIST((Tabella34[[#This Row],[Day]]-pf),mu_f,sigma_f,FALSE)*(1+(LN((Tabella34[[#This Row],[Day]]-pf))-mu_f)/sigma_f^2)/(Tabella34[[#This Row],[Day]]-pf),0)</f>
        <v>0</v>
      </c>
      <c r="AA29" s="90">
        <f>Tabella34[[#This Row],[Spain acc. fit]]/Spain_acc_at_lockdown</f>
        <v>0</v>
      </c>
      <c r="AB29" s="157">
        <f>Tabella34[[#This Row],[Spain acc. fit]]/y_f_peak</f>
        <v>0</v>
      </c>
      <c r="AC29" s="157">
        <f>Tabella34[[#This Row],[Colonna4]]*NOT(ISBLANK(Tabella34[[#This Row],[Spain daily cases]]))</f>
        <v>0</v>
      </c>
      <c r="AD29" s="157">
        <f>Tabella34[[#This Row],[Spain acc. fit]]*NOT(ISBLANK(Tabella34[[#This Row],[Spain daily cases]]))</f>
        <v>0</v>
      </c>
      <c r="AE29" s="95">
        <f>Tabella34[[#This Row],[Spain acc. fit]]+CIf</f>
        <v>2342.6884176810927</v>
      </c>
      <c r="AF29" s="95">
        <f>MAX(Tabella34[[#This Row],[Spain acc. fit]]-CIf,0)</f>
        <v>0</v>
      </c>
      <c r="AG29" s="155"/>
      <c r="AH29" s="33"/>
      <c r="AI29" s="33"/>
      <c r="AJ29" s="156">
        <f>Tabella34[[#This Row],[Lombardy data]]*NOT(ISBLANK(Tabella34[[#This Row],[Lombardy data]]))</f>
        <v>0</v>
      </c>
      <c r="AK29" s="161">
        <f>Tabella8[[#This Row],[Lombardy fit]]</f>
        <v>0</v>
      </c>
      <c r="AL29" s="157" t="e">
        <f>_xlfn.LOGNORM.INV(alpha*Tabella34[[#This Row],[Lombardy cumul. Fit]]/Kr,mu_r,sigma_r)-(Tabella34[[#This Row],[Day]]-pr)</f>
        <v>#NUM!</v>
      </c>
      <c r="AM29" s="156">
        <f>Tabella34[[#This Row],[Lombardy cumul. Fit]]/Kl</f>
        <v>0</v>
      </c>
      <c r="AN29" s="157">
        <f>IFERROR(Kr*_xlfn.LOGNORM.DIST((Tabella34[[#This Row],[Day]]-pr),mu_r,sigma_r,FALSE),0)</f>
        <v>0</v>
      </c>
      <c r="AO29" s="199" t="e">
        <f>Tabella34[[#This Row],[Lombardy velocity]]/Tabella34[[#This Row],[Lombardy cumul. Fit]]</f>
        <v>#DIV/0!</v>
      </c>
      <c r="AP29" s="254" t="e">
        <f>(LN(Tabella34[[#This Row],[Day]]-pr)-mu_r)/sigma_r</f>
        <v>#NUM!</v>
      </c>
      <c r="AQ29" s="262" t="e">
        <f>EXP(mu_r+sigma_r*Tabella34[[#This Row],[x_r_alpha©+plus]])-(Tabella34[[#This Row],[Day]]-pr)</f>
        <v>#DIV/0!</v>
      </c>
      <c r="AR29" s="262" t="e">
        <f>EXP(mu_r+sigma_r*Tabella34[[#This Row],[x_r_alpha©-minus]])-(Tabella34[[#This Row],[Day]]-pr)</f>
        <v>#DIV/0!</v>
      </c>
      <c r="AS29" s="262" t="e">
        <f>-sigma_r+SQRT(sigma_r^2-2*Tabella34[[#This Row],[c_r]])</f>
        <v>#DIV/0!</v>
      </c>
      <c r="AT29" s="262" t="e">
        <f>-sigma_r-SQRT(sigma_r^2-2*Tabella34[[#This Row],[c_r]])</f>
        <v>#DIV/0!</v>
      </c>
      <c r="AU29" s="262" t="e">
        <f>mu_r-LN(alpha*Kr/(Tabella34[[#This Row],[Lombardy velocity]]*sigma_r*SQRTPI(2)))</f>
        <v>#DIV/0!</v>
      </c>
      <c r="AV29" s="262" t="e">
        <f>Tabella34[[#This Row],[t_alpha_r+plus]]</f>
        <v>#DIV/0!</v>
      </c>
      <c r="AW29" s="90">
        <f>IFERROR(-Kl*_xlfn.LOGNORM.DIST((Tabella34[[#This Row],[Day]]-pl),mu_l,sigma_l,FALSE)*(1+(LN((Tabella34[[#This Row],[Day]]-pl))-mu_l)/sigma_l^2)/(Tabella34[[#This Row],[Day]]-pl),0)</f>
        <v>0</v>
      </c>
      <c r="AX29" s="157">
        <f>Tabella34[[#This Row],[Lombardy acc. fit]]/y_l_peak</f>
        <v>0</v>
      </c>
      <c r="AY29" s="157">
        <f>Tabella34[[#This Row],[Lombardy acc. fit]]*NOT(ISBLANK(Tabella34[[#This Row],[Lombardy data]]))</f>
        <v>0</v>
      </c>
      <c r="AZ29" s="95">
        <f>Tabella34[[#This Row],[Lombardy acc. fit]]+CIl</f>
        <v>2570.3823229164086</v>
      </c>
      <c r="BA29" s="95">
        <f>MAX(Tabella34[[#This Row],[Lombardy acc. fit]]-CIl,0)</f>
        <v>0</v>
      </c>
      <c r="BB29" s="155"/>
      <c r="BC29" s="33"/>
      <c r="BD29" s="33"/>
      <c r="BE29" s="156">
        <f>Tabella34[[#This Row],[rest of Italy data]]*NOT(ISBLANK(Tabella34[[#This Row],[rest of Italy data]]))</f>
        <v>0</v>
      </c>
      <c r="BF29" s="204">
        <f>Tabella8[[#This Row],[rest of Italy fit]]</f>
        <v>0</v>
      </c>
      <c r="BG29" s="157" t="e">
        <f>_xlfn.LOGNORM.INV(alpha*Tabella34[[#This Row],[rest of Italy cumul. Fit]]/Ko,mu_o,sigma_o)-(Tabella34[[#This Row],[Day]]-po)</f>
        <v>#NUM!</v>
      </c>
      <c r="BH29" s="157">
        <f>Tabella34[[#This Row],[rest of Italy cumul. Fit]]/Ka</f>
        <v>0</v>
      </c>
      <c r="BI29" s="157">
        <f>IFERROR(Ko*_xlfn.LOGNORM.DIST((Tabella34[[#This Row],[Day]]-po),mu_o,sigma_o,FALSE),0)</f>
        <v>0</v>
      </c>
      <c r="BJ29" s="199" t="e">
        <f>Tabella34[[#This Row],[rest of Italy velocity]]/Tabella34[[#This Row],[rest of Italy cumul. Fit]]</f>
        <v>#DIV/0!</v>
      </c>
      <c r="BK29" s="254" t="e">
        <f>(LN(Tabella34[[#This Row],[Day]]-po)-mu_o)/sigma_o</f>
        <v>#NUM!</v>
      </c>
      <c r="BL29" s="262" t="e">
        <f>EXP(mu_o+sigma_o*Tabella34[[#This Row],[x_o_alpha©+plus]])-(Tabella34[[#This Row],[Day]]-po)</f>
        <v>#DIV/0!</v>
      </c>
      <c r="BM29" s="262" t="e">
        <f>EXP(mu_o+sigma_o*Tabella34[[#This Row],[x_o_alpha©-minus]])-(Tabella34[[#This Row],[Day]]-po)</f>
        <v>#DIV/0!</v>
      </c>
      <c r="BN29" s="262" t="e">
        <f>-sigma_o+SQRT(sigma_o^2-2*Tabella34[[#This Row],[c_o]])</f>
        <v>#DIV/0!</v>
      </c>
      <c r="BO29" s="262" t="e">
        <f>-sigma_o-SQRT(sigma_o^2-2*Tabella34[[#This Row],[c_o]])</f>
        <v>#DIV/0!</v>
      </c>
      <c r="BP29" s="262" t="e">
        <f>mu_o-LN(alpha*Ko/(Tabella34[[#This Row],[rest of Italy velocity]]*sigma_o*SQRTPI(2)))</f>
        <v>#DIV/0!</v>
      </c>
      <c r="BQ29" s="262" t="e">
        <f>Tabella34[[#This Row],[t_alpha_o+plus]]</f>
        <v>#DIV/0!</v>
      </c>
      <c r="BR29" s="90">
        <f>IFERROR(-Ka*_xlfn.LOGNORM.DIST((Tabella34[[#This Row],[Day]]-pa),mu_a,sigma_a,FALSE)*(1+(LN((Tabella34[[#This Row],[Day]]-pa))-mu_a)/sigma_a^2)/(Tabella34[[#This Row],[Day]]-pa),0)</f>
        <v>0</v>
      </c>
      <c r="BS29" s="157">
        <f>Tabella34[[#This Row],[rest of Italy acc. fit]]/y_a_peak</f>
        <v>0</v>
      </c>
      <c r="BT29" s="156">
        <f>Tabella34[[#This Row],[rest of Italy acc. fit]]*NOT(ISBLANK(Tabella34[[#This Row],[rest of Italy data]]))</f>
        <v>0</v>
      </c>
      <c r="BU29" s="95">
        <f>Tabella34[[#This Row],[rest of Italy acc. fit]]+CIa</f>
        <v>5338.8394351600173</v>
      </c>
      <c r="BV29" s="95">
        <f>MAX(Tabella34[[#This Row],[rest of Italy acc. fit]]-CIa,0)</f>
        <v>0</v>
      </c>
      <c r="BW29" s="1"/>
      <c r="BX29" s="235" t="s">
        <v>62</v>
      </c>
      <c r="BY29" s="236">
        <f>Kl*_xlfn.LOGNORM.DIST(EXP(mu_l-sigma_l^2),mu_l,sigma_l,FALSE)</f>
        <v>1757.954472109541</v>
      </c>
      <c r="CL29" s="62">
        <f>COUNT($BY$33,$BY$34,$BY$35,$BY$44)</f>
        <v>4</v>
      </c>
    </row>
    <row r="30" spans="2:90" x14ac:dyDescent="0.3">
      <c r="B30" s="281">
        <v>43853</v>
      </c>
      <c r="C30" s="4">
        <v>23</v>
      </c>
      <c r="D30" s="10">
        <f>Tabella8[[#This Row],[Spain cum. Cases]]</f>
        <v>0</v>
      </c>
      <c r="E30" s="90">
        <f>(Tabella34[[#This Row],[Spain cumul. Cases]]-D29)</f>
        <v>0</v>
      </c>
      <c r="F30" s="158"/>
      <c r="G30" s="156">
        <f>Tabella34[[#This Row],[Spain daily cases]]*NOT(ISBLANK(Tabella34[[#This Row],[Spain daily cases]]))</f>
        <v>0</v>
      </c>
      <c r="H30" s="157">
        <f>Tabella8[[#This Row],[Spain cum. fit]]</f>
        <v>0</v>
      </c>
      <c r="I30" s="157" t="e">
        <f>_xlfn.LOGNORM.INV(alpha*Tabella34[[#This Row],[Spain cumul. Fit]]/Kt,mu_t,sigma_t)-(Tabella34[[#This Row],[Day]]-pt)</f>
        <v>#NUM!</v>
      </c>
      <c r="J30" s="157" t="e">
        <f>Tabella34[[#This Row],[Spain fitted d.t.]]/Spain_dt_at_lockdown</f>
        <v>#NUM!</v>
      </c>
      <c r="K30" s="157">
        <f>Tabella34[[#This Row],[Spain cumul. Fit]]/Kf</f>
        <v>0</v>
      </c>
      <c r="L30" s="160"/>
      <c r="M30" s="157"/>
      <c r="N30" s="157">
        <f>IFERROR(Kt*_xlfn.LOGNORM.DIST((Tabella34[[#This Row],[Day]]-pt),mu_t,sigma_t,FALSE),0)</f>
        <v>0</v>
      </c>
      <c r="O30" s="157" t="e">
        <f>Kt*EXP(-0.5*Tabella34[[#This Row],[x_t]]^2)/(sigma_t*SQRTPI(2)*(Tabella34[[#This Row],[Day]]-D_bk))</f>
        <v>#NUM!</v>
      </c>
      <c r="P30" s="199" t="e">
        <f>Tabella34[[#This Row],[Spain fitted velocity]]/Tabella34[[#This Row],[Spain cumul. Fit]]</f>
        <v>#DIV/0!</v>
      </c>
      <c r="Q30" s="262" t="e">
        <f>(LN(Tabella34[[#This Row],[Day]]-pt)-mu_t)/sigma_t</f>
        <v>#NUM!</v>
      </c>
      <c r="R30" s="262" t="e">
        <f>EXP(mu_t+sigma_t*Tabella34[[#This Row],[x_t_alpha©+plus]])-(Tabella34[[#This Row],[Day]]-pt)</f>
        <v>#DIV/0!</v>
      </c>
      <c r="S30" s="262" t="e">
        <f>EXP(mu_t+sigma_t*Tabella34[[#This Row],[x_t_alpha©-minus]])-(Tabella34[[#This Row],[Day]]-pt)</f>
        <v>#DIV/0!</v>
      </c>
      <c r="T30" s="262" t="e">
        <f>-sigma_t+SQRT(sigma_t^2-2*Tabella34[[#This Row],[c_t]])</f>
        <v>#DIV/0!</v>
      </c>
      <c r="U30" s="262" t="e">
        <f>-sigma_t-SQRT(sigma_t^2-2*Tabella34[[#This Row],[c_t]])</f>
        <v>#DIV/0!</v>
      </c>
      <c r="V30" s="262" t="e">
        <f>mu_t-LN(alpha*Kt/(Tabella34[[#This Row],[Spain fitted velocity]]*sigma_t*SQRTPI(2)))</f>
        <v>#DIV/0!</v>
      </c>
      <c r="W30" s="262" t="e">
        <f>Tabella34[[#This Row],[Spain fitted g.r.]]/Spain_gr_at_lockdown</f>
        <v>#DIV/0!</v>
      </c>
      <c r="X30" s="262" t="e">
        <f>Tabella34[[#This Row],[t_alpha_t+plus]]</f>
        <v>#DIV/0!</v>
      </c>
      <c r="Y30" s="262" t="e">
        <f>Tabella34[[#This Row],[Spain fitted h.t.]]/Spain_ht_at_lockdown</f>
        <v>#DIV/0!</v>
      </c>
      <c r="Z30" s="90">
        <f>IFERROR(-Kf*_xlfn.LOGNORM.DIST((Tabella34[[#This Row],[Day]]-pf),mu_f,sigma_f,FALSE)*(1+(LN((Tabella34[[#This Row],[Day]]-pf))-mu_f)/sigma_f^2)/(Tabella34[[#This Row],[Day]]-pf),0)</f>
        <v>0</v>
      </c>
      <c r="AA30" s="90">
        <f>Tabella34[[#This Row],[Spain acc. fit]]/Spain_acc_at_lockdown</f>
        <v>0</v>
      </c>
      <c r="AB30" s="157">
        <f>Tabella34[[#This Row],[Spain acc. fit]]/y_f_peak</f>
        <v>0</v>
      </c>
      <c r="AC30" s="157">
        <f>Tabella34[[#This Row],[Colonna4]]*NOT(ISBLANK(Tabella34[[#This Row],[Spain daily cases]]))</f>
        <v>0</v>
      </c>
      <c r="AD30" s="157">
        <f>Tabella34[[#This Row],[Spain acc. fit]]*NOT(ISBLANK(Tabella34[[#This Row],[Spain daily cases]]))</f>
        <v>0</v>
      </c>
      <c r="AE30" s="95">
        <f>Tabella34[[#This Row],[Spain acc. fit]]+CIf</f>
        <v>2342.6884176810927</v>
      </c>
      <c r="AF30" s="95">
        <f>MAX(Tabella34[[#This Row],[Spain acc. fit]]-CIf,0)</f>
        <v>0</v>
      </c>
      <c r="AG30" s="155"/>
      <c r="AH30" s="33"/>
      <c r="AI30" s="33"/>
      <c r="AJ30" s="156">
        <f>Tabella34[[#This Row],[Lombardy data]]*NOT(ISBLANK(Tabella34[[#This Row],[Lombardy data]]))</f>
        <v>0</v>
      </c>
      <c r="AK30" s="161">
        <f>Tabella8[[#This Row],[Lombardy fit]]</f>
        <v>0</v>
      </c>
      <c r="AL30" s="157" t="e">
        <f>_xlfn.LOGNORM.INV(alpha*Tabella34[[#This Row],[Lombardy cumul. Fit]]/Kr,mu_r,sigma_r)-(Tabella34[[#This Row],[Day]]-pr)</f>
        <v>#NUM!</v>
      </c>
      <c r="AM30" s="156">
        <f>Tabella34[[#This Row],[Lombardy cumul. Fit]]/Kl</f>
        <v>0</v>
      </c>
      <c r="AN30" s="157">
        <f>IFERROR(Kr*_xlfn.LOGNORM.DIST((Tabella34[[#This Row],[Day]]-pr),mu_r,sigma_r,FALSE),0)</f>
        <v>0</v>
      </c>
      <c r="AO30" s="199" t="e">
        <f>Tabella34[[#This Row],[Lombardy velocity]]/Tabella34[[#This Row],[Lombardy cumul. Fit]]</f>
        <v>#DIV/0!</v>
      </c>
      <c r="AP30" s="254" t="e">
        <f>(LN(Tabella34[[#This Row],[Day]]-pr)-mu_r)/sigma_r</f>
        <v>#NUM!</v>
      </c>
      <c r="AQ30" s="262" t="e">
        <f>EXP(mu_r+sigma_r*Tabella34[[#This Row],[x_r_alpha©+plus]])-(Tabella34[[#This Row],[Day]]-pr)</f>
        <v>#DIV/0!</v>
      </c>
      <c r="AR30" s="262" t="e">
        <f>EXP(mu_r+sigma_r*Tabella34[[#This Row],[x_r_alpha©-minus]])-(Tabella34[[#This Row],[Day]]-pr)</f>
        <v>#DIV/0!</v>
      </c>
      <c r="AS30" s="262" t="e">
        <f>-sigma_r+SQRT(sigma_r^2-2*Tabella34[[#This Row],[c_r]])</f>
        <v>#DIV/0!</v>
      </c>
      <c r="AT30" s="262" t="e">
        <f>-sigma_r-SQRT(sigma_r^2-2*Tabella34[[#This Row],[c_r]])</f>
        <v>#DIV/0!</v>
      </c>
      <c r="AU30" s="262" t="e">
        <f>mu_r-LN(alpha*Kr/(Tabella34[[#This Row],[Lombardy velocity]]*sigma_r*SQRTPI(2)))</f>
        <v>#DIV/0!</v>
      </c>
      <c r="AV30" s="262" t="e">
        <f>Tabella34[[#This Row],[t_alpha_r+plus]]</f>
        <v>#DIV/0!</v>
      </c>
      <c r="AW30" s="90">
        <f>IFERROR(-Kl*_xlfn.LOGNORM.DIST((Tabella34[[#This Row],[Day]]-pl),mu_l,sigma_l,FALSE)*(1+(LN((Tabella34[[#This Row],[Day]]-pl))-mu_l)/sigma_l^2)/(Tabella34[[#This Row],[Day]]-pl),0)</f>
        <v>0</v>
      </c>
      <c r="AX30" s="157">
        <f>Tabella34[[#This Row],[Lombardy acc. fit]]/y_l_peak</f>
        <v>0</v>
      </c>
      <c r="AY30" s="157">
        <f>Tabella34[[#This Row],[Lombardy acc. fit]]*NOT(ISBLANK(Tabella34[[#This Row],[Lombardy data]]))</f>
        <v>0</v>
      </c>
      <c r="AZ30" s="95">
        <f>Tabella34[[#This Row],[Lombardy acc. fit]]+CIl</f>
        <v>2570.3823229164086</v>
      </c>
      <c r="BA30" s="95">
        <f>MAX(Tabella34[[#This Row],[Lombardy acc. fit]]-CIl,0)</f>
        <v>0</v>
      </c>
      <c r="BB30" s="155"/>
      <c r="BC30" s="33"/>
      <c r="BD30" s="33"/>
      <c r="BE30" s="156">
        <f>Tabella34[[#This Row],[rest of Italy data]]*NOT(ISBLANK(Tabella34[[#This Row],[rest of Italy data]]))</f>
        <v>0</v>
      </c>
      <c r="BF30" s="204">
        <f>Tabella8[[#This Row],[rest of Italy fit]]</f>
        <v>0</v>
      </c>
      <c r="BG30" s="157" t="e">
        <f>_xlfn.LOGNORM.INV(alpha*Tabella34[[#This Row],[rest of Italy cumul. Fit]]/Ko,mu_o,sigma_o)-(Tabella34[[#This Row],[Day]]-po)</f>
        <v>#NUM!</v>
      </c>
      <c r="BH30" s="157">
        <f>Tabella34[[#This Row],[rest of Italy cumul. Fit]]/Ka</f>
        <v>0</v>
      </c>
      <c r="BI30" s="157">
        <f>IFERROR(Ko*_xlfn.LOGNORM.DIST((Tabella34[[#This Row],[Day]]-po),mu_o,sigma_o,FALSE),0)</f>
        <v>0</v>
      </c>
      <c r="BJ30" s="199" t="e">
        <f>Tabella34[[#This Row],[rest of Italy velocity]]/Tabella34[[#This Row],[rest of Italy cumul. Fit]]</f>
        <v>#DIV/0!</v>
      </c>
      <c r="BK30" s="254" t="e">
        <f>(LN(Tabella34[[#This Row],[Day]]-po)-mu_o)/sigma_o</f>
        <v>#NUM!</v>
      </c>
      <c r="BL30" s="262" t="e">
        <f>EXP(mu_o+sigma_o*Tabella34[[#This Row],[x_o_alpha©+plus]])-(Tabella34[[#This Row],[Day]]-po)</f>
        <v>#DIV/0!</v>
      </c>
      <c r="BM30" s="262" t="e">
        <f>EXP(mu_o+sigma_o*Tabella34[[#This Row],[x_o_alpha©-minus]])-(Tabella34[[#This Row],[Day]]-po)</f>
        <v>#DIV/0!</v>
      </c>
      <c r="BN30" s="262" t="e">
        <f>-sigma_o+SQRT(sigma_o^2-2*Tabella34[[#This Row],[c_o]])</f>
        <v>#DIV/0!</v>
      </c>
      <c r="BO30" s="262" t="e">
        <f>-sigma_o-SQRT(sigma_o^2-2*Tabella34[[#This Row],[c_o]])</f>
        <v>#DIV/0!</v>
      </c>
      <c r="BP30" s="262" t="e">
        <f>mu_o-LN(alpha*Ko/(Tabella34[[#This Row],[rest of Italy velocity]]*sigma_o*SQRTPI(2)))</f>
        <v>#DIV/0!</v>
      </c>
      <c r="BQ30" s="262" t="e">
        <f>Tabella34[[#This Row],[t_alpha_o+plus]]</f>
        <v>#DIV/0!</v>
      </c>
      <c r="BR30" s="90">
        <f>IFERROR(-Ka*_xlfn.LOGNORM.DIST((Tabella34[[#This Row],[Day]]-pa),mu_a,sigma_a,FALSE)*(1+(LN((Tabella34[[#This Row],[Day]]-pa))-mu_a)/sigma_a^2)/(Tabella34[[#This Row],[Day]]-pa),0)</f>
        <v>0</v>
      </c>
      <c r="BS30" s="157">
        <f>Tabella34[[#This Row],[rest of Italy acc. fit]]/y_a_peak</f>
        <v>0</v>
      </c>
      <c r="BT30" s="156">
        <f>Tabella34[[#This Row],[rest of Italy acc. fit]]*NOT(ISBLANK(Tabella34[[#This Row],[rest of Italy data]]))</f>
        <v>0</v>
      </c>
      <c r="BU30" s="95">
        <f>Tabella34[[#This Row],[rest of Italy acc. fit]]+CIa</f>
        <v>5338.8394351600173</v>
      </c>
      <c r="BV30" s="95">
        <f>MAX(Tabella34[[#This Row],[rest of Italy acc. fit]]-CIa,0)</f>
        <v>0</v>
      </c>
      <c r="BW30" s="1"/>
      <c r="BX30" s="235" t="s">
        <v>43</v>
      </c>
      <c r="BY30" s="237">
        <f>_xlfn.XLOOKUP(ROUND(EXP(mu_l-sigma_l^2),0),Tabella34[Day],Tabella34[Date])</f>
        <v>43885</v>
      </c>
      <c r="CL30" s="62" t="b">
        <f>pa&lt;=0</f>
        <v>0</v>
      </c>
    </row>
    <row r="31" spans="2:90" x14ac:dyDescent="0.3">
      <c r="B31" s="281">
        <v>43854</v>
      </c>
      <c r="C31" s="4">
        <v>24</v>
      </c>
      <c r="D31" s="10">
        <f>Tabella8[[#This Row],[Spain cum. Cases]]</f>
        <v>0</v>
      </c>
      <c r="E31" s="90">
        <f>(Tabella34[[#This Row],[Spain cumul. Cases]]-D30)</f>
        <v>0</v>
      </c>
      <c r="F31" s="90">
        <f>Tabella34[[#This Row],[Spain daily cases]]-E30</f>
        <v>0</v>
      </c>
      <c r="G31" s="156">
        <f>Tabella34[[#This Row],[Spain daily cases]]*NOT(ISBLANK(Tabella34[[#This Row],[Spain daily cases]]))</f>
        <v>0</v>
      </c>
      <c r="H31" s="157">
        <f>Tabella8[[#This Row],[Spain cum. fit]]</f>
        <v>0</v>
      </c>
      <c r="I31" s="157" t="e">
        <f>_xlfn.LOGNORM.INV(alpha*Tabella34[[#This Row],[Spain cumul. Fit]]/Kt,mu_t,sigma_t)-(Tabella34[[#This Row],[Day]]-pt)</f>
        <v>#NUM!</v>
      </c>
      <c r="J31" s="157" t="e">
        <f>Tabella34[[#This Row],[Spain fitted d.t.]]/Spain_dt_at_lockdown</f>
        <v>#NUM!</v>
      </c>
      <c r="K31" s="157">
        <f>Tabella34[[#This Row],[Spain cumul. Fit]]/Kf</f>
        <v>0</v>
      </c>
      <c r="L31" s="160"/>
      <c r="M31" s="157"/>
      <c r="N31" s="157">
        <f>IFERROR(Kt*_xlfn.LOGNORM.DIST((Tabella34[[#This Row],[Day]]-pt),mu_t,sigma_t,FALSE),0)</f>
        <v>0</v>
      </c>
      <c r="O31" s="157" t="e">
        <f>Kt*EXP(-0.5*Tabella34[[#This Row],[x_t]]^2)/(sigma_t*SQRTPI(2)*(Tabella34[[#This Row],[Day]]-D_bk))</f>
        <v>#NUM!</v>
      </c>
      <c r="P31" s="199" t="e">
        <f>Tabella34[[#This Row],[Spain fitted velocity]]/Tabella34[[#This Row],[Spain cumul. Fit]]</f>
        <v>#DIV/0!</v>
      </c>
      <c r="Q31" s="262" t="e">
        <f>(LN(Tabella34[[#This Row],[Day]]-pt)-mu_t)/sigma_t</f>
        <v>#NUM!</v>
      </c>
      <c r="R31" s="262" t="e">
        <f>EXP(mu_t+sigma_t*Tabella34[[#This Row],[x_t_alpha©+plus]])-(Tabella34[[#This Row],[Day]]-pt)</f>
        <v>#DIV/0!</v>
      </c>
      <c r="S31" s="262" t="e">
        <f>EXP(mu_t+sigma_t*Tabella34[[#This Row],[x_t_alpha©-minus]])-(Tabella34[[#This Row],[Day]]-pt)</f>
        <v>#DIV/0!</v>
      </c>
      <c r="T31" s="262" t="e">
        <f>-sigma_t+SQRT(sigma_t^2-2*Tabella34[[#This Row],[c_t]])</f>
        <v>#DIV/0!</v>
      </c>
      <c r="U31" s="262" t="e">
        <f>-sigma_t-SQRT(sigma_t^2-2*Tabella34[[#This Row],[c_t]])</f>
        <v>#DIV/0!</v>
      </c>
      <c r="V31" s="262" t="e">
        <f>mu_t-LN(alpha*Kt/(Tabella34[[#This Row],[Spain fitted velocity]]*sigma_t*SQRTPI(2)))</f>
        <v>#DIV/0!</v>
      </c>
      <c r="W31" s="262" t="e">
        <f>Tabella34[[#This Row],[Spain fitted g.r.]]/Spain_gr_at_lockdown</f>
        <v>#DIV/0!</v>
      </c>
      <c r="X31" s="262" t="e">
        <f>Tabella34[[#This Row],[t_alpha_t+plus]]</f>
        <v>#DIV/0!</v>
      </c>
      <c r="Y31" s="262" t="e">
        <f>Tabella34[[#This Row],[Spain fitted h.t.]]/Spain_ht_at_lockdown</f>
        <v>#DIV/0!</v>
      </c>
      <c r="Z31" s="90">
        <f>IFERROR(-Kf*_xlfn.LOGNORM.DIST((Tabella34[[#This Row],[Day]]-pf),mu_f,sigma_f,FALSE)*(1+(LN((Tabella34[[#This Row],[Day]]-pf))-mu_f)/sigma_f^2)/(Tabella34[[#This Row],[Day]]-pf),0)</f>
        <v>0</v>
      </c>
      <c r="AA31" s="90">
        <f>Tabella34[[#This Row],[Spain acc. fit]]/Spain_acc_at_lockdown</f>
        <v>0</v>
      </c>
      <c r="AB31" s="157">
        <f>Tabella34[[#This Row],[Spain acc. fit]]/y_f_peak</f>
        <v>0</v>
      </c>
      <c r="AC31" s="157">
        <f>Tabella34[[#This Row],[Colonna4]]*NOT(ISBLANK(Tabella34[[#This Row],[Spain daily cases]]))</f>
        <v>0</v>
      </c>
      <c r="AD31" s="157">
        <f>Tabella34[[#This Row],[Spain acc. fit]]*NOT(ISBLANK(Tabella34[[#This Row],[Spain daily cases]]))</f>
        <v>0</v>
      </c>
      <c r="AE31" s="95">
        <f>Tabella34[[#This Row],[Spain acc. fit]]+CIf</f>
        <v>2342.6884176810927</v>
      </c>
      <c r="AF31" s="95">
        <f>MAX(Tabella34[[#This Row],[Spain acc. fit]]-CIf,0)</f>
        <v>0</v>
      </c>
      <c r="AG31" s="155"/>
      <c r="AH31" s="33"/>
      <c r="AI31" s="33"/>
      <c r="AJ31" s="156">
        <f>Tabella34[[#This Row],[Lombardy data]]*NOT(ISBLANK(Tabella34[[#This Row],[Lombardy data]]))</f>
        <v>0</v>
      </c>
      <c r="AK31" s="161">
        <f>Tabella8[[#This Row],[Lombardy fit]]</f>
        <v>0</v>
      </c>
      <c r="AL31" s="157" t="e">
        <f>_xlfn.LOGNORM.INV(alpha*Tabella34[[#This Row],[Lombardy cumul. Fit]]/Kr,mu_r,sigma_r)-(Tabella34[[#This Row],[Day]]-pr)</f>
        <v>#NUM!</v>
      </c>
      <c r="AM31" s="156">
        <f>Tabella34[[#This Row],[Lombardy cumul. Fit]]/Kl</f>
        <v>0</v>
      </c>
      <c r="AN31" s="157">
        <f>IFERROR(Kr*_xlfn.LOGNORM.DIST((Tabella34[[#This Row],[Day]]-pr),mu_r,sigma_r,FALSE),0)</f>
        <v>0</v>
      </c>
      <c r="AO31" s="199" t="e">
        <f>Tabella34[[#This Row],[Lombardy velocity]]/Tabella34[[#This Row],[Lombardy cumul. Fit]]</f>
        <v>#DIV/0!</v>
      </c>
      <c r="AP31" s="254" t="e">
        <f>(LN(Tabella34[[#This Row],[Day]]-pr)-mu_r)/sigma_r</f>
        <v>#NUM!</v>
      </c>
      <c r="AQ31" s="262" t="e">
        <f>EXP(mu_r+sigma_r*Tabella34[[#This Row],[x_r_alpha©+plus]])-(Tabella34[[#This Row],[Day]]-pr)</f>
        <v>#DIV/0!</v>
      </c>
      <c r="AR31" s="262" t="e">
        <f>EXP(mu_r+sigma_r*Tabella34[[#This Row],[x_r_alpha©-minus]])-(Tabella34[[#This Row],[Day]]-pr)</f>
        <v>#DIV/0!</v>
      </c>
      <c r="AS31" s="262" t="e">
        <f>-sigma_r+SQRT(sigma_r^2-2*Tabella34[[#This Row],[c_r]])</f>
        <v>#DIV/0!</v>
      </c>
      <c r="AT31" s="262" t="e">
        <f>-sigma_r-SQRT(sigma_r^2-2*Tabella34[[#This Row],[c_r]])</f>
        <v>#DIV/0!</v>
      </c>
      <c r="AU31" s="262" t="e">
        <f>mu_r-LN(alpha*Kr/(Tabella34[[#This Row],[Lombardy velocity]]*sigma_r*SQRTPI(2)))</f>
        <v>#DIV/0!</v>
      </c>
      <c r="AV31" s="262" t="e">
        <f>Tabella34[[#This Row],[t_alpha_r+plus]]</f>
        <v>#DIV/0!</v>
      </c>
      <c r="AW31" s="90">
        <f>IFERROR(-Kl*_xlfn.LOGNORM.DIST((Tabella34[[#This Row],[Day]]-pl),mu_l,sigma_l,FALSE)*(1+(LN((Tabella34[[#This Row],[Day]]-pl))-mu_l)/sigma_l^2)/(Tabella34[[#This Row],[Day]]-pl),0)</f>
        <v>0</v>
      </c>
      <c r="AX31" s="157">
        <f>Tabella34[[#This Row],[Lombardy acc. fit]]/y_l_peak</f>
        <v>0</v>
      </c>
      <c r="AY31" s="157">
        <f>Tabella34[[#This Row],[Lombardy acc. fit]]*NOT(ISBLANK(Tabella34[[#This Row],[Lombardy data]]))</f>
        <v>0</v>
      </c>
      <c r="AZ31" s="95">
        <f>Tabella34[[#This Row],[Lombardy acc. fit]]+CIl</f>
        <v>2570.3823229164086</v>
      </c>
      <c r="BA31" s="95">
        <f>MAX(Tabella34[[#This Row],[Lombardy acc. fit]]-CIl,0)</f>
        <v>0</v>
      </c>
      <c r="BB31" s="155"/>
      <c r="BC31" s="33"/>
      <c r="BD31" s="33"/>
      <c r="BE31" s="156">
        <f>Tabella34[[#This Row],[rest of Italy data]]*NOT(ISBLANK(Tabella34[[#This Row],[rest of Italy data]]))</f>
        <v>0</v>
      </c>
      <c r="BF31" s="204">
        <f>Tabella8[[#This Row],[rest of Italy fit]]</f>
        <v>0</v>
      </c>
      <c r="BG31" s="157" t="e">
        <f>_xlfn.LOGNORM.INV(alpha*Tabella34[[#This Row],[rest of Italy cumul. Fit]]/Ko,mu_o,sigma_o)-(Tabella34[[#This Row],[Day]]-po)</f>
        <v>#NUM!</v>
      </c>
      <c r="BH31" s="157">
        <f>Tabella34[[#This Row],[rest of Italy cumul. Fit]]/Ka</f>
        <v>0</v>
      </c>
      <c r="BI31" s="157">
        <f>IFERROR(Ko*_xlfn.LOGNORM.DIST((Tabella34[[#This Row],[Day]]-po),mu_o,sigma_o,FALSE),0)</f>
        <v>0</v>
      </c>
      <c r="BJ31" s="199" t="e">
        <f>Tabella34[[#This Row],[rest of Italy velocity]]/Tabella34[[#This Row],[rest of Italy cumul. Fit]]</f>
        <v>#DIV/0!</v>
      </c>
      <c r="BK31" s="254" t="e">
        <f>(LN(Tabella34[[#This Row],[Day]]-po)-mu_o)/sigma_o</f>
        <v>#NUM!</v>
      </c>
      <c r="BL31" s="262" t="e">
        <f>EXP(mu_o+sigma_o*Tabella34[[#This Row],[x_o_alpha©+plus]])-(Tabella34[[#This Row],[Day]]-po)</f>
        <v>#DIV/0!</v>
      </c>
      <c r="BM31" s="262" t="e">
        <f>EXP(mu_o+sigma_o*Tabella34[[#This Row],[x_o_alpha©-minus]])-(Tabella34[[#This Row],[Day]]-po)</f>
        <v>#DIV/0!</v>
      </c>
      <c r="BN31" s="262" t="e">
        <f>-sigma_o+SQRT(sigma_o^2-2*Tabella34[[#This Row],[c_o]])</f>
        <v>#DIV/0!</v>
      </c>
      <c r="BO31" s="262" t="e">
        <f>-sigma_o-SQRT(sigma_o^2-2*Tabella34[[#This Row],[c_o]])</f>
        <v>#DIV/0!</v>
      </c>
      <c r="BP31" s="262" t="e">
        <f>mu_o-LN(alpha*Ko/(Tabella34[[#This Row],[rest of Italy velocity]]*sigma_o*SQRTPI(2)))</f>
        <v>#DIV/0!</v>
      </c>
      <c r="BQ31" s="262" t="e">
        <f>Tabella34[[#This Row],[t_alpha_o+plus]]</f>
        <v>#DIV/0!</v>
      </c>
      <c r="BR31" s="90">
        <f>IFERROR(-Ka*_xlfn.LOGNORM.DIST((Tabella34[[#This Row],[Day]]-pa),mu_a,sigma_a,FALSE)*(1+(LN((Tabella34[[#This Row],[Day]]-pa))-mu_a)/sigma_a^2)/(Tabella34[[#This Row],[Day]]-pa),0)</f>
        <v>0</v>
      </c>
      <c r="BS31" s="157">
        <f>Tabella34[[#This Row],[rest of Italy acc. fit]]/y_a_peak</f>
        <v>0</v>
      </c>
      <c r="BT31" s="156">
        <f>Tabella34[[#This Row],[rest of Italy acc. fit]]*NOT(ISBLANK(Tabella34[[#This Row],[rest of Italy data]]))</f>
        <v>0</v>
      </c>
      <c r="BU31" s="95">
        <f>Tabella34[[#This Row],[rest of Italy acc. fit]]+CIa</f>
        <v>5338.8394351600173</v>
      </c>
      <c r="BV31" s="95">
        <f>MAX(Tabella34[[#This Row],[rest of Italy acc. fit]]-CIa,0)</f>
        <v>0</v>
      </c>
      <c r="BW31" s="1"/>
      <c r="BX31" s="238" t="s">
        <v>4012</v>
      </c>
      <c r="BY31" s="239">
        <f>pr</f>
        <v>31.22221573497708</v>
      </c>
      <c r="CL31" s="62" t="b">
        <f>sigma_a&gt;=0.000001</f>
        <v>1</v>
      </c>
    </row>
    <row r="32" spans="2:90" x14ac:dyDescent="0.3">
      <c r="B32" s="281">
        <v>43855</v>
      </c>
      <c r="C32" s="4">
        <v>25</v>
      </c>
      <c r="D32" s="10">
        <f>Tabella8[[#This Row],[Spain cum. Cases]]</f>
        <v>0</v>
      </c>
      <c r="E32" s="90">
        <f>(Tabella34[[#This Row],[Spain cumul. Cases]]-D31)</f>
        <v>0</v>
      </c>
      <c r="F32" s="90">
        <f>Tabella34[[#This Row],[Spain daily cases]]-E31</f>
        <v>0</v>
      </c>
      <c r="G32" s="156">
        <f>Tabella34[[#This Row],[Spain daily cases]]*NOT(ISBLANK(Tabella34[[#This Row],[Spain daily cases]]))</f>
        <v>0</v>
      </c>
      <c r="H32" s="157">
        <f>Tabella8[[#This Row],[Spain cum. fit]]</f>
        <v>0</v>
      </c>
      <c r="I32" s="157" t="e">
        <f>_xlfn.LOGNORM.INV(alpha*Tabella34[[#This Row],[Spain cumul. Fit]]/Kt,mu_t,sigma_t)-(Tabella34[[#This Row],[Day]]-pt)</f>
        <v>#NUM!</v>
      </c>
      <c r="J32" s="157" t="e">
        <f>Tabella34[[#This Row],[Spain fitted d.t.]]/Spain_dt_at_lockdown</f>
        <v>#NUM!</v>
      </c>
      <c r="K32" s="157">
        <f>Tabella34[[#This Row],[Spain cumul. Fit]]/Kf</f>
        <v>0</v>
      </c>
      <c r="L32" s="160"/>
      <c r="M32" s="157"/>
      <c r="N32" s="157">
        <f>IFERROR(Kt*_xlfn.LOGNORM.DIST((Tabella34[[#This Row],[Day]]-pt),mu_t,sigma_t,FALSE),0)</f>
        <v>0</v>
      </c>
      <c r="O32" s="157" t="e">
        <f>Kt*EXP(-0.5*Tabella34[[#This Row],[x_t]]^2)/(sigma_t*SQRTPI(2)*(Tabella34[[#This Row],[Day]]-D_bk))</f>
        <v>#NUM!</v>
      </c>
      <c r="P32" s="199" t="e">
        <f>Tabella34[[#This Row],[Spain fitted velocity]]/Tabella34[[#This Row],[Spain cumul. Fit]]</f>
        <v>#DIV/0!</v>
      </c>
      <c r="Q32" s="262" t="e">
        <f>(LN(Tabella34[[#This Row],[Day]]-pt)-mu_t)/sigma_t</f>
        <v>#NUM!</v>
      </c>
      <c r="R32" s="262" t="e">
        <f>EXP(mu_t+sigma_t*Tabella34[[#This Row],[x_t_alpha©+plus]])-(Tabella34[[#This Row],[Day]]-pt)</f>
        <v>#DIV/0!</v>
      </c>
      <c r="S32" s="262" t="e">
        <f>EXP(mu_t+sigma_t*Tabella34[[#This Row],[x_t_alpha©-minus]])-(Tabella34[[#This Row],[Day]]-pt)</f>
        <v>#DIV/0!</v>
      </c>
      <c r="T32" s="262" t="e">
        <f>-sigma_t+SQRT(sigma_t^2-2*Tabella34[[#This Row],[c_t]])</f>
        <v>#DIV/0!</v>
      </c>
      <c r="U32" s="262" t="e">
        <f>-sigma_t-SQRT(sigma_t^2-2*Tabella34[[#This Row],[c_t]])</f>
        <v>#DIV/0!</v>
      </c>
      <c r="V32" s="262" t="e">
        <f>mu_t-LN(alpha*Kt/(Tabella34[[#This Row],[Spain fitted velocity]]*sigma_t*SQRTPI(2)))</f>
        <v>#DIV/0!</v>
      </c>
      <c r="W32" s="262" t="e">
        <f>Tabella34[[#This Row],[Spain fitted g.r.]]/Spain_gr_at_lockdown</f>
        <v>#DIV/0!</v>
      </c>
      <c r="X32" s="262" t="e">
        <f>Tabella34[[#This Row],[t_alpha_t+plus]]</f>
        <v>#DIV/0!</v>
      </c>
      <c r="Y32" s="262" t="e">
        <f>Tabella34[[#This Row],[Spain fitted h.t.]]/Spain_ht_at_lockdown</f>
        <v>#DIV/0!</v>
      </c>
      <c r="Z32" s="90">
        <f>IFERROR(-Kf*_xlfn.LOGNORM.DIST((Tabella34[[#This Row],[Day]]-pf),mu_f,sigma_f,FALSE)*(1+(LN((Tabella34[[#This Row],[Day]]-pf))-mu_f)/sigma_f^2)/(Tabella34[[#This Row],[Day]]-pf),0)</f>
        <v>0</v>
      </c>
      <c r="AA32" s="90">
        <f>Tabella34[[#This Row],[Spain acc. fit]]/Spain_acc_at_lockdown</f>
        <v>0</v>
      </c>
      <c r="AB32" s="157">
        <f>Tabella34[[#This Row],[Spain acc. fit]]/y_f_peak</f>
        <v>0</v>
      </c>
      <c r="AC32" s="157">
        <f>Tabella34[[#This Row],[Colonna4]]*NOT(ISBLANK(Tabella34[[#This Row],[Spain daily cases]]))</f>
        <v>0</v>
      </c>
      <c r="AD32" s="157">
        <f>Tabella34[[#This Row],[Spain acc. fit]]*NOT(ISBLANK(Tabella34[[#This Row],[Spain daily cases]]))</f>
        <v>0</v>
      </c>
      <c r="AE32" s="95">
        <f>Tabella34[[#This Row],[Spain acc. fit]]+CIf</f>
        <v>2342.6884176810927</v>
      </c>
      <c r="AF32" s="95">
        <f>MAX(Tabella34[[#This Row],[Spain acc. fit]]-CIf,0)</f>
        <v>0</v>
      </c>
      <c r="AG32" s="155"/>
      <c r="AH32" s="33"/>
      <c r="AI32" s="33"/>
      <c r="AJ32" s="156">
        <f>Tabella34[[#This Row],[Lombardy data]]*NOT(ISBLANK(Tabella34[[#This Row],[Lombardy data]]))</f>
        <v>0</v>
      </c>
      <c r="AK32" s="161">
        <f>Tabella8[[#This Row],[Lombardy fit]]</f>
        <v>0</v>
      </c>
      <c r="AL32" s="157" t="e">
        <f>_xlfn.LOGNORM.INV(alpha*Tabella34[[#This Row],[Lombardy cumul. Fit]]/Kr,mu_r,sigma_r)-(Tabella34[[#This Row],[Day]]-pr)</f>
        <v>#NUM!</v>
      </c>
      <c r="AM32" s="156">
        <f>Tabella34[[#This Row],[Lombardy cumul. Fit]]/Kl</f>
        <v>0</v>
      </c>
      <c r="AN32" s="157">
        <f>IFERROR(Kr*_xlfn.LOGNORM.DIST((Tabella34[[#This Row],[Day]]-pr),mu_r,sigma_r,FALSE),0)</f>
        <v>0</v>
      </c>
      <c r="AO32" s="199" t="e">
        <f>Tabella34[[#This Row],[Lombardy velocity]]/Tabella34[[#This Row],[Lombardy cumul. Fit]]</f>
        <v>#DIV/0!</v>
      </c>
      <c r="AP32" s="254" t="e">
        <f>(LN(Tabella34[[#This Row],[Day]]-pr)-mu_r)/sigma_r</f>
        <v>#NUM!</v>
      </c>
      <c r="AQ32" s="262" t="e">
        <f>EXP(mu_r+sigma_r*Tabella34[[#This Row],[x_r_alpha©+plus]])-(Tabella34[[#This Row],[Day]]-pr)</f>
        <v>#DIV/0!</v>
      </c>
      <c r="AR32" s="262" t="e">
        <f>EXP(mu_r+sigma_r*Tabella34[[#This Row],[x_r_alpha©-minus]])-(Tabella34[[#This Row],[Day]]-pr)</f>
        <v>#DIV/0!</v>
      </c>
      <c r="AS32" s="262" t="e">
        <f>-sigma_r+SQRT(sigma_r^2-2*Tabella34[[#This Row],[c_r]])</f>
        <v>#DIV/0!</v>
      </c>
      <c r="AT32" s="262" t="e">
        <f>-sigma_r-SQRT(sigma_r^2-2*Tabella34[[#This Row],[c_r]])</f>
        <v>#DIV/0!</v>
      </c>
      <c r="AU32" s="262" t="e">
        <f>mu_r-LN(alpha*Kr/(Tabella34[[#This Row],[Lombardy velocity]]*sigma_r*SQRTPI(2)))</f>
        <v>#DIV/0!</v>
      </c>
      <c r="AV32" s="262" t="e">
        <f>Tabella34[[#This Row],[t_alpha_r+plus]]</f>
        <v>#DIV/0!</v>
      </c>
      <c r="AW32" s="90">
        <f>IFERROR(-Kl*_xlfn.LOGNORM.DIST((Tabella34[[#This Row],[Day]]-pl),mu_l,sigma_l,FALSE)*(1+(LN((Tabella34[[#This Row],[Day]]-pl))-mu_l)/sigma_l^2)/(Tabella34[[#This Row],[Day]]-pl),0)</f>
        <v>0</v>
      </c>
      <c r="AX32" s="157">
        <f>Tabella34[[#This Row],[Lombardy acc. fit]]/y_l_peak</f>
        <v>0</v>
      </c>
      <c r="AY32" s="157">
        <f>Tabella34[[#This Row],[Lombardy acc. fit]]*NOT(ISBLANK(Tabella34[[#This Row],[Lombardy data]]))</f>
        <v>0</v>
      </c>
      <c r="AZ32" s="95">
        <f>Tabella34[[#This Row],[Lombardy acc. fit]]+CIl</f>
        <v>2570.3823229164086</v>
      </c>
      <c r="BA32" s="95">
        <f>MAX(Tabella34[[#This Row],[Lombardy acc. fit]]-CIl,0)</f>
        <v>0</v>
      </c>
      <c r="BB32" s="155"/>
      <c r="BC32" s="33"/>
      <c r="BD32" s="33"/>
      <c r="BE32" s="156">
        <f>Tabella34[[#This Row],[rest of Italy data]]*NOT(ISBLANK(Tabella34[[#This Row],[rest of Italy data]]))</f>
        <v>0</v>
      </c>
      <c r="BF32" s="204">
        <f>Tabella8[[#This Row],[rest of Italy fit]]</f>
        <v>0</v>
      </c>
      <c r="BG32" s="157" t="e">
        <f>_xlfn.LOGNORM.INV(alpha*Tabella34[[#This Row],[rest of Italy cumul. Fit]]/Ko,mu_o,sigma_o)-(Tabella34[[#This Row],[Day]]-po)</f>
        <v>#NUM!</v>
      </c>
      <c r="BH32" s="157">
        <f>Tabella34[[#This Row],[rest of Italy cumul. Fit]]/Ka</f>
        <v>0</v>
      </c>
      <c r="BI32" s="157">
        <f>IFERROR(Ko*_xlfn.LOGNORM.DIST((Tabella34[[#This Row],[Day]]-po),mu_o,sigma_o,FALSE),0)</f>
        <v>0</v>
      </c>
      <c r="BJ32" s="199" t="e">
        <f>Tabella34[[#This Row],[rest of Italy velocity]]/Tabella34[[#This Row],[rest of Italy cumul. Fit]]</f>
        <v>#DIV/0!</v>
      </c>
      <c r="BK32" s="254" t="e">
        <f>(LN(Tabella34[[#This Row],[Day]]-po)-mu_o)/sigma_o</f>
        <v>#NUM!</v>
      </c>
      <c r="BL32" s="262" t="e">
        <f>EXP(mu_o+sigma_o*Tabella34[[#This Row],[x_o_alpha©+plus]])-(Tabella34[[#This Row],[Day]]-po)</f>
        <v>#DIV/0!</v>
      </c>
      <c r="BM32" s="262" t="e">
        <f>EXP(mu_o+sigma_o*Tabella34[[#This Row],[x_o_alpha©-minus]])-(Tabella34[[#This Row],[Day]]-po)</f>
        <v>#DIV/0!</v>
      </c>
      <c r="BN32" s="262" t="e">
        <f>-sigma_o+SQRT(sigma_o^2-2*Tabella34[[#This Row],[c_o]])</f>
        <v>#DIV/0!</v>
      </c>
      <c r="BO32" s="262" t="e">
        <f>-sigma_o-SQRT(sigma_o^2-2*Tabella34[[#This Row],[c_o]])</f>
        <v>#DIV/0!</v>
      </c>
      <c r="BP32" s="262" t="e">
        <f>mu_o-LN(alpha*Ko/(Tabella34[[#This Row],[rest of Italy velocity]]*sigma_o*SQRTPI(2)))</f>
        <v>#DIV/0!</v>
      </c>
      <c r="BQ32" s="262" t="e">
        <f>Tabella34[[#This Row],[t_alpha_o+plus]]</f>
        <v>#DIV/0!</v>
      </c>
      <c r="BR32" s="90">
        <f>IFERROR(-Ka*_xlfn.LOGNORM.DIST((Tabella34[[#This Row],[Day]]-pa),mu_a,sigma_a,FALSE)*(1+(LN((Tabella34[[#This Row],[Day]]-pa))-mu_a)/sigma_a^2)/(Tabella34[[#This Row],[Day]]-pa),0)</f>
        <v>0</v>
      </c>
      <c r="BS32" s="157">
        <f>Tabella34[[#This Row],[rest of Italy acc. fit]]/y_a_peak</f>
        <v>0</v>
      </c>
      <c r="BT32" s="156">
        <f>Tabella34[[#This Row],[rest of Italy acc. fit]]*NOT(ISBLANK(Tabella34[[#This Row],[rest of Italy data]]))</f>
        <v>0</v>
      </c>
      <c r="BU32" s="95">
        <f>Tabella34[[#This Row],[rest of Italy acc. fit]]+CIa</f>
        <v>5338.8394351600173</v>
      </c>
      <c r="BV32" s="95">
        <f>MAX(Tabella34[[#This Row],[rest of Italy acc. fit]]-CIa,0)</f>
        <v>0</v>
      </c>
      <c r="BW32" s="1"/>
      <c r="BX32" s="240" t="s">
        <v>18</v>
      </c>
      <c r="BY32" s="241" t="s">
        <v>34</v>
      </c>
      <c r="CL32" s="62">
        <f>{32767;32767;0.000001;0.01;FALSE;FALSE;FALSE;1;2;1;0.0001;TRUE}</f>
        <v>32767</v>
      </c>
    </row>
    <row r="33" spans="2:90" ht="15" thickBot="1" x14ac:dyDescent="0.35">
      <c r="B33" s="281">
        <v>43856</v>
      </c>
      <c r="C33" s="4">
        <v>26</v>
      </c>
      <c r="D33" s="10">
        <f>Tabella8[[#This Row],[Spain cum. Cases]]</f>
        <v>0</v>
      </c>
      <c r="E33" s="90">
        <f>(Tabella34[[#This Row],[Spain cumul. Cases]]-D32)</f>
        <v>0</v>
      </c>
      <c r="F33" s="90">
        <f>Tabella34[[#This Row],[Spain daily cases]]-E32</f>
        <v>0</v>
      </c>
      <c r="G33" s="156">
        <f>Tabella34[[#This Row],[Spain daily cases]]*NOT(ISBLANK(Tabella34[[#This Row],[Spain daily cases]]))</f>
        <v>0</v>
      </c>
      <c r="H33" s="157">
        <f>Tabella8[[#This Row],[Spain cum. fit]]</f>
        <v>0</v>
      </c>
      <c r="I33" s="157" t="e">
        <f>_xlfn.LOGNORM.INV(alpha*Tabella34[[#This Row],[Spain cumul. Fit]]/Kt,mu_t,sigma_t)-(Tabella34[[#This Row],[Day]]-pt)</f>
        <v>#NUM!</v>
      </c>
      <c r="J33" s="157" t="e">
        <f>Tabella34[[#This Row],[Spain fitted d.t.]]/Spain_dt_at_lockdown</f>
        <v>#NUM!</v>
      </c>
      <c r="K33" s="157">
        <f>Tabella34[[#This Row],[Spain cumul. Fit]]/Kf</f>
        <v>0</v>
      </c>
      <c r="L33" s="160"/>
      <c r="M33" s="157"/>
      <c r="N33" s="157">
        <f>IFERROR(Kt*_xlfn.LOGNORM.DIST((Tabella34[[#This Row],[Day]]-pt),mu_t,sigma_t,FALSE),0)</f>
        <v>0</v>
      </c>
      <c r="O33" s="157" t="e">
        <f>Kt*EXP(-0.5*Tabella34[[#This Row],[x_t]]^2)/(sigma_t*SQRTPI(2)*(Tabella34[[#This Row],[Day]]-D_bk))</f>
        <v>#NUM!</v>
      </c>
      <c r="P33" s="199" t="e">
        <f>Tabella34[[#This Row],[Spain fitted velocity]]/Tabella34[[#This Row],[Spain cumul. Fit]]</f>
        <v>#DIV/0!</v>
      </c>
      <c r="Q33" s="262" t="e">
        <f>(LN(Tabella34[[#This Row],[Day]]-pt)-mu_t)/sigma_t</f>
        <v>#NUM!</v>
      </c>
      <c r="R33" s="262" t="e">
        <f>EXP(mu_t+sigma_t*Tabella34[[#This Row],[x_t_alpha©+plus]])-(Tabella34[[#This Row],[Day]]-pt)</f>
        <v>#DIV/0!</v>
      </c>
      <c r="S33" s="262" t="e">
        <f>EXP(mu_t+sigma_t*Tabella34[[#This Row],[x_t_alpha©-minus]])-(Tabella34[[#This Row],[Day]]-pt)</f>
        <v>#DIV/0!</v>
      </c>
      <c r="T33" s="262" t="e">
        <f>-sigma_t+SQRT(sigma_t^2-2*Tabella34[[#This Row],[c_t]])</f>
        <v>#DIV/0!</v>
      </c>
      <c r="U33" s="262" t="e">
        <f>-sigma_t-SQRT(sigma_t^2-2*Tabella34[[#This Row],[c_t]])</f>
        <v>#DIV/0!</v>
      </c>
      <c r="V33" s="262" t="e">
        <f>mu_t-LN(alpha*Kt/(Tabella34[[#This Row],[Spain fitted velocity]]*sigma_t*SQRTPI(2)))</f>
        <v>#DIV/0!</v>
      </c>
      <c r="W33" s="262" t="e">
        <f>Tabella34[[#This Row],[Spain fitted g.r.]]/Spain_gr_at_lockdown</f>
        <v>#DIV/0!</v>
      </c>
      <c r="X33" s="262" t="e">
        <f>Tabella34[[#This Row],[t_alpha_t+plus]]</f>
        <v>#DIV/0!</v>
      </c>
      <c r="Y33" s="262" t="e">
        <f>Tabella34[[#This Row],[Spain fitted h.t.]]/Spain_ht_at_lockdown</f>
        <v>#DIV/0!</v>
      </c>
      <c r="Z33" s="90">
        <f>IFERROR(-Kf*_xlfn.LOGNORM.DIST((Tabella34[[#This Row],[Day]]-pf),mu_f,sigma_f,FALSE)*(1+(LN((Tabella34[[#This Row],[Day]]-pf))-mu_f)/sigma_f^2)/(Tabella34[[#This Row],[Day]]-pf),0)</f>
        <v>0</v>
      </c>
      <c r="AA33" s="90">
        <f>Tabella34[[#This Row],[Spain acc. fit]]/Spain_acc_at_lockdown</f>
        <v>0</v>
      </c>
      <c r="AB33" s="157">
        <f>Tabella34[[#This Row],[Spain acc. fit]]/y_f_peak</f>
        <v>0</v>
      </c>
      <c r="AC33" s="157">
        <f>Tabella34[[#This Row],[Colonna4]]*NOT(ISBLANK(Tabella34[[#This Row],[Spain daily cases]]))</f>
        <v>0</v>
      </c>
      <c r="AD33" s="157">
        <f>Tabella34[[#This Row],[Spain acc. fit]]*NOT(ISBLANK(Tabella34[[#This Row],[Spain daily cases]]))</f>
        <v>0</v>
      </c>
      <c r="AE33" s="95">
        <f>Tabella34[[#This Row],[Spain acc. fit]]+CIf</f>
        <v>2342.6884176810927</v>
      </c>
      <c r="AF33" s="95">
        <f>MAX(Tabella34[[#This Row],[Spain acc. fit]]-CIf,0)</f>
        <v>0</v>
      </c>
      <c r="AG33" s="155"/>
      <c r="AH33" s="33"/>
      <c r="AI33" s="33"/>
      <c r="AJ33" s="156">
        <f>Tabella34[[#This Row],[Lombardy data]]*NOT(ISBLANK(Tabella34[[#This Row],[Lombardy data]]))</f>
        <v>0</v>
      </c>
      <c r="AK33" s="161">
        <f>Tabella8[[#This Row],[Lombardy fit]]</f>
        <v>0</v>
      </c>
      <c r="AL33" s="157" t="e">
        <f>_xlfn.LOGNORM.INV(alpha*Tabella34[[#This Row],[Lombardy cumul. Fit]]/Kr,mu_r,sigma_r)-(Tabella34[[#This Row],[Day]]-pr)</f>
        <v>#NUM!</v>
      </c>
      <c r="AM33" s="156">
        <f>Tabella34[[#This Row],[Lombardy cumul. Fit]]/Kl</f>
        <v>0</v>
      </c>
      <c r="AN33" s="157">
        <f>IFERROR(Kr*_xlfn.LOGNORM.DIST((Tabella34[[#This Row],[Day]]-pr),mu_r,sigma_r,FALSE),0)</f>
        <v>0</v>
      </c>
      <c r="AO33" s="199" t="e">
        <f>Tabella34[[#This Row],[Lombardy velocity]]/Tabella34[[#This Row],[Lombardy cumul. Fit]]</f>
        <v>#DIV/0!</v>
      </c>
      <c r="AP33" s="254" t="e">
        <f>(LN(Tabella34[[#This Row],[Day]]-pr)-mu_r)/sigma_r</f>
        <v>#NUM!</v>
      </c>
      <c r="AQ33" s="262" t="e">
        <f>EXP(mu_r+sigma_r*Tabella34[[#This Row],[x_r_alpha©+plus]])-(Tabella34[[#This Row],[Day]]-pr)</f>
        <v>#DIV/0!</v>
      </c>
      <c r="AR33" s="262" t="e">
        <f>EXP(mu_r+sigma_r*Tabella34[[#This Row],[x_r_alpha©-minus]])-(Tabella34[[#This Row],[Day]]-pr)</f>
        <v>#DIV/0!</v>
      </c>
      <c r="AS33" s="262" t="e">
        <f>-sigma_r+SQRT(sigma_r^2-2*Tabella34[[#This Row],[c_r]])</f>
        <v>#DIV/0!</v>
      </c>
      <c r="AT33" s="262" t="e">
        <f>-sigma_r-SQRT(sigma_r^2-2*Tabella34[[#This Row],[c_r]])</f>
        <v>#DIV/0!</v>
      </c>
      <c r="AU33" s="262" t="e">
        <f>mu_r-LN(alpha*Kr/(Tabella34[[#This Row],[Lombardy velocity]]*sigma_r*SQRTPI(2)))</f>
        <v>#DIV/0!</v>
      </c>
      <c r="AV33" s="262" t="e">
        <f>Tabella34[[#This Row],[t_alpha_r+plus]]</f>
        <v>#DIV/0!</v>
      </c>
      <c r="AW33" s="90">
        <f>IFERROR(-Kl*_xlfn.LOGNORM.DIST((Tabella34[[#This Row],[Day]]-pl),mu_l,sigma_l,FALSE)*(1+(LN((Tabella34[[#This Row],[Day]]-pl))-mu_l)/sigma_l^2)/(Tabella34[[#This Row],[Day]]-pl),0)</f>
        <v>0</v>
      </c>
      <c r="AX33" s="157">
        <f>Tabella34[[#This Row],[Lombardy acc. fit]]/y_l_peak</f>
        <v>0</v>
      </c>
      <c r="AY33" s="157">
        <f>Tabella34[[#This Row],[Lombardy acc. fit]]*NOT(ISBLANK(Tabella34[[#This Row],[Lombardy data]]))</f>
        <v>0</v>
      </c>
      <c r="AZ33" s="95">
        <f>Tabella34[[#This Row],[Lombardy acc. fit]]+CIl</f>
        <v>2570.3823229164086</v>
      </c>
      <c r="BA33" s="95">
        <f>MAX(Tabella34[[#This Row],[Lombardy acc. fit]]-CIl,0)</f>
        <v>0</v>
      </c>
      <c r="BB33" s="155"/>
      <c r="BC33" s="33"/>
      <c r="BD33" s="33"/>
      <c r="BE33" s="156">
        <f>Tabella34[[#This Row],[rest of Italy data]]*NOT(ISBLANK(Tabella34[[#This Row],[rest of Italy data]]))</f>
        <v>0</v>
      </c>
      <c r="BF33" s="204">
        <f>Tabella8[[#This Row],[rest of Italy fit]]</f>
        <v>0</v>
      </c>
      <c r="BG33" s="157" t="e">
        <f>_xlfn.LOGNORM.INV(alpha*Tabella34[[#This Row],[rest of Italy cumul. Fit]]/Ko,mu_o,sigma_o)-(Tabella34[[#This Row],[Day]]-po)</f>
        <v>#NUM!</v>
      </c>
      <c r="BH33" s="157">
        <f>Tabella34[[#This Row],[rest of Italy cumul. Fit]]/Ka</f>
        <v>0</v>
      </c>
      <c r="BI33" s="157">
        <f>IFERROR(Ko*_xlfn.LOGNORM.DIST((Tabella34[[#This Row],[Day]]-po),mu_o,sigma_o,FALSE),0)</f>
        <v>0</v>
      </c>
      <c r="BJ33" s="199" t="e">
        <f>Tabella34[[#This Row],[rest of Italy velocity]]/Tabella34[[#This Row],[rest of Italy cumul. Fit]]</f>
        <v>#DIV/0!</v>
      </c>
      <c r="BK33" s="254" t="e">
        <f>(LN(Tabella34[[#This Row],[Day]]-po)-mu_o)/sigma_o</f>
        <v>#NUM!</v>
      </c>
      <c r="BL33" s="262" t="e">
        <f>EXP(mu_o+sigma_o*Tabella34[[#This Row],[x_o_alpha©+plus]])-(Tabella34[[#This Row],[Day]]-po)</f>
        <v>#DIV/0!</v>
      </c>
      <c r="BM33" s="262" t="e">
        <f>EXP(mu_o+sigma_o*Tabella34[[#This Row],[x_o_alpha©-minus]])-(Tabella34[[#This Row],[Day]]-po)</f>
        <v>#DIV/0!</v>
      </c>
      <c r="BN33" s="262" t="e">
        <f>-sigma_o+SQRT(sigma_o^2-2*Tabella34[[#This Row],[c_o]])</f>
        <v>#DIV/0!</v>
      </c>
      <c r="BO33" s="262" t="e">
        <f>-sigma_o-SQRT(sigma_o^2-2*Tabella34[[#This Row],[c_o]])</f>
        <v>#DIV/0!</v>
      </c>
      <c r="BP33" s="262" t="e">
        <f>mu_o-LN(alpha*Ko/(Tabella34[[#This Row],[rest of Italy velocity]]*sigma_o*SQRTPI(2)))</f>
        <v>#DIV/0!</v>
      </c>
      <c r="BQ33" s="262" t="e">
        <f>Tabella34[[#This Row],[t_alpha_o+plus]]</f>
        <v>#DIV/0!</v>
      </c>
      <c r="BR33" s="90">
        <f>IFERROR(-Ka*_xlfn.LOGNORM.DIST((Tabella34[[#This Row],[Day]]-pa),mu_a,sigma_a,FALSE)*(1+(LN((Tabella34[[#This Row],[Day]]-pa))-mu_a)/sigma_a^2)/(Tabella34[[#This Row],[Day]]-pa),0)</f>
        <v>0</v>
      </c>
      <c r="BS33" s="157">
        <f>Tabella34[[#This Row],[rest of Italy acc. fit]]/y_a_peak</f>
        <v>0</v>
      </c>
      <c r="BT33" s="156">
        <f>Tabella34[[#This Row],[rest of Italy acc. fit]]*NOT(ISBLANK(Tabella34[[#This Row],[rest of Italy data]]))</f>
        <v>0</v>
      </c>
      <c r="BU33" s="95">
        <f>Tabella34[[#This Row],[rest of Italy acc. fit]]+CIa</f>
        <v>5338.8394351600173</v>
      </c>
      <c r="BV33" s="95">
        <f>MAX(Tabella34[[#This Row],[rest of Italy acc. fit]]-CIa,0)</f>
        <v>0</v>
      </c>
      <c r="BW33" s="1"/>
      <c r="BX33" s="227" t="s">
        <v>0</v>
      </c>
      <c r="BY33" s="228">
        <f>Ko</f>
        <v>147999.98277109722</v>
      </c>
      <c r="CL33" s="62">
        <f>{0;0;1;200;0;FALSE;FALSE;0.075;0;0;FALSE;30}</f>
        <v>0</v>
      </c>
    </row>
    <row r="34" spans="2:90" x14ac:dyDescent="0.3">
      <c r="B34" s="281">
        <v>43857</v>
      </c>
      <c r="C34" s="4">
        <v>27</v>
      </c>
      <c r="D34" s="10">
        <f>Tabella8[[#This Row],[Spain cum. Cases]]</f>
        <v>0</v>
      </c>
      <c r="E34" s="90">
        <f>(Tabella34[[#This Row],[Spain cumul. Cases]]-D33)</f>
        <v>0</v>
      </c>
      <c r="F34" s="90">
        <f>Tabella34[[#This Row],[Spain daily cases]]-E33</f>
        <v>0</v>
      </c>
      <c r="G34" s="156">
        <f>Tabella34[[#This Row],[Spain daily cases]]*NOT(ISBLANK(Tabella34[[#This Row],[Spain daily cases]]))</f>
        <v>0</v>
      </c>
      <c r="H34" s="157">
        <f>Tabella8[[#This Row],[Spain cum. fit]]</f>
        <v>0</v>
      </c>
      <c r="I34" s="157" t="e">
        <f>_xlfn.LOGNORM.INV(alpha*Tabella34[[#This Row],[Spain cumul. Fit]]/Kt,mu_t,sigma_t)-(Tabella34[[#This Row],[Day]]-pt)</f>
        <v>#NUM!</v>
      </c>
      <c r="J34" s="157" t="e">
        <f>Tabella34[[#This Row],[Spain fitted d.t.]]/Spain_dt_at_lockdown</f>
        <v>#NUM!</v>
      </c>
      <c r="K34" s="157">
        <f>Tabella34[[#This Row],[Spain cumul. Fit]]/Kf</f>
        <v>0</v>
      </c>
      <c r="L34" s="160"/>
      <c r="M34" s="157"/>
      <c r="N34" s="157">
        <f>IFERROR(Kt*_xlfn.LOGNORM.DIST((Tabella34[[#This Row],[Day]]-pt),mu_t,sigma_t,FALSE),0)</f>
        <v>0</v>
      </c>
      <c r="O34" s="157" t="e">
        <f>Kt*EXP(-0.5*Tabella34[[#This Row],[x_t]]^2)/(sigma_t*SQRTPI(2)*(Tabella34[[#This Row],[Day]]-D_bk))</f>
        <v>#NUM!</v>
      </c>
      <c r="P34" s="199" t="e">
        <f>Tabella34[[#This Row],[Spain fitted velocity]]/Tabella34[[#This Row],[Spain cumul. Fit]]</f>
        <v>#DIV/0!</v>
      </c>
      <c r="Q34" s="262" t="e">
        <f>(LN(Tabella34[[#This Row],[Day]]-pt)-mu_t)/sigma_t</f>
        <v>#NUM!</v>
      </c>
      <c r="R34" s="262" t="e">
        <f>EXP(mu_t+sigma_t*Tabella34[[#This Row],[x_t_alpha©+plus]])-(Tabella34[[#This Row],[Day]]-pt)</f>
        <v>#DIV/0!</v>
      </c>
      <c r="S34" s="262" t="e">
        <f>EXP(mu_t+sigma_t*Tabella34[[#This Row],[x_t_alpha©-minus]])-(Tabella34[[#This Row],[Day]]-pt)</f>
        <v>#DIV/0!</v>
      </c>
      <c r="T34" s="262" t="e">
        <f>-sigma_t+SQRT(sigma_t^2-2*Tabella34[[#This Row],[c_t]])</f>
        <v>#DIV/0!</v>
      </c>
      <c r="U34" s="262" t="e">
        <f>-sigma_t-SQRT(sigma_t^2-2*Tabella34[[#This Row],[c_t]])</f>
        <v>#DIV/0!</v>
      </c>
      <c r="V34" s="262" t="e">
        <f>mu_t-LN(alpha*Kt/(Tabella34[[#This Row],[Spain fitted velocity]]*sigma_t*SQRTPI(2)))</f>
        <v>#DIV/0!</v>
      </c>
      <c r="W34" s="262" t="e">
        <f>Tabella34[[#This Row],[Spain fitted g.r.]]/Spain_gr_at_lockdown</f>
        <v>#DIV/0!</v>
      </c>
      <c r="X34" s="262" t="e">
        <f>Tabella34[[#This Row],[t_alpha_t+plus]]</f>
        <v>#DIV/0!</v>
      </c>
      <c r="Y34" s="262" t="e">
        <f>Tabella34[[#This Row],[Spain fitted h.t.]]/Spain_ht_at_lockdown</f>
        <v>#DIV/0!</v>
      </c>
      <c r="Z34" s="90">
        <f>IFERROR(-Kf*_xlfn.LOGNORM.DIST((Tabella34[[#This Row],[Day]]-pf),mu_f,sigma_f,FALSE)*(1+(LN((Tabella34[[#This Row],[Day]]-pf))-mu_f)/sigma_f^2)/(Tabella34[[#This Row],[Day]]-pf),0)</f>
        <v>0</v>
      </c>
      <c r="AA34" s="90">
        <f>Tabella34[[#This Row],[Spain acc. fit]]/Spain_acc_at_lockdown</f>
        <v>0</v>
      </c>
      <c r="AB34" s="157">
        <f>Tabella34[[#This Row],[Spain acc. fit]]/y_f_peak</f>
        <v>0</v>
      </c>
      <c r="AC34" s="157">
        <f>Tabella34[[#This Row],[Colonna4]]*NOT(ISBLANK(Tabella34[[#This Row],[Spain daily cases]]))</f>
        <v>0</v>
      </c>
      <c r="AD34" s="157">
        <f>Tabella34[[#This Row],[Spain acc. fit]]*NOT(ISBLANK(Tabella34[[#This Row],[Spain daily cases]]))</f>
        <v>0</v>
      </c>
      <c r="AE34" s="95">
        <f>Tabella34[[#This Row],[Spain acc. fit]]+CIf</f>
        <v>2342.6884176810927</v>
      </c>
      <c r="AF34" s="95">
        <f>MAX(Tabella34[[#This Row],[Spain acc. fit]]-CIf,0)</f>
        <v>0</v>
      </c>
      <c r="AG34" s="155"/>
      <c r="AH34" s="33"/>
      <c r="AI34" s="33"/>
      <c r="AJ34" s="156">
        <f>Tabella34[[#This Row],[Lombardy data]]*NOT(ISBLANK(Tabella34[[#This Row],[Lombardy data]]))</f>
        <v>0</v>
      </c>
      <c r="AK34" s="161">
        <f>Tabella8[[#This Row],[Lombardy fit]]</f>
        <v>0</v>
      </c>
      <c r="AL34" s="157" t="e">
        <f>_xlfn.LOGNORM.INV(alpha*Tabella34[[#This Row],[Lombardy cumul. Fit]]/Kr,mu_r,sigma_r)-(Tabella34[[#This Row],[Day]]-pr)</f>
        <v>#NUM!</v>
      </c>
      <c r="AM34" s="156">
        <f>Tabella34[[#This Row],[Lombardy cumul. Fit]]/Kl</f>
        <v>0</v>
      </c>
      <c r="AN34" s="157">
        <f>IFERROR(Kr*_xlfn.LOGNORM.DIST((Tabella34[[#This Row],[Day]]-pr),mu_r,sigma_r,FALSE),0)</f>
        <v>0</v>
      </c>
      <c r="AO34" s="199" t="e">
        <f>Tabella34[[#This Row],[Lombardy velocity]]/Tabella34[[#This Row],[Lombardy cumul. Fit]]</f>
        <v>#DIV/0!</v>
      </c>
      <c r="AP34" s="254" t="e">
        <f>(LN(Tabella34[[#This Row],[Day]]-pr)-mu_r)/sigma_r</f>
        <v>#NUM!</v>
      </c>
      <c r="AQ34" s="262" t="e">
        <f>EXP(mu_r+sigma_r*Tabella34[[#This Row],[x_r_alpha©+plus]])-(Tabella34[[#This Row],[Day]]-pr)</f>
        <v>#DIV/0!</v>
      </c>
      <c r="AR34" s="262" t="e">
        <f>EXP(mu_r+sigma_r*Tabella34[[#This Row],[x_r_alpha©-minus]])-(Tabella34[[#This Row],[Day]]-pr)</f>
        <v>#DIV/0!</v>
      </c>
      <c r="AS34" s="262" t="e">
        <f>-sigma_r+SQRT(sigma_r^2-2*Tabella34[[#This Row],[c_r]])</f>
        <v>#DIV/0!</v>
      </c>
      <c r="AT34" s="262" t="e">
        <f>-sigma_r-SQRT(sigma_r^2-2*Tabella34[[#This Row],[c_r]])</f>
        <v>#DIV/0!</v>
      </c>
      <c r="AU34" s="262" t="e">
        <f>mu_r-LN(alpha*Kr/(Tabella34[[#This Row],[Lombardy velocity]]*sigma_r*SQRTPI(2)))</f>
        <v>#DIV/0!</v>
      </c>
      <c r="AV34" s="262" t="e">
        <f>Tabella34[[#This Row],[t_alpha_r+plus]]</f>
        <v>#DIV/0!</v>
      </c>
      <c r="AW34" s="90">
        <f>IFERROR(-Kl*_xlfn.LOGNORM.DIST((Tabella34[[#This Row],[Day]]-pl),mu_l,sigma_l,FALSE)*(1+(LN((Tabella34[[#This Row],[Day]]-pl))-mu_l)/sigma_l^2)/(Tabella34[[#This Row],[Day]]-pl),0)</f>
        <v>0</v>
      </c>
      <c r="AX34" s="157">
        <f>Tabella34[[#This Row],[Lombardy acc. fit]]/y_l_peak</f>
        <v>0</v>
      </c>
      <c r="AY34" s="157">
        <f>Tabella34[[#This Row],[Lombardy acc. fit]]*NOT(ISBLANK(Tabella34[[#This Row],[Lombardy data]]))</f>
        <v>0</v>
      </c>
      <c r="AZ34" s="95">
        <f>Tabella34[[#This Row],[Lombardy acc. fit]]+CIl</f>
        <v>2570.3823229164086</v>
      </c>
      <c r="BA34" s="95">
        <f>MAX(Tabella34[[#This Row],[Lombardy acc. fit]]-CIl,0)</f>
        <v>0</v>
      </c>
      <c r="BB34" s="155"/>
      <c r="BC34" s="33"/>
      <c r="BD34" s="33"/>
      <c r="BE34" s="156">
        <f>Tabella34[[#This Row],[rest of Italy data]]*NOT(ISBLANK(Tabella34[[#This Row],[rest of Italy data]]))</f>
        <v>0</v>
      </c>
      <c r="BF34" s="204">
        <f>Tabella8[[#This Row],[rest of Italy fit]]</f>
        <v>0</v>
      </c>
      <c r="BG34" s="157" t="e">
        <f>_xlfn.LOGNORM.INV(alpha*Tabella34[[#This Row],[rest of Italy cumul. Fit]]/Ko,mu_o,sigma_o)-(Tabella34[[#This Row],[Day]]-po)</f>
        <v>#NUM!</v>
      </c>
      <c r="BH34" s="157">
        <f>Tabella34[[#This Row],[rest of Italy cumul. Fit]]/Ka</f>
        <v>0</v>
      </c>
      <c r="BI34" s="157">
        <f>IFERROR(Ko*_xlfn.LOGNORM.DIST((Tabella34[[#This Row],[Day]]-po),mu_o,sigma_o,FALSE),0)</f>
        <v>0</v>
      </c>
      <c r="BJ34" s="199" t="e">
        <f>Tabella34[[#This Row],[rest of Italy velocity]]/Tabella34[[#This Row],[rest of Italy cumul. Fit]]</f>
        <v>#DIV/0!</v>
      </c>
      <c r="BK34" s="254" t="e">
        <f>(LN(Tabella34[[#This Row],[Day]]-po)-mu_o)/sigma_o</f>
        <v>#NUM!</v>
      </c>
      <c r="BL34" s="262" t="e">
        <f>EXP(mu_o+sigma_o*Tabella34[[#This Row],[x_o_alpha©+plus]])-(Tabella34[[#This Row],[Day]]-po)</f>
        <v>#DIV/0!</v>
      </c>
      <c r="BM34" s="262" t="e">
        <f>EXP(mu_o+sigma_o*Tabella34[[#This Row],[x_o_alpha©-minus]])-(Tabella34[[#This Row],[Day]]-po)</f>
        <v>#DIV/0!</v>
      </c>
      <c r="BN34" s="262" t="e">
        <f>-sigma_o+SQRT(sigma_o^2-2*Tabella34[[#This Row],[c_o]])</f>
        <v>#DIV/0!</v>
      </c>
      <c r="BO34" s="262" t="e">
        <f>-sigma_o-SQRT(sigma_o^2-2*Tabella34[[#This Row],[c_o]])</f>
        <v>#DIV/0!</v>
      </c>
      <c r="BP34" s="262" t="e">
        <f>mu_o-LN(alpha*Ko/(Tabella34[[#This Row],[rest of Italy velocity]]*sigma_o*SQRTPI(2)))</f>
        <v>#DIV/0!</v>
      </c>
      <c r="BQ34" s="262" t="e">
        <f>Tabella34[[#This Row],[t_alpha_o+plus]]</f>
        <v>#DIV/0!</v>
      </c>
      <c r="BR34" s="90">
        <f>IFERROR(-Ka*_xlfn.LOGNORM.DIST((Tabella34[[#This Row],[Day]]-pa),mu_a,sigma_a,FALSE)*(1+(LN((Tabella34[[#This Row],[Day]]-pa))-mu_a)/sigma_a^2)/(Tabella34[[#This Row],[Day]]-pa),0)</f>
        <v>0</v>
      </c>
      <c r="BS34" s="157">
        <f>Tabella34[[#This Row],[rest of Italy acc. fit]]/y_a_peak</f>
        <v>0</v>
      </c>
      <c r="BT34" s="156">
        <f>Tabella34[[#This Row],[rest of Italy acc. fit]]*NOT(ISBLANK(Tabella34[[#This Row],[rest of Italy data]]))</f>
        <v>0</v>
      </c>
      <c r="BU34" s="95">
        <f>Tabella34[[#This Row],[rest of Italy acc. fit]]+CIa</f>
        <v>5338.8394351600173</v>
      </c>
      <c r="BV34" s="95">
        <f>MAX(Tabella34[[#This Row],[rest of Italy acc. fit]]-CIa,0)</f>
        <v>0</v>
      </c>
      <c r="BW34" s="1"/>
      <c r="BX34" s="229" t="s">
        <v>63</v>
      </c>
      <c r="BY34" s="230">
        <f>mu_o</f>
        <v>4.0471265119141284</v>
      </c>
      <c r="CL34" s="63"/>
    </row>
    <row r="35" spans="2:90" x14ac:dyDescent="0.3">
      <c r="B35" s="281">
        <v>43858</v>
      </c>
      <c r="C35" s="4">
        <v>28</v>
      </c>
      <c r="D35" s="10">
        <f>Tabella8[[#This Row],[Spain cum. Cases]]</f>
        <v>0</v>
      </c>
      <c r="E35" s="90">
        <f>(Tabella34[[#This Row],[Spain cumul. Cases]]-D34)</f>
        <v>0</v>
      </c>
      <c r="F35" s="90">
        <f>Tabella34[[#This Row],[Spain daily cases]]-E34</f>
        <v>0</v>
      </c>
      <c r="G35" s="156">
        <f>Tabella34[[#This Row],[Spain daily cases]]*NOT(ISBLANK(Tabella34[[#This Row],[Spain daily cases]]))</f>
        <v>0</v>
      </c>
      <c r="H35" s="157">
        <f>Tabella8[[#This Row],[Spain cum. fit]]</f>
        <v>0</v>
      </c>
      <c r="I35" s="157" t="e">
        <f>_xlfn.LOGNORM.INV(alpha*Tabella34[[#This Row],[Spain cumul. Fit]]/Kt,mu_t,sigma_t)-(Tabella34[[#This Row],[Day]]-pt)</f>
        <v>#NUM!</v>
      </c>
      <c r="J35" s="157" t="e">
        <f>Tabella34[[#This Row],[Spain fitted d.t.]]/Spain_dt_at_lockdown</f>
        <v>#NUM!</v>
      </c>
      <c r="K35" s="157">
        <f>Tabella34[[#This Row],[Spain cumul. Fit]]/Kf</f>
        <v>0</v>
      </c>
      <c r="L35" s="160"/>
      <c r="M35" s="157"/>
      <c r="N35" s="157">
        <f>IFERROR(Kt*_xlfn.LOGNORM.DIST((Tabella34[[#This Row],[Day]]-pt),mu_t,sigma_t,FALSE),0)</f>
        <v>0</v>
      </c>
      <c r="O35" s="157" t="e">
        <f>Kt*EXP(-0.5*Tabella34[[#This Row],[x_t]]^2)/(sigma_t*SQRTPI(2)*(Tabella34[[#This Row],[Day]]-D_bk))</f>
        <v>#NUM!</v>
      </c>
      <c r="P35" s="199" t="e">
        <f>Tabella34[[#This Row],[Spain fitted velocity]]/Tabella34[[#This Row],[Spain cumul. Fit]]</f>
        <v>#DIV/0!</v>
      </c>
      <c r="Q35" s="262" t="e">
        <f>(LN(Tabella34[[#This Row],[Day]]-pt)-mu_t)/sigma_t</f>
        <v>#NUM!</v>
      </c>
      <c r="R35" s="262" t="e">
        <f>EXP(mu_t+sigma_t*Tabella34[[#This Row],[x_t_alpha©+plus]])-(Tabella34[[#This Row],[Day]]-pt)</f>
        <v>#DIV/0!</v>
      </c>
      <c r="S35" s="262" t="e">
        <f>EXP(mu_t+sigma_t*Tabella34[[#This Row],[x_t_alpha©-minus]])-(Tabella34[[#This Row],[Day]]-pt)</f>
        <v>#DIV/0!</v>
      </c>
      <c r="T35" s="262" t="e">
        <f>-sigma_t+SQRT(sigma_t^2-2*Tabella34[[#This Row],[c_t]])</f>
        <v>#DIV/0!</v>
      </c>
      <c r="U35" s="262" t="e">
        <f>-sigma_t-SQRT(sigma_t^2-2*Tabella34[[#This Row],[c_t]])</f>
        <v>#DIV/0!</v>
      </c>
      <c r="V35" s="262" t="e">
        <f>mu_t-LN(alpha*Kt/(Tabella34[[#This Row],[Spain fitted velocity]]*sigma_t*SQRTPI(2)))</f>
        <v>#DIV/0!</v>
      </c>
      <c r="W35" s="262" t="e">
        <f>Tabella34[[#This Row],[Spain fitted g.r.]]/Spain_gr_at_lockdown</f>
        <v>#DIV/0!</v>
      </c>
      <c r="X35" s="262" t="e">
        <f>Tabella34[[#This Row],[t_alpha_t+plus]]</f>
        <v>#DIV/0!</v>
      </c>
      <c r="Y35" s="262" t="e">
        <f>Tabella34[[#This Row],[Spain fitted h.t.]]/Spain_ht_at_lockdown</f>
        <v>#DIV/0!</v>
      </c>
      <c r="Z35" s="90">
        <f>IFERROR(-Kf*_xlfn.LOGNORM.DIST((Tabella34[[#This Row],[Day]]-pf),mu_f,sigma_f,FALSE)*(1+(LN((Tabella34[[#This Row],[Day]]-pf))-mu_f)/sigma_f^2)/(Tabella34[[#This Row],[Day]]-pf),0)</f>
        <v>0</v>
      </c>
      <c r="AA35" s="90">
        <f>Tabella34[[#This Row],[Spain acc. fit]]/Spain_acc_at_lockdown</f>
        <v>0</v>
      </c>
      <c r="AB35" s="157">
        <f>Tabella34[[#This Row],[Spain acc. fit]]/y_f_peak</f>
        <v>0</v>
      </c>
      <c r="AC35" s="157">
        <f>Tabella34[[#This Row],[Colonna4]]*NOT(ISBLANK(Tabella34[[#This Row],[Spain daily cases]]))</f>
        <v>0</v>
      </c>
      <c r="AD35" s="157">
        <f>Tabella34[[#This Row],[Spain acc. fit]]*NOT(ISBLANK(Tabella34[[#This Row],[Spain daily cases]]))</f>
        <v>0</v>
      </c>
      <c r="AE35" s="95">
        <f>Tabella34[[#This Row],[Spain acc. fit]]+CIf</f>
        <v>2342.6884176810927</v>
      </c>
      <c r="AF35" s="95">
        <f>MAX(Tabella34[[#This Row],[Spain acc. fit]]-CIf,0)</f>
        <v>0</v>
      </c>
      <c r="AG35" s="155"/>
      <c r="AH35" s="33"/>
      <c r="AI35" s="33"/>
      <c r="AJ35" s="156">
        <f>Tabella34[[#This Row],[Lombardy data]]*NOT(ISBLANK(Tabella34[[#This Row],[Lombardy data]]))</f>
        <v>0</v>
      </c>
      <c r="AK35" s="161">
        <f>Tabella8[[#This Row],[Lombardy fit]]</f>
        <v>0</v>
      </c>
      <c r="AL35" s="157" t="e">
        <f>_xlfn.LOGNORM.INV(alpha*Tabella34[[#This Row],[Lombardy cumul. Fit]]/Kr,mu_r,sigma_r)-(Tabella34[[#This Row],[Day]]-pr)</f>
        <v>#NUM!</v>
      </c>
      <c r="AM35" s="156">
        <f>Tabella34[[#This Row],[Lombardy cumul. Fit]]/Kl</f>
        <v>0</v>
      </c>
      <c r="AN35" s="157">
        <f>IFERROR(Kr*_xlfn.LOGNORM.DIST((Tabella34[[#This Row],[Day]]-pr),mu_r,sigma_r,FALSE),0)</f>
        <v>0</v>
      </c>
      <c r="AO35" s="199" t="e">
        <f>Tabella34[[#This Row],[Lombardy velocity]]/Tabella34[[#This Row],[Lombardy cumul. Fit]]</f>
        <v>#DIV/0!</v>
      </c>
      <c r="AP35" s="254" t="e">
        <f>(LN(Tabella34[[#This Row],[Day]]-pr)-mu_r)/sigma_r</f>
        <v>#NUM!</v>
      </c>
      <c r="AQ35" s="262" t="e">
        <f>EXP(mu_r+sigma_r*Tabella34[[#This Row],[x_r_alpha©+plus]])-(Tabella34[[#This Row],[Day]]-pr)</f>
        <v>#DIV/0!</v>
      </c>
      <c r="AR35" s="262" t="e">
        <f>EXP(mu_r+sigma_r*Tabella34[[#This Row],[x_r_alpha©-minus]])-(Tabella34[[#This Row],[Day]]-pr)</f>
        <v>#DIV/0!</v>
      </c>
      <c r="AS35" s="262" t="e">
        <f>-sigma_r+SQRT(sigma_r^2-2*Tabella34[[#This Row],[c_r]])</f>
        <v>#DIV/0!</v>
      </c>
      <c r="AT35" s="262" t="e">
        <f>-sigma_r-SQRT(sigma_r^2-2*Tabella34[[#This Row],[c_r]])</f>
        <v>#DIV/0!</v>
      </c>
      <c r="AU35" s="262" t="e">
        <f>mu_r-LN(alpha*Kr/(Tabella34[[#This Row],[Lombardy velocity]]*sigma_r*SQRTPI(2)))</f>
        <v>#DIV/0!</v>
      </c>
      <c r="AV35" s="262" t="e">
        <f>Tabella34[[#This Row],[t_alpha_r+plus]]</f>
        <v>#DIV/0!</v>
      </c>
      <c r="AW35" s="90">
        <f>IFERROR(-Kl*_xlfn.LOGNORM.DIST((Tabella34[[#This Row],[Day]]-pl),mu_l,sigma_l,FALSE)*(1+(LN((Tabella34[[#This Row],[Day]]-pl))-mu_l)/sigma_l^2)/(Tabella34[[#This Row],[Day]]-pl),0)</f>
        <v>0</v>
      </c>
      <c r="AX35" s="157">
        <f>Tabella34[[#This Row],[Lombardy acc. fit]]/y_l_peak</f>
        <v>0</v>
      </c>
      <c r="AY35" s="157">
        <f>Tabella34[[#This Row],[Lombardy acc. fit]]*NOT(ISBLANK(Tabella34[[#This Row],[Lombardy data]]))</f>
        <v>0</v>
      </c>
      <c r="AZ35" s="95">
        <f>Tabella34[[#This Row],[Lombardy acc. fit]]+CIl</f>
        <v>2570.3823229164086</v>
      </c>
      <c r="BA35" s="95">
        <f>MAX(Tabella34[[#This Row],[Lombardy acc. fit]]-CIl,0)</f>
        <v>0</v>
      </c>
      <c r="BB35" s="155"/>
      <c r="BC35" s="33"/>
      <c r="BD35" s="33"/>
      <c r="BE35" s="156">
        <f>Tabella34[[#This Row],[rest of Italy data]]*NOT(ISBLANK(Tabella34[[#This Row],[rest of Italy data]]))</f>
        <v>0</v>
      </c>
      <c r="BF35" s="204">
        <f>Tabella8[[#This Row],[rest of Italy fit]]</f>
        <v>0</v>
      </c>
      <c r="BG35" s="157" t="e">
        <f>_xlfn.LOGNORM.INV(alpha*Tabella34[[#This Row],[rest of Italy cumul. Fit]]/Ko,mu_o,sigma_o)-(Tabella34[[#This Row],[Day]]-po)</f>
        <v>#NUM!</v>
      </c>
      <c r="BH35" s="157">
        <f>Tabella34[[#This Row],[rest of Italy cumul. Fit]]/Ka</f>
        <v>0</v>
      </c>
      <c r="BI35" s="157">
        <f>IFERROR(Ko*_xlfn.LOGNORM.DIST((Tabella34[[#This Row],[Day]]-po),mu_o,sigma_o,FALSE),0)</f>
        <v>0</v>
      </c>
      <c r="BJ35" s="199" t="e">
        <f>Tabella34[[#This Row],[rest of Italy velocity]]/Tabella34[[#This Row],[rest of Italy cumul. Fit]]</f>
        <v>#DIV/0!</v>
      </c>
      <c r="BK35" s="254" t="e">
        <f>(LN(Tabella34[[#This Row],[Day]]-po)-mu_o)/sigma_o</f>
        <v>#NUM!</v>
      </c>
      <c r="BL35" s="262" t="e">
        <f>EXP(mu_o+sigma_o*Tabella34[[#This Row],[x_o_alpha©+plus]])-(Tabella34[[#This Row],[Day]]-po)</f>
        <v>#DIV/0!</v>
      </c>
      <c r="BM35" s="262" t="e">
        <f>EXP(mu_o+sigma_o*Tabella34[[#This Row],[x_o_alpha©-minus]])-(Tabella34[[#This Row],[Day]]-po)</f>
        <v>#DIV/0!</v>
      </c>
      <c r="BN35" s="262" t="e">
        <f>-sigma_o+SQRT(sigma_o^2-2*Tabella34[[#This Row],[c_o]])</f>
        <v>#DIV/0!</v>
      </c>
      <c r="BO35" s="262" t="e">
        <f>-sigma_o-SQRT(sigma_o^2-2*Tabella34[[#This Row],[c_o]])</f>
        <v>#DIV/0!</v>
      </c>
      <c r="BP35" s="262" t="e">
        <f>mu_o-LN(alpha*Ko/(Tabella34[[#This Row],[rest of Italy velocity]]*sigma_o*SQRTPI(2)))</f>
        <v>#DIV/0!</v>
      </c>
      <c r="BQ35" s="262" t="e">
        <f>Tabella34[[#This Row],[t_alpha_o+plus]]</f>
        <v>#DIV/0!</v>
      </c>
      <c r="BR35" s="90">
        <f>IFERROR(-Ka*_xlfn.LOGNORM.DIST((Tabella34[[#This Row],[Day]]-pa),mu_a,sigma_a,FALSE)*(1+(LN((Tabella34[[#This Row],[Day]]-pa))-mu_a)/sigma_a^2)/(Tabella34[[#This Row],[Day]]-pa),0)</f>
        <v>0</v>
      </c>
      <c r="BS35" s="157">
        <f>Tabella34[[#This Row],[rest of Italy acc. fit]]/y_a_peak</f>
        <v>0</v>
      </c>
      <c r="BT35" s="156">
        <f>Tabella34[[#This Row],[rest of Italy acc. fit]]*NOT(ISBLANK(Tabella34[[#This Row],[rest of Italy data]]))</f>
        <v>0</v>
      </c>
      <c r="BU35" s="95">
        <f>Tabella34[[#This Row],[rest of Italy acc. fit]]+CIa</f>
        <v>5338.8394351600173</v>
      </c>
      <c r="BV35" s="95">
        <f>MAX(Tabella34[[#This Row],[rest of Italy acc. fit]]-CIa,0)</f>
        <v>0</v>
      </c>
      <c r="BX35" s="227" t="s">
        <v>64</v>
      </c>
      <c r="BY35" s="230">
        <f>sigma_o</f>
        <v>0.32148638864951307</v>
      </c>
      <c r="CB35" s="1"/>
      <c r="CL35" s="59"/>
    </row>
    <row r="36" spans="2:90" x14ac:dyDescent="0.3">
      <c r="B36" s="281">
        <v>43859</v>
      </c>
      <c r="C36" s="4">
        <v>29</v>
      </c>
      <c r="D36" s="10">
        <f>Tabella8[[#This Row],[Spain cum. Cases]]</f>
        <v>0</v>
      </c>
      <c r="E36" s="90">
        <f>(Tabella34[[#This Row],[Spain cumul. Cases]]-D35)</f>
        <v>0</v>
      </c>
      <c r="F36" s="90">
        <f>Tabella34[[#This Row],[Spain daily cases]]-E35</f>
        <v>0</v>
      </c>
      <c r="G36" s="156">
        <f>Tabella34[[#This Row],[Spain daily cases]]*NOT(ISBLANK(Tabella34[[#This Row],[Spain daily cases]]))</f>
        <v>0</v>
      </c>
      <c r="H36" s="157">
        <f>Tabella8[[#This Row],[Spain cum. fit]]</f>
        <v>0</v>
      </c>
      <c r="I36" s="157" t="e">
        <f>_xlfn.LOGNORM.INV(alpha*Tabella34[[#This Row],[Spain cumul. Fit]]/Kt,mu_t,sigma_t)-(Tabella34[[#This Row],[Day]]-pt)</f>
        <v>#NUM!</v>
      </c>
      <c r="J36" s="157" t="e">
        <f>Tabella34[[#This Row],[Spain fitted d.t.]]/Spain_dt_at_lockdown</f>
        <v>#NUM!</v>
      </c>
      <c r="K36" s="157">
        <f>Tabella34[[#This Row],[Spain cumul. Fit]]/Kf</f>
        <v>0</v>
      </c>
      <c r="L36" s="160"/>
      <c r="M36" s="157"/>
      <c r="N36" s="157">
        <f>IFERROR(Kt*_xlfn.LOGNORM.DIST((Tabella34[[#This Row],[Day]]-pt),mu_t,sigma_t,FALSE),0)</f>
        <v>0</v>
      </c>
      <c r="O36" s="157" t="e">
        <f>Kt*EXP(-0.5*Tabella34[[#This Row],[x_t]]^2)/(sigma_t*SQRTPI(2)*(Tabella34[[#This Row],[Day]]-D_bk))</f>
        <v>#NUM!</v>
      </c>
      <c r="P36" s="199" t="e">
        <f>Tabella34[[#This Row],[Spain fitted velocity]]/Tabella34[[#This Row],[Spain cumul. Fit]]</f>
        <v>#DIV/0!</v>
      </c>
      <c r="Q36" s="262" t="e">
        <f>(LN(Tabella34[[#This Row],[Day]]-pt)-mu_t)/sigma_t</f>
        <v>#NUM!</v>
      </c>
      <c r="R36" s="262" t="e">
        <f>EXP(mu_t+sigma_t*Tabella34[[#This Row],[x_t_alpha©+plus]])-(Tabella34[[#This Row],[Day]]-pt)</f>
        <v>#DIV/0!</v>
      </c>
      <c r="S36" s="262" t="e">
        <f>EXP(mu_t+sigma_t*Tabella34[[#This Row],[x_t_alpha©-minus]])-(Tabella34[[#This Row],[Day]]-pt)</f>
        <v>#DIV/0!</v>
      </c>
      <c r="T36" s="262" t="e">
        <f>-sigma_t+SQRT(sigma_t^2-2*Tabella34[[#This Row],[c_t]])</f>
        <v>#DIV/0!</v>
      </c>
      <c r="U36" s="262" t="e">
        <f>-sigma_t-SQRT(sigma_t^2-2*Tabella34[[#This Row],[c_t]])</f>
        <v>#DIV/0!</v>
      </c>
      <c r="V36" s="262" t="e">
        <f>mu_t-LN(alpha*Kt/(Tabella34[[#This Row],[Spain fitted velocity]]*sigma_t*SQRTPI(2)))</f>
        <v>#DIV/0!</v>
      </c>
      <c r="W36" s="262" t="e">
        <f>Tabella34[[#This Row],[Spain fitted g.r.]]/Spain_gr_at_lockdown</f>
        <v>#DIV/0!</v>
      </c>
      <c r="X36" s="262" t="e">
        <f>Tabella34[[#This Row],[t_alpha_t+plus]]</f>
        <v>#DIV/0!</v>
      </c>
      <c r="Y36" s="262" t="e">
        <f>Tabella34[[#This Row],[Spain fitted h.t.]]/Spain_ht_at_lockdown</f>
        <v>#DIV/0!</v>
      </c>
      <c r="Z36" s="90">
        <f>IFERROR(-Kf*_xlfn.LOGNORM.DIST((Tabella34[[#This Row],[Day]]-pf),mu_f,sigma_f,FALSE)*(1+(LN((Tabella34[[#This Row],[Day]]-pf))-mu_f)/sigma_f^2)/(Tabella34[[#This Row],[Day]]-pf),0)</f>
        <v>0</v>
      </c>
      <c r="AA36" s="90">
        <f>Tabella34[[#This Row],[Spain acc. fit]]/Spain_acc_at_lockdown</f>
        <v>0</v>
      </c>
      <c r="AB36" s="157">
        <f>Tabella34[[#This Row],[Spain acc. fit]]/y_f_peak</f>
        <v>0</v>
      </c>
      <c r="AC36" s="157">
        <f>Tabella34[[#This Row],[Colonna4]]*NOT(ISBLANK(Tabella34[[#This Row],[Spain daily cases]]))</f>
        <v>0</v>
      </c>
      <c r="AD36" s="157">
        <f>Tabella34[[#This Row],[Spain acc. fit]]*NOT(ISBLANK(Tabella34[[#This Row],[Spain daily cases]]))</f>
        <v>0</v>
      </c>
      <c r="AE36" s="95">
        <f>Tabella34[[#This Row],[Spain acc. fit]]+CIf</f>
        <v>2342.6884176810927</v>
      </c>
      <c r="AF36" s="95">
        <f>MAX(Tabella34[[#This Row],[Spain acc. fit]]-CIf,0)</f>
        <v>0</v>
      </c>
      <c r="AG36" s="155"/>
      <c r="AH36" s="33"/>
      <c r="AI36" s="33"/>
      <c r="AJ36" s="156">
        <f>Tabella34[[#This Row],[Lombardy data]]*NOT(ISBLANK(Tabella34[[#This Row],[Lombardy data]]))</f>
        <v>0</v>
      </c>
      <c r="AK36" s="161">
        <f>Tabella8[[#This Row],[Lombardy fit]]</f>
        <v>0</v>
      </c>
      <c r="AL36" s="157" t="e">
        <f>_xlfn.LOGNORM.INV(alpha*Tabella34[[#This Row],[Lombardy cumul. Fit]]/Kr,mu_r,sigma_r)-(Tabella34[[#This Row],[Day]]-pr)</f>
        <v>#NUM!</v>
      </c>
      <c r="AM36" s="156">
        <f>Tabella34[[#This Row],[Lombardy cumul. Fit]]/Kl</f>
        <v>0</v>
      </c>
      <c r="AN36" s="157">
        <f>IFERROR(Kr*_xlfn.LOGNORM.DIST((Tabella34[[#This Row],[Day]]-pr),mu_r,sigma_r,FALSE),0)</f>
        <v>0</v>
      </c>
      <c r="AO36" s="199" t="e">
        <f>Tabella34[[#This Row],[Lombardy velocity]]/Tabella34[[#This Row],[Lombardy cumul. Fit]]</f>
        <v>#DIV/0!</v>
      </c>
      <c r="AP36" s="254" t="e">
        <f>(LN(Tabella34[[#This Row],[Day]]-pr)-mu_r)/sigma_r</f>
        <v>#NUM!</v>
      </c>
      <c r="AQ36" s="262" t="e">
        <f>EXP(mu_r+sigma_r*Tabella34[[#This Row],[x_r_alpha©+plus]])-(Tabella34[[#This Row],[Day]]-pr)</f>
        <v>#DIV/0!</v>
      </c>
      <c r="AR36" s="262" t="e">
        <f>EXP(mu_r+sigma_r*Tabella34[[#This Row],[x_r_alpha©-minus]])-(Tabella34[[#This Row],[Day]]-pr)</f>
        <v>#DIV/0!</v>
      </c>
      <c r="AS36" s="262" t="e">
        <f>-sigma_r+SQRT(sigma_r^2-2*Tabella34[[#This Row],[c_r]])</f>
        <v>#DIV/0!</v>
      </c>
      <c r="AT36" s="262" t="e">
        <f>-sigma_r-SQRT(sigma_r^2-2*Tabella34[[#This Row],[c_r]])</f>
        <v>#DIV/0!</v>
      </c>
      <c r="AU36" s="262" t="e">
        <f>mu_r-LN(alpha*Kr/(Tabella34[[#This Row],[Lombardy velocity]]*sigma_r*SQRTPI(2)))</f>
        <v>#DIV/0!</v>
      </c>
      <c r="AV36" s="262" t="e">
        <f>Tabella34[[#This Row],[t_alpha_r+plus]]</f>
        <v>#DIV/0!</v>
      </c>
      <c r="AW36" s="90">
        <f>IFERROR(-Kl*_xlfn.LOGNORM.DIST((Tabella34[[#This Row],[Day]]-pl),mu_l,sigma_l,FALSE)*(1+(LN((Tabella34[[#This Row],[Day]]-pl))-mu_l)/sigma_l^2)/(Tabella34[[#This Row],[Day]]-pl),0)</f>
        <v>0</v>
      </c>
      <c r="AX36" s="157">
        <f>Tabella34[[#This Row],[Lombardy acc. fit]]/y_l_peak</f>
        <v>0</v>
      </c>
      <c r="AY36" s="157">
        <f>Tabella34[[#This Row],[Lombardy acc. fit]]*NOT(ISBLANK(Tabella34[[#This Row],[Lombardy data]]))</f>
        <v>0</v>
      </c>
      <c r="AZ36" s="95">
        <f>Tabella34[[#This Row],[Lombardy acc. fit]]+CIl</f>
        <v>2570.3823229164086</v>
      </c>
      <c r="BA36" s="95">
        <f>MAX(Tabella34[[#This Row],[Lombardy acc. fit]]-CIl,0)</f>
        <v>0</v>
      </c>
      <c r="BB36" s="155"/>
      <c r="BC36" s="33"/>
      <c r="BD36" s="33"/>
      <c r="BE36" s="156">
        <f>Tabella34[[#This Row],[rest of Italy data]]*NOT(ISBLANK(Tabella34[[#This Row],[rest of Italy data]]))</f>
        <v>0</v>
      </c>
      <c r="BF36" s="204">
        <f>Tabella8[[#This Row],[rest of Italy fit]]</f>
        <v>0</v>
      </c>
      <c r="BG36" s="157" t="e">
        <f>_xlfn.LOGNORM.INV(alpha*Tabella34[[#This Row],[rest of Italy cumul. Fit]]/Ko,mu_o,sigma_o)-(Tabella34[[#This Row],[Day]]-po)</f>
        <v>#NUM!</v>
      </c>
      <c r="BH36" s="157">
        <f>Tabella34[[#This Row],[rest of Italy cumul. Fit]]/Ka</f>
        <v>0</v>
      </c>
      <c r="BI36" s="157">
        <f>IFERROR(Ko*_xlfn.LOGNORM.DIST((Tabella34[[#This Row],[Day]]-po),mu_o,sigma_o,FALSE),0)</f>
        <v>0</v>
      </c>
      <c r="BJ36" s="199" t="e">
        <f>Tabella34[[#This Row],[rest of Italy velocity]]/Tabella34[[#This Row],[rest of Italy cumul. Fit]]</f>
        <v>#DIV/0!</v>
      </c>
      <c r="BK36" s="254" t="e">
        <f>(LN(Tabella34[[#This Row],[Day]]-po)-mu_o)/sigma_o</f>
        <v>#NUM!</v>
      </c>
      <c r="BL36" s="262" t="e">
        <f>EXP(mu_o+sigma_o*Tabella34[[#This Row],[x_o_alpha©+plus]])-(Tabella34[[#This Row],[Day]]-po)</f>
        <v>#DIV/0!</v>
      </c>
      <c r="BM36" s="262" t="e">
        <f>EXP(mu_o+sigma_o*Tabella34[[#This Row],[x_o_alpha©-minus]])-(Tabella34[[#This Row],[Day]]-po)</f>
        <v>#DIV/0!</v>
      </c>
      <c r="BN36" s="262" t="e">
        <f>-sigma_o+SQRT(sigma_o^2-2*Tabella34[[#This Row],[c_o]])</f>
        <v>#DIV/0!</v>
      </c>
      <c r="BO36" s="262" t="e">
        <f>-sigma_o-SQRT(sigma_o^2-2*Tabella34[[#This Row],[c_o]])</f>
        <v>#DIV/0!</v>
      </c>
      <c r="BP36" s="262" t="e">
        <f>mu_o-LN(alpha*Ko/(Tabella34[[#This Row],[rest of Italy velocity]]*sigma_o*SQRTPI(2)))</f>
        <v>#DIV/0!</v>
      </c>
      <c r="BQ36" s="262" t="e">
        <f>Tabella34[[#This Row],[t_alpha_o+plus]]</f>
        <v>#DIV/0!</v>
      </c>
      <c r="BR36" s="90">
        <f>IFERROR(-Ka*_xlfn.LOGNORM.DIST((Tabella34[[#This Row],[Day]]-pa),mu_a,sigma_a,FALSE)*(1+(LN((Tabella34[[#This Row],[Day]]-pa))-mu_a)/sigma_a^2)/(Tabella34[[#This Row],[Day]]-pa),0)</f>
        <v>0</v>
      </c>
      <c r="BS36" s="157">
        <f>Tabella34[[#This Row],[rest of Italy acc. fit]]/y_a_peak</f>
        <v>0</v>
      </c>
      <c r="BT36" s="156">
        <f>Tabella34[[#This Row],[rest of Italy acc. fit]]*NOT(ISBLANK(Tabella34[[#This Row],[rest of Italy data]]))</f>
        <v>0</v>
      </c>
      <c r="BU36" s="95">
        <f>Tabella34[[#This Row],[rest of Italy acc. fit]]+CIa</f>
        <v>5338.8394351600173</v>
      </c>
      <c r="BV36" s="95">
        <f>MAX(Tabella34[[#This Row],[rest of Italy acc. fit]]-CIa,0)</f>
        <v>0</v>
      </c>
      <c r="BX36" s="231" t="s">
        <v>1</v>
      </c>
      <c r="BY36" s="232">
        <f>AVERAGE(Tabella34[rest of Italy data])</f>
        <v>3626.96875</v>
      </c>
      <c r="CL36" s="59"/>
    </row>
    <row r="37" spans="2:90" x14ac:dyDescent="0.3">
      <c r="B37" s="281">
        <v>43860</v>
      </c>
      <c r="C37" s="4">
        <v>30</v>
      </c>
      <c r="D37" s="10">
        <f>Tabella8[[#This Row],[Spain cum. Cases]]</f>
        <v>0</v>
      </c>
      <c r="E37" s="90">
        <f>(Tabella34[[#This Row],[Spain cumul. Cases]]-D36)</f>
        <v>0</v>
      </c>
      <c r="F37" s="90">
        <f>Tabella34[[#This Row],[Spain daily cases]]-E36</f>
        <v>0</v>
      </c>
      <c r="G37" s="156">
        <f>Tabella34[[#This Row],[Spain daily cases]]*NOT(ISBLANK(Tabella34[[#This Row],[Spain daily cases]]))</f>
        <v>0</v>
      </c>
      <c r="H37" s="157">
        <f>Tabella8[[#This Row],[Spain cum. fit]]</f>
        <v>0</v>
      </c>
      <c r="I37" s="157" t="e">
        <f>_xlfn.LOGNORM.INV(alpha*Tabella34[[#This Row],[Spain cumul. Fit]]/Kt,mu_t,sigma_t)-(Tabella34[[#This Row],[Day]]-pt)</f>
        <v>#NUM!</v>
      </c>
      <c r="J37" s="157" t="e">
        <f>Tabella34[[#This Row],[Spain fitted d.t.]]/Spain_dt_at_lockdown</f>
        <v>#NUM!</v>
      </c>
      <c r="K37" s="157">
        <f>Tabella34[[#This Row],[Spain cumul. Fit]]/Kf</f>
        <v>0</v>
      </c>
      <c r="L37" s="160"/>
      <c r="M37" s="157"/>
      <c r="N37" s="157">
        <f>IFERROR(Kt*_xlfn.LOGNORM.DIST((Tabella34[[#This Row],[Day]]-pt),mu_t,sigma_t,FALSE),0)</f>
        <v>0</v>
      </c>
      <c r="O37" s="157" t="e">
        <f>Kt*EXP(-0.5*Tabella34[[#This Row],[x_t]]^2)/(sigma_t*SQRTPI(2)*(Tabella34[[#This Row],[Day]]-D_bk))</f>
        <v>#NUM!</v>
      </c>
      <c r="P37" s="199" t="e">
        <f>Tabella34[[#This Row],[Spain fitted velocity]]/Tabella34[[#This Row],[Spain cumul. Fit]]</f>
        <v>#DIV/0!</v>
      </c>
      <c r="Q37" s="262" t="e">
        <f>(LN(Tabella34[[#This Row],[Day]]-pt)-mu_t)/sigma_t</f>
        <v>#NUM!</v>
      </c>
      <c r="R37" s="262" t="e">
        <f>EXP(mu_t+sigma_t*Tabella34[[#This Row],[x_t_alpha©+plus]])-(Tabella34[[#This Row],[Day]]-pt)</f>
        <v>#DIV/0!</v>
      </c>
      <c r="S37" s="262" t="e">
        <f>EXP(mu_t+sigma_t*Tabella34[[#This Row],[x_t_alpha©-minus]])-(Tabella34[[#This Row],[Day]]-pt)</f>
        <v>#DIV/0!</v>
      </c>
      <c r="T37" s="262" t="e">
        <f>-sigma_t+SQRT(sigma_t^2-2*Tabella34[[#This Row],[c_t]])</f>
        <v>#DIV/0!</v>
      </c>
      <c r="U37" s="262" t="e">
        <f>-sigma_t-SQRT(sigma_t^2-2*Tabella34[[#This Row],[c_t]])</f>
        <v>#DIV/0!</v>
      </c>
      <c r="V37" s="262" t="e">
        <f>mu_t-LN(alpha*Kt/(Tabella34[[#This Row],[Spain fitted velocity]]*sigma_t*SQRTPI(2)))</f>
        <v>#DIV/0!</v>
      </c>
      <c r="W37" s="262" t="e">
        <f>Tabella34[[#This Row],[Spain fitted g.r.]]/Spain_gr_at_lockdown</f>
        <v>#DIV/0!</v>
      </c>
      <c r="X37" s="262" t="e">
        <f>Tabella34[[#This Row],[t_alpha_t+plus]]</f>
        <v>#DIV/0!</v>
      </c>
      <c r="Y37" s="262" t="e">
        <f>Tabella34[[#This Row],[Spain fitted h.t.]]/Spain_ht_at_lockdown</f>
        <v>#DIV/0!</v>
      </c>
      <c r="Z37" s="90">
        <f>IFERROR(-Kf*_xlfn.LOGNORM.DIST((Tabella34[[#This Row],[Day]]-pf),mu_f,sigma_f,FALSE)*(1+(LN((Tabella34[[#This Row],[Day]]-pf))-mu_f)/sigma_f^2)/(Tabella34[[#This Row],[Day]]-pf),0)</f>
        <v>0</v>
      </c>
      <c r="AA37" s="90">
        <f>Tabella34[[#This Row],[Spain acc. fit]]/Spain_acc_at_lockdown</f>
        <v>0</v>
      </c>
      <c r="AB37" s="157">
        <f>Tabella34[[#This Row],[Spain acc. fit]]/y_f_peak</f>
        <v>0</v>
      </c>
      <c r="AC37" s="157">
        <f>Tabella34[[#This Row],[Colonna4]]*NOT(ISBLANK(Tabella34[[#This Row],[Spain daily cases]]))</f>
        <v>0</v>
      </c>
      <c r="AD37" s="157">
        <f>Tabella34[[#This Row],[Spain acc. fit]]*NOT(ISBLANK(Tabella34[[#This Row],[Spain daily cases]]))</f>
        <v>0</v>
      </c>
      <c r="AE37" s="95">
        <f>Tabella34[[#This Row],[Spain acc. fit]]+CIf</f>
        <v>2342.6884176810927</v>
      </c>
      <c r="AF37" s="95">
        <f>MAX(Tabella34[[#This Row],[Spain acc. fit]]-CIf,0)</f>
        <v>0</v>
      </c>
      <c r="AG37" s="155"/>
      <c r="AH37" s="33"/>
      <c r="AI37" s="33"/>
      <c r="AJ37" s="156">
        <f>Tabella34[[#This Row],[Lombardy data]]*NOT(ISBLANK(Tabella34[[#This Row],[Lombardy data]]))</f>
        <v>0</v>
      </c>
      <c r="AK37" s="161">
        <f>Tabella8[[#This Row],[Lombardy fit]]</f>
        <v>0</v>
      </c>
      <c r="AL37" s="157" t="e">
        <f>_xlfn.LOGNORM.INV(alpha*Tabella34[[#This Row],[Lombardy cumul. Fit]]/Kr,mu_r,sigma_r)-(Tabella34[[#This Row],[Day]]-pr)</f>
        <v>#NUM!</v>
      </c>
      <c r="AM37" s="156">
        <f>Tabella34[[#This Row],[Lombardy cumul. Fit]]/Kl</f>
        <v>0</v>
      </c>
      <c r="AN37" s="157">
        <f>IFERROR(Kr*_xlfn.LOGNORM.DIST((Tabella34[[#This Row],[Day]]-pr),mu_r,sigma_r,FALSE),0)</f>
        <v>0</v>
      </c>
      <c r="AO37" s="199" t="e">
        <f>Tabella34[[#This Row],[Lombardy velocity]]/Tabella34[[#This Row],[Lombardy cumul. Fit]]</f>
        <v>#DIV/0!</v>
      </c>
      <c r="AP37" s="254" t="e">
        <f>(LN(Tabella34[[#This Row],[Day]]-pr)-mu_r)/sigma_r</f>
        <v>#NUM!</v>
      </c>
      <c r="AQ37" s="262" t="e">
        <f>EXP(mu_r+sigma_r*Tabella34[[#This Row],[x_r_alpha©+plus]])-(Tabella34[[#This Row],[Day]]-pr)</f>
        <v>#DIV/0!</v>
      </c>
      <c r="AR37" s="262" t="e">
        <f>EXP(mu_r+sigma_r*Tabella34[[#This Row],[x_r_alpha©-minus]])-(Tabella34[[#This Row],[Day]]-pr)</f>
        <v>#DIV/0!</v>
      </c>
      <c r="AS37" s="262" t="e">
        <f>-sigma_r+SQRT(sigma_r^2-2*Tabella34[[#This Row],[c_r]])</f>
        <v>#DIV/0!</v>
      </c>
      <c r="AT37" s="262" t="e">
        <f>-sigma_r-SQRT(sigma_r^2-2*Tabella34[[#This Row],[c_r]])</f>
        <v>#DIV/0!</v>
      </c>
      <c r="AU37" s="262" t="e">
        <f>mu_r-LN(alpha*Kr/(Tabella34[[#This Row],[Lombardy velocity]]*sigma_r*SQRTPI(2)))</f>
        <v>#DIV/0!</v>
      </c>
      <c r="AV37" s="262" t="e">
        <f>Tabella34[[#This Row],[t_alpha_r+plus]]</f>
        <v>#DIV/0!</v>
      </c>
      <c r="AW37" s="90">
        <f>IFERROR(-Kl*_xlfn.LOGNORM.DIST((Tabella34[[#This Row],[Day]]-pl),mu_l,sigma_l,FALSE)*(1+(LN((Tabella34[[#This Row],[Day]]-pl))-mu_l)/sigma_l^2)/(Tabella34[[#This Row],[Day]]-pl),0)</f>
        <v>0</v>
      </c>
      <c r="AX37" s="157">
        <f>Tabella34[[#This Row],[Lombardy acc. fit]]/y_l_peak</f>
        <v>0</v>
      </c>
      <c r="AY37" s="157">
        <f>Tabella34[[#This Row],[Lombardy acc. fit]]*NOT(ISBLANK(Tabella34[[#This Row],[Lombardy data]]))</f>
        <v>0</v>
      </c>
      <c r="AZ37" s="95">
        <f>Tabella34[[#This Row],[Lombardy acc. fit]]+CIl</f>
        <v>2570.3823229164086</v>
      </c>
      <c r="BA37" s="95">
        <f>MAX(Tabella34[[#This Row],[Lombardy acc. fit]]-CIl,0)</f>
        <v>0</v>
      </c>
      <c r="BB37" s="155"/>
      <c r="BC37" s="33"/>
      <c r="BD37" s="33"/>
      <c r="BE37" s="156">
        <f>Tabella34[[#This Row],[rest of Italy data]]*NOT(ISBLANK(Tabella34[[#This Row],[rest of Italy data]]))</f>
        <v>0</v>
      </c>
      <c r="BF37" s="204">
        <f>Tabella8[[#This Row],[rest of Italy fit]]</f>
        <v>0</v>
      </c>
      <c r="BG37" s="157" t="e">
        <f>_xlfn.LOGNORM.INV(alpha*Tabella34[[#This Row],[rest of Italy cumul. Fit]]/Ko,mu_o,sigma_o)-(Tabella34[[#This Row],[Day]]-po)</f>
        <v>#NUM!</v>
      </c>
      <c r="BH37" s="157">
        <f>Tabella34[[#This Row],[rest of Italy cumul. Fit]]/Ka</f>
        <v>0</v>
      </c>
      <c r="BI37" s="157">
        <f>IFERROR(Ko*_xlfn.LOGNORM.DIST((Tabella34[[#This Row],[Day]]-po),mu_o,sigma_o,FALSE),0)</f>
        <v>0</v>
      </c>
      <c r="BJ37" s="199" t="e">
        <f>Tabella34[[#This Row],[rest of Italy velocity]]/Tabella34[[#This Row],[rest of Italy cumul. Fit]]</f>
        <v>#DIV/0!</v>
      </c>
      <c r="BK37" s="254" t="e">
        <f>(LN(Tabella34[[#This Row],[Day]]-po)-mu_o)/sigma_o</f>
        <v>#NUM!</v>
      </c>
      <c r="BL37" s="262" t="e">
        <f>EXP(mu_o+sigma_o*Tabella34[[#This Row],[x_o_alpha©+plus]])-(Tabella34[[#This Row],[Day]]-po)</f>
        <v>#DIV/0!</v>
      </c>
      <c r="BM37" s="262" t="e">
        <f>EXP(mu_o+sigma_o*Tabella34[[#This Row],[x_o_alpha©-minus]])-(Tabella34[[#This Row],[Day]]-po)</f>
        <v>#DIV/0!</v>
      </c>
      <c r="BN37" s="262" t="e">
        <f>-sigma_o+SQRT(sigma_o^2-2*Tabella34[[#This Row],[c_o]])</f>
        <v>#DIV/0!</v>
      </c>
      <c r="BO37" s="262" t="e">
        <f>-sigma_o-SQRT(sigma_o^2-2*Tabella34[[#This Row],[c_o]])</f>
        <v>#DIV/0!</v>
      </c>
      <c r="BP37" s="262" t="e">
        <f>mu_o-LN(alpha*Ko/(Tabella34[[#This Row],[rest of Italy velocity]]*sigma_o*SQRTPI(2)))</f>
        <v>#DIV/0!</v>
      </c>
      <c r="BQ37" s="262" t="e">
        <f>Tabella34[[#This Row],[t_alpha_o+plus]]</f>
        <v>#DIV/0!</v>
      </c>
      <c r="BR37" s="90">
        <f>IFERROR(-Ka*_xlfn.LOGNORM.DIST((Tabella34[[#This Row],[Day]]-pa),mu_a,sigma_a,FALSE)*(1+(LN((Tabella34[[#This Row],[Day]]-pa))-mu_a)/sigma_a^2)/(Tabella34[[#This Row],[Day]]-pa),0)</f>
        <v>0</v>
      </c>
      <c r="BS37" s="157">
        <f>Tabella34[[#This Row],[rest of Italy acc. fit]]/y_a_peak</f>
        <v>0</v>
      </c>
      <c r="BT37" s="156">
        <f>Tabella34[[#This Row],[rest of Italy acc. fit]]*NOT(ISBLANK(Tabella34[[#This Row],[rest of Italy data]]))</f>
        <v>0</v>
      </c>
      <c r="BU37" s="95">
        <f>Tabella34[[#This Row],[rest of Italy acc. fit]]+CIa</f>
        <v>5338.8394351600173</v>
      </c>
      <c r="BV37" s="95">
        <f>MAX(Tabella34[[#This Row],[rest of Italy acc. fit]]-CIa,0)</f>
        <v>0</v>
      </c>
      <c r="BX37" s="231" t="s">
        <v>2</v>
      </c>
      <c r="BY37" s="233">
        <f>COUNT(Tabella34[rest of Italy data])-COUNT(BY33:BY35)</f>
        <v>61</v>
      </c>
      <c r="CL37" s="59"/>
    </row>
    <row r="38" spans="2:90" x14ac:dyDescent="0.3">
      <c r="B38" s="281">
        <v>43861</v>
      </c>
      <c r="C38" s="4">
        <v>31</v>
      </c>
      <c r="D38" s="10">
        <f>Tabella8[[#This Row],[Spain cum. Cases]]</f>
        <v>0</v>
      </c>
      <c r="E38" s="90">
        <f>(Tabella34[[#This Row],[Spain cumul. Cases]]-D37)</f>
        <v>0</v>
      </c>
      <c r="F38" s="90">
        <f>Tabella34[[#This Row],[Spain daily cases]]-E37</f>
        <v>0</v>
      </c>
      <c r="G38" s="156">
        <f>Tabella34[[#This Row],[Spain daily cases]]*NOT(ISBLANK(Tabella34[[#This Row],[Spain daily cases]]))</f>
        <v>0</v>
      </c>
      <c r="H38" s="157">
        <f>Tabella8[[#This Row],[Spain cum. fit]]</f>
        <v>0</v>
      </c>
      <c r="I38" s="157" t="e">
        <f>_xlfn.LOGNORM.INV(alpha*Tabella34[[#This Row],[Spain cumul. Fit]]/Kt,mu_t,sigma_t)-(Tabella34[[#This Row],[Day]]-pt)</f>
        <v>#NUM!</v>
      </c>
      <c r="J38" s="157" t="e">
        <f>Tabella34[[#This Row],[Spain fitted d.t.]]/Spain_dt_at_lockdown</f>
        <v>#NUM!</v>
      </c>
      <c r="K38" s="157">
        <f>Tabella34[[#This Row],[Spain cumul. Fit]]/Kf</f>
        <v>0</v>
      </c>
      <c r="L38" s="160"/>
      <c r="M38" s="157"/>
      <c r="N38" s="157">
        <f>IFERROR(Kt*_xlfn.LOGNORM.DIST((Tabella34[[#This Row],[Day]]-pt),mu_t,sigma_t,FALSE),0)</f>
        <v>0</v>
      </c>
      <c r="O38" s="157" t="e">
        <f>Kt*EXP(-0.5*Tabella34[[#This Row],[x_t]]^2)/(sigma_t*SQRTPI(2)*(Tabella34[[#This Row],[Day]]-D_bk))</f>
        <v>#NUM!</v>
      </c>
      <c r="P38" s="199" t="e">
        <f>Tabella34[[#This Row],[Spain fitted velocity]]/Tabella34[[#This Row],[Spain cumul. Fit]]</f>
        <v>#DIV/0!</v>
      </c>
      <c r="Q38" s="262" t="e">
        <f>(LN(Tabella34[[#This Row],[Day]]-pt)-mu_t)/sigma_t</f>
        <v>#NUM!</v>
      </c>
      <c r="R38" s="262" t="e">
        <f>EXP(mu_t+sigma_t*Tabella34[[#This Row],[x_t_alpha©+plus]])-(Tabella34[[#This Row],[Day]]-pt)</f>
        <v>#DIV/0!</v>
      </c>
      <c r="S38" s="262" t="e">
        <f>EXP(mu_t+sigma_t*Tabella34[[#This Row],[x_t_alpha©-minus]])-(Tabella34[[#This Row],[Day]]-pt)</f>
        <v>#DIV/0!</v>
      </c>
      <c r="T38" s="262" t="e">
        <f>-sigma_t+SQRT(sigma_t^2-2*Tabella34[[#This Row],[c_t]])</f>
        <v>#DIV/0!</v>
      </c>
      <c r="U38" s="262" t="e">
        <f>-sigma_t-SQRT(sigma_t^2-2*Tabella34[[#This Row],[c_t]])</f>
        <v>#DIV/0!</v>
      </c>
      <c r="V38" s="262" t="e">
        <f>mu_t-LN(alpha*Kt/(Tabella34[[#This Row],[Spain fitted velocity]]*sigma_t*SQRTPI(2)))</f>
        <v>#DIV/0!</v>
      </c>
      <c r="W38" s="262" t="e">
        <f>Tabella34[[#This Row],[Spain fitted g.r.]]/Spain_gr_at_lockdown</f>
        <v>#DIV/0!</v>
      </c>
      <c r="X38" s="262" t="e">
        <f>Tabella34[[#This Row],[t_alpha_t+plus]]</f>
        <v>#DIV/0!</v>
      </c>
      <c r="Y38" s="262" t="e">
        <f>Tabella34[[#This Row],[Spain fitted h.t.]]/Spain_ht_at_lockdown</f>
        <v>#DIV/0!</v>
      </c>
      <c r="Z38" s="90">
        <f>IFERROR(-Kf*_xlfn.LOGNORM.DIST((Tabella34[[#This Row],[Day]]-pf),mu_f,sigma_f,FALSE)*(1+(LN((Tabella34[[#This Row],[Day]]-pf))-mu_f)/sigma_f^2)/(Tabella34[[#This Row],[Day]]-pf),0)</f>
        <v>0</v>
      </c>
      <c r="AA38" s="90">
        <f>Tabella34[[#This Row],[Spain acc. fit]]/Spain_acc_at_lockdown</f>
        <v>0</v>
      </c>
      <c r="AB38" s="157">
        <f>Tabella34[[#This Row],[Spain acc. fit]]/y_f_peak</f>
        <v>0</v>
      </c>
      <c r="AC38" s="157">
        <f>Tabella34[[#This Row],[Colonna4]]*NOT(ISBLANK(Tabella34[[#This Row],[Spain daily cases]]))</f>
        <v>0</v>
      </c>
      <c r="AD38" s="157">
        <f>Tabella34[[#This Row],[Spain acc. fit]]*NOT(ISBLANK(Tabella34[[#This Row],[Spain daily cases]]))</f>
        <v>0</v>
      </c>
      <c r="AE38" s="95">
        <f>Tabella34[[#This Row],[Spain acc. fit]]+CIf</f>
        <v>2342.6884176810927</v>
      </c>
      <c r="AF38" s="95">
        <f>MAX(Tabella34[[#This Row],[Spain acc. fit]]-CIf,0)</f>
        <v>0</v>
      </c>
      <c r="AG38" s="155"/>
      <c r="AH38" s="33"/>
      <c r="AI38" s="33"/>
      <c r="AJ38" s="156">
        <f>Tabella34[[#This Row],[Lombardy data]]*NOT(ISBLANK(Tabella34[[#This Row],[Lombardy data]]))</f>
        <v>0</v>
      </c>
      <c r="AK38" s="161">
        <f>Tabella8[[#This Row],[Lombardy fit]]</f>
        <v>0</v>
      </c>
      <c r="AL38" s="157" t="e">
        <f>_xlfn.LOGNORM.INV(alpha*Tabella34[[#This Row],[Lombardy cumul. Fit]]/Kr,mu_r,sigma_r)-(Tabella34[[#This Row],[Day]]-pr)</f>
        <v>#NUM!</v>
      </c>
      <c r="AM38" s="156">
        <f>Tabella34[[#This Row],[Lombardy cumul. Fit]]/Kl</f>
        <v>0</v>
      </c>
      <c r="AN38" s="157">
        <f>IFERROR(Kr*_xlfn.LOGNORM.DIST((Tabella34[[#This Row],[Day]]-pr),mu_r,sigma_r,FALSE),0)</f>
        <v>0</v>
      </c>
      <c r="AO38" s="199" t="e">
        <f>Tabella34[[#This Row],[Lombardy velocity]]/Tabella34[[#This Row],[Lombardy cumul. Fit]]</f>
        <v>#DIV/0!</v>
      </c>
      <c r="AP38" s="254" t="e">
        <f>(LN(Tabella34[[#This Row],[Day]]-pr)-mu_r)/sigma_r</f>
        <v>#NUM!</v>
      </c>
      <c r="AQ38" s="262" t="e">
        <f>EXP(mu_r+sigma_r*Tabella34[[#This Row],[x_r_alpha©+plus]])-(Tabella34[[#This Row],[Day]]-pr)</f>
        <v>#DIV/0!</v>
      </c>
      <c r="AR38" s="262" t="e">
        <f>EXP(mu_r+sigma_r*Tabella34[[#This Row],[x_r_alpha©-minus]])-(Tabella34[[#This Row],[Day]]-pr)</f>
        <v>#DIV/0!</v>
      </c>
      <c r="AS38" s="262" t="e">
        <f>-sigma_r+SQRT(sigma_r^2-2*Tabella34[[#This Row],[c_r]])</f>
        <v>#DIV/0!</v>
      </c>
      <c r="AT38" s="262" t="e">
        <f>-sigma_r-SQRT(sigma_r^2-2*Tabella34[[#This Row],[c_r]])</f>
        <v>#DIV/0!</v>
      </c>
      <c r="AU38" s="262" t="e">
        <f>mu_r-LN(alpha*Kr/(Tabella34[[#This Row],[Lombardy velocity]]*sigma_r*SQRTPI(2)))</f>
        <v>#DIV/0!</v>
      </c>
      <c r="AV38" s="262" t="e">
        <f>Tabella34[[#This Row],[t_alpha_r+plus]]</f>
        <v>#DIV/0!</v>
      </c>
      <c r="AW38" s="90">
        <f>IFERROR(-Kl*_xlfn.LOGNORM.DIST((Tabella34[[#This Row],[Day]]-pl),mu_l,sigma_l,FALSE)*(1+(LN((Tabella34[[#This Row],[Day]]-pl))-mu_l)/sigma_l^2)/(Tabella34[[#This Row],[Day]]-pl),0)</f>
        <v>0</v>
      </c>
      <c r="AX38" s="157">
        <f>Tabella34[[#This Row],[Lombardy acc. fit]]/y_l_peak</f>
        <v>0</v>
      </c>
      <c r="AY38" s="157">
        <f>Tabella34[[#This Row],[Lombardy acc. fit]]*NOT(ISBLANK(Tabella34[[#This Row],[Lombardy data]]))</f>
        <v>0</v>
      </c>
      <c r="AZ38" s="95">
        <f>Tabella34[[#This Row],[Lombardy acc. fit]]+CIl</f>
        <v>2570.3823229164086</v>
      </c>
      <c r="BA38" s="95">
        <f>MAX(Tabella34[[#This Row],[Lombardy acc. fit]]-CIl,0)</f>
        <v>0</v>
      </c>
      <c r="BB38" s="155"/>
      <c r="BC38" s="33"/>
      <c r="BD38" s="33"/>
      <c r="BE38" s="156">
        <f>Tabella34[[#This Row],[rest of Italy data]]*NOT(ISBLANK(Tabella34[[#This Row],[rest of Italy data]]))</f>
        <v>0</v>
      </c>
      <c r="BF38" s="204">
        <f>Tabella8[[#This Row],[rest of Italy fit]]</f>
        <v>0</v>
      </c>
      <c r="BG38" s="157" t="e">
        <f>_xlfn.LOGNORM.INV(alpha*Tabella34[[#This Row],[rest of Italy cumul. Fit]]/Ko,mu_o,sigma_o)-(Tabella34[[#This Row],[Day]]-po)</f>
        <v>#NUM!</v>
      </c>
      <c r="BH38" s="157">
        <f>Tabella34[[#This Row],[rest of Italy cumul. Fit]]/Ka</f>
        <v>0</v>
      </c>
      <c r="BI38" s="157">
        <f>IFERROR(Ko*_xlfn.LOGNORM.DIST((Tabella34[[#This Row],[Day]]-po),mu_o,sigma_o,FALSE),0)</f>
        <v>0</v>
      </c>
      <c r="BJ38" s="199" t="e">
        <f>Tabella34[[#This Row],[rest of Italy velocity]]/Tabella34[[#This Row],[rest of Italy cumul. Fit]]</f>
        <v>#DIV/0!</v>
      </c>
      <c r="BK38" s="254" t="e">
        <f>(LN(Tabella34[[#This Row],[Day]]-po)-mu_o)/sigma_o</f>
        <v>#NUM!</v>
      </c>
      <c r="BL38" s="262" t="e">
        <f>EXP(mu_o+sigma_o*Tabella34[[#This Row],[x_o_alpha©+plus]])-(Tabella34[[#This Row],[Day]]-po)</f>
        <v>#DIV/0!</v>
      </c>
      <c r="BM38" s="262" t="e">
        <f>EXP(mu_o+sigma_o*Tabella34[[#This Row],[x_o_alpha©-minus]])-(Tabella34[[#This Row],[Day]]-po)</f>
        <v>#DIV/0!</v>
      </c>
      <c r="BN38" s="262" t="e">
        <f>-sigma_o+SQRT(sigma_o^2-2*Tabella34[[#This Row],[c_o]])</f>
        <v>#DIV/0!</v>
      </c>
      <c r="BO38" s="262" t="e">
        <f>-sigma_o-SQRT(sigma_o^2-2*Tabella34[[#This Row],[c_o]])</f>
        <v>#DIV/0!</v>
      </c>
      <c r="BP38" s="262" t="e">
        <f>mu_o-LN(alpha*Ko/(Tabella34[[#This Row],[rest of Italy velocity]]*sigma_o*SQRTPI(2)))</f>
        <v>#DIV/0!</v>
      </c>
      <c r="BQ38" s="262" t="e">
        <f>Tabella34[[#This Row],[t_alpha_o+plus]]</f>
        <v>#DIV/0!</v>
      </c>
      <c r="BR38" s="90">
        <f>IFERROR(-Ka*_xlfn.LOGNORM.DIST((Tabella34[[#This Row],[Day]]-pa),mu_a,sigma_a,FALSE)*(1+(LN((Tabella34[[#This Row],[Day]]-pa))-mu_a)/sigma_a^2)/(Tabella34[[#This Row],[Day]]-pa),0)</f>
        <v>0</v>
      </c>
      <c r="BS38" s="157">
        <f>Tabella34[[#This Row],[rest of Italy acc. fit]]/y_a_peak</f>
        <v>0</v>
      </c>
      <c r="BT38" s="156">
        <f>Tabella34[[#This Row],[rest of Italy acc. fit]]*NOT(ISBLANK(Tabella34[[#This Row],[rest of Italy data]]))</f>
        <v>0</v>
      </c>
      <c r="BU38" s="95">
        <f>Tabella34[[#This Row],[rest of Italy acc. fit]]+CIa</f>
        <v>5338.8394351600173</v>
      </c>
      <c r="BV38" s="95">
        <f>MAX(Tabella34[[#This Row],[rest of Italy acc. fit]]-CIa,0)</f>
        <v>0</v>
      </c>
      <c r="BX38" s="231" t="s">
        <v>3</v>
      </c>
      <c r="BY38" s="232" cm="1">
        <f t="array" ref="BY38">SQRT(SUM((Tabella34[Colonna33]-Tabella34[Colonna322])^2)/dfa)</f>
        <v>4739.5497003982755</v>
      </c>
      <c r="CL38" s="59"/>
    </row>
    <row r="39" spans="2:90" ht="16.2" x14ac:dyDescent="0.3">
      <c r="B39" s="281">
        <v>43862</v>
      </c>
      <c r="C39" s="4">
        <v>32</v>
      </c>
      <c r="D39" s="10">
        <f>Tabella8[[#This Row],[Spain cum. Cases]]</f>
        <v>1</v>
      </c>
      <c r="E39" s="90">
        <f>(Tabella34[[#This Row],[Spain cumul. Cases]]-D38)</f>
        <v>1</v>
      </c>
      <c r="F39" s="90">
        <f>Tabella34[[#This Row],[Spain daily cases]]-E38</f>
        <v>1</v>
      </c>
      <c r="G39" s="156">
        <f>Tabella34[[#This Row],[Spain daily cases]]*NOT(ISBLANK(Tabella34[[#This Row],[Spain daily cases]]))</f>
        <v>1</v>
      </c>
      <c r="H39" s="157">
        <f>Tabella8[[#This Row],[Spain cum. fit]]</f>
        <v>0</v>
      </c>
      <c r="I39" s="157" t="e">
        <f>_xlfn.LOGNORM.INV(alpha*Tabella34[[#This Row],[Spain cumul. Fit]]/Kt,mu_t,sigma_t)-(Tabella34[[#This Row],[Day]]-pt)</f>
        <v>#NUM!</v>
      </c>
      <c r="J39" s="157" t="e">
        <f>Tabella34[[#This Row],[Spain fitted d.t.]]/Spain_dt_at_lockdown</f>
        <v>#NUM!</v>
      </c>
      <c r="K39" s="157">
        <f>Tabella34[[#This Row],[Spain cumul. Fit]]/Kf</f>
        <v>0</v>
      </c>
      <c r="L39" s="160"/>
      <c r="M39" s="157"/>
      <c r="N39" s="157">
        <f>IFERROR(Kt*_xlfn.LOGNORM.DIST((Tabella34[[#This Row],[Day]]-pt),mu_t,sigma_t,FALSE),0)</f>
        <v>0</v>
      </c>
      <c r="O39" s="157" t="e">
        <f>Kt*EXP(-0.5*Tabella34[[#This Row],[x_t]]^2)/(sigma_t*SQRTPI(2)*(Tabella34[[#This Row],[Day]]-D_bk))</f>
        <v>#NUM!</v>
      </c>
      <c r="P39" s="199" t="e">
        <f>Tabella34[[#This Row],[Spain fitted velocity]]/Tabella34[[#This Row],[Spain cumul. Fit]]</f>
        <v>#DIV/0!</v>
      </c>
      <c r="Q39" s="262" t="e">
        <f>(LN(Tabella34[[#This Row],[Day]]-pt)-mu_t)/sigma_t</f>
        <v>#NUM!</v>
      </c>
      <c r="R39" s="262" t="e">
        <f>EXP(mu_t+sigma_t*Tabella34[[#This Row],[x_t_alpha©+plus]])-(Tabella34[[#This Row],[Day]]-pt)</f>
        <v>#DIV/0!</v>
      </c>
      <c r="S39" s="262" t="e">
        <f>EXP(mu_t+sigma_t*Tabella34[[#This Row],[x_t_alpha©-minus]])-(Tabella34[[#This Row],[Day]]-pt)</f>
        <v>#DIV/0!</v>
      </c>
      <c r="T39" s="262" t="e">
        <f>-sigma_t+SQRT(sigma_t^2-2*Tabella34[[#This Row],[c_t]])</f>
        <v>#DIV/0!</v>
      </c>
      <c r="U39" s="262" t="e">
        <f>-sigma_t-SQRT(sigma_t^2-2*Tabella34[[#This Row],[c_t]])</f>
        <v>#DIV/0!</v>
      </c>
      <c r="V39" s="262" t="e">
        <f>mu_t-LN(alpha*Kt/(Tabella34[[#This Row],[Spain fitted velocity]]*sigma_t*SQRTPI(2)))</f>
        <v>#DIV/0!</v>
      </c>
      <c r="W39" s="262" t="e">
        <f>Tabella34[[#This Row],[Spain fitted g.r.]]/Spain_gr_at_lockdown</f>
        <v>#DIV/0!</v>
      </c>
      <c r="X39" s="262" t="e">
        <f>Tabella34[[#This Row],[t_alpha_t+plus]]</f>
        <v>#DIV/0!</v>
      </c>
      <c r="Y39" s="262" t="e">
        <f>Tabella34[[#This Row],[Spain fitted h.t.]]/Spain_ht_at_lockdown</f>
        <v>#DIV/0!</v>
      </c>
      <c r="Z39" s="90">
        <f>IFERROR(-Kf*_xlfn.LOGNORM.DIST((Tabella34[[#This Row],[Day]]-pf),mu_f,sigma_f,FALSE)*(1+(LN((Tabella34[[#This Row],[Day]]-pf))-mu_f)/sigma_f^2)/(Tabella34[[#This Row],[Day]]-pf),0)</f>
        <v>0</v>
      </c>
      <c r="AA39" s="90">
        <f>Tabella34[[#This Row],[Spain acc. fit]]/Spain_acc_at_lockdown</f>
        <v>0</v>
      </c>
      <c r="AB39" s="157">
        <f>Tabella34[[#This Row],[Spain acc. fit]]/y_f_peak</f>
        <v>0</v>
      </c>
      <c r="AC39" s="157">
        <f>Tabella34[[#This Row],[Colonna4]]*NOT(ISBLANK(Tabella34[[#This Row],[Spain daily cases]]))</f>
        <v>0</v>
      </c>
      <c r="AD39" s="157">
        <f>Tabella34[[#This Row],[Spain acc. fit]]*NOT(ISBLANK(Tabella34[[#This Row],[Spain daily cases]]))</f>
        <v>0</v>
      </c>
      <c r="AE39" s="95">
        <f>Tabella34[[#This Row],[Spain acc. fit]]+CIf</f>
        <v>2342.6884176810927</v>
      </c>
      <c r="AF39" s="95">
        <f>MAX(Tabella34[[#This Row],[Spain acc. fit]]-CIf,0)</f>
        <v>0</v>
      </c>
      <c r="AG39" s="155"/>
      <c r="AH39" s="33"/>
      <c r="AI39" s="33"/>
      <c r="AJ39" s="156">
        <f>Tabella34[[#This Row],[Lombardy data]]*NOT(ISBLANK(Tabella34[[#This Row],[Lombardy data]]))</f>
        <v>0</v>
      </c>
      <c r="AK39" s="161">
        <f>Tabella8[[#This Row],[Lombardy fit]]</f>
        <v>4.5004674482023335E-33</v>
      </c>
      <c r="AL39" s="157">
        <f>_xlfn.LOGNORM.INV(alpha*Tabella34[[#This Row],[Lombardy cumul. Fit]]/Kr,mu_r,sigma_r)-(Tabella34[[#This Row],[Day]]-pr)</f>
        <v>1.4373906436400907E-2</v>
      </c>
      <c r="AM39" s="156">
        <f>Tabella34[[#This Row],[Lombardy cumul. Fit]]/Kl</f>
        <v>5.1729510898877396E-38</v>
      </c>
      <c r="AN39" s="157">
        <f>IFERROR(Kr*_xlfn.LOGNORM.DIST((Tabella34[[#This Row],[Day]]-pr),mu_r,sigma_r,FALSE),0)</f>
        <v>2.194779593411024E-31</v>
      </c>
      <c r="AO39" s="199">
        <f>Tabella34[[#This Row],[Lombardy velocity]]/Tabella34[[#This Row],[Lombardy cumul. Fit]]</f>
        <v>48.767813980916728</v>
      </c>
      <c r="AP39" s="254">
        <f>(LN(Tabella34[[#This Row],[Day]]-pr)-mu_r)/sigma_r</f>
        <v>-12.835703400765695</v>
      </c>
      <c r="AQ39" s="262">
        <f>EXP(mu_r+sigma_r*Tabella34[[#This Row],[x_r_alpha©+plus]])-(Tabella34[[#This Row],[Day]]-pr)</f>
        <v>3923.7557979586013</v>
      </c>
      <c r="AR39" s="262">
        <f>EXP(mu_r+sigma_r*Tabella34[[#This Row],[x_r_alpha©-minus]])-(Tabella34[[#This Row],[Day]]-pr)</f>
        <v>-1.4518344233522495E-2</v>
      </c>
      <c r="AS39" s="262">
        <f>-sigma_r+SQRT(sigma_r^2-2*Tabella34[[#This Row],[c_r]])</f>
        <v>12.210198949943543</v>
      </c>
      <c r="AT39" s="262">
        <f>-sigma_r-SQRT(sigma_r^2-2*Tabella34[[#This Row],[c_r]])</f>
        <v>-12.891053547137272</v>
      </c>
      <c r="AU39" s="262">
        <f>mu_r-LN(alpha*Kr/(Tabella34[[#This Row],[Lombardy velocity]]*sigma_r*SQRTPI(2)))</f>
        <v>-78.701164242460734</v>
      </c>
      <c r="AV39" s="262">
        <f>Tabella34[[#This Row],[t_alpha_r+plus]]</f>
        <v>3923.7557979586013</v>
      </c>
      <c r="AW39" s="90">
        <f>IFERROR(-Kl*_xlfn.LOGNORM.DIST((Tabella34[[#This Row],[Day]]-pl),mu_l,sigma_l,FALSE)*(1+(LN((Tabella34[[#This Row],[Day]]-pl))-mu_l)/sigma_l^2)/(Tabella34[[#This Row],[Day]]-pl),0)</f>
        <v>1.0357459388113259E-29</v>
      </c>
      <c r="AX39" s="157">
        <f>Tabella34[[#This Row],[Lombardy acc. fit]]/y_l_peak</f>
        <v>5.8917677064095597E-33</v>
      </c>
      <c r="AY39" s="157">
        <f>Tabella34[[#This Row],[Lombardy acc. fit]]*NOT(ISBLANK(Tabella34[[#This Row],[Lombardy data]]))</f>
        <v>0</v>
      </c>
      <c r="AZ39" s="95">
        <f>Tabella34[[#This Row],[Lombardy acc. fit]]+CIl</f>
        <v>2570.3823229164086</v>
      </c>
      <c r="BA39" s="95">
        <f>MAX(Tabella34[[#This Row],[Lombardy acc. fit]]-CIl,0)</f>
        <v>0</v>
      </c>
      <c r="BB39" s="155"/>
      <c r="BC39" s="33"/>
      <c r="BD39" s="33"/>
      <c r="BE39" s="156">
        <f>Tabella34[[#This Row],[rest of Italy data]]*NOT(ISBLANK(Tabella34[[#This Row],[rest of Italy data]]))</f>
        <v>0</v>
      </c>
      <c r="BF39" s="204">
        <f>Tabella8[[#This Row],[rest of Italy fit]]</f>
        <v>0</v>
      </c>
      <c r="BG39" s="157" t="e">
        <f>_xlfn.LOGNORM.INV(alpha*Tabella34[[#This Row],[rest of Italy cumul. Fit]]/Ko,mu_o,sigma_o)-(Tabella34[[#This Row],[Day]]-po)</f>
        <v>#NUM!</v>
      </c>
      <c r="BH39" s="157">
        <f>Tabella34[[#This Row],[rest of Italy cumul. Fit]]/Ka</f>
        <v>0</v>
      </c>
      <c r="BI39" s="157">
        <f>IFERROR(Ko*_xlfn.LOGNORM.DIST((Tabella34[[#This Row],[Day]]-po),mu_o,sigma_o,FALSE),0)</f>
        <v>0</v>
      </c>
      <c r="BJ39" s="199" t="e">
        <f>Tabella34[[#This Row],[rest of Italy velocity]]/Tabella34[[#This Row],[rest of Italy cumul. Fit]]</f>
        <v>#DIV/0!</v>
      </c>
      <c r="BK39" s="254" t="e">
        <f>(LN(Tabella34[[#This Row],[Day]]-po)-mu_o)/sigma_o</f>
        <v>#NUM!</v>
      </c>
      <c r="BL39" s="262" t="e">
        <f>EXP(mu_o+sigma_o*Tabella34[[#This Row],[x_o_alpha©+plus]])-(Tabella34[[#This Row],[Day]]-po)</f>
        <v>#DIV/0!</v>
      </c>
      <c r="BM39" s="262" t="e">
        <f>EXP(mu_o+sigma_o*Tabella34[[#This Row],[x_o_alpha©-minus]])-(Tabella34[[#This Row],[Day]]-po)</f>
        <v>#DIV/0!</v>
      </c>
      <c r="BN39" s="262" t="e">
        <f>-sigma_o+SQRT(sigma_o^2-2*Tabella34[[#This Row],[c_o]])</f>
        <v>#DIV/0!</v>
      </c>
      <c r="BO39" s="262" t="e">
        <f>-sigma_o-SQRT(sigma_o^2-2*Tabella34[[#This Row],[c_o]])</f>
        <v>#DIV/0!</v>
      </c>
      <c r="BP39" s="262" t="e">
        <f>mu_o-LN(alpha*Ko/(Tabella34[[#This Row],[rest of Italy velocity]]*sigma_o*SQRTPI(2)))</f>
        <v>#DIV/0!</v>
      </c>
      <c r="BQ39" s="262" t="e">
        <f>Tabella34[[#This Row],[t_alpha_o+plus]]</f>
        <v>#DIV/0!</v>
      </c>
      <c r="BR39" s="90">
        <f>IFERROR(-Ka*_xlfn.LOGNORM.DIST((Tabella34[[#This Row],[Day]]-pa),mu_a,sigma_a,FALSE)*(1+(LN((Tabella34[[#This Row],[Day]]-pa))-mu_a)/sigma_a^2)/(Tabella34[[#This Row],[Day]]-pa),0)</f>
        <v>0</v>
      </c>
      <c r="BS39" s="157">
        <f>Tabella34[[#This Row],[rest of Italy acc. fit]]/y_a_peak</f>
        <v>0</v>
      </c>
      <c r="BT39" s="156">
        <f>Tabella34[[#This Row],[rest of Italy acc. fit]]*NOT(ISBLANK(Tabella34[[#This Row],[rest of Italy data]]))</f>
        <v>0</v>
      </c>
      <c r="BU39" s="95">
        <f>Tabella34[[#This Row],[rest of Italy acc. fit]]+CIa</f>
        <v>5338.8394351600173</v>
      </c>
      <c r="BV39" s="95">
        <f>MAX(Tabella34[[#This Row],[rest of Italy acc. fit]]-CIa,0)</f>
        <v>0</v>
      </c>
      <c r="BX39" s="231" t="s">
        <v>4023</v>
      </c>
      <c r="BY39" s="234" cm="1">
        <f t="array" ref="BY39">1-SUM((Tabella34[Colonna33]-Tabella34[Colonna322])^2)/SUM((Tabella34[Colonna33]-Mean_of_ya)^2)</f>
        <v>0.31704596144294805</v>
      </c>
      <c r="CL39" s="59"/>
    </row>
    <row r="40" spans="2:90" x14ac:dyDescent="0.3">
      <c r="B40" s="281">
        <v>43863</v>
      </c>
      <c r="C40" s="4">
        <v>33</v>
      </c>
      <c r="D40" s="10">
        <f>Tabella8[[#This Row],[Spain cum. Cases]]</f>
        <v>1</v>
      </c>
      <c r="E40" s="90">
        <f>(Tabella34[[#This Row],[Spain cumul. Cases]]-D39)</f>
        <v>0</v>
      </c>
      <c r="F40" s="90">
        <f>Tabella34[[#This Row],[Spain daily cases]]-E39</f>
        <v>-1</v>
      </c>
      <c r="G40" s="156">
        <f>Tabella34[[#This Row],[Spain daily cases]]*NOT(ISBLANK(Tabella34[[#This Row],[Spain daily cases]]))</f>
        <v>0</v>
      </c>
      <c r="H40" s="157">
        <f>Tabella8[[#This Row],[Spain cum. fit]]</f>
        <v>0</v>
      </c>
      <c r="I40" s="157" t="e">
        <f>_xlfn.LOGNORM.INV(alpha*Tabella34[[#This Row],[Spain cumul. Fit]]/Kt,mu_t,sigma_t)-(Tabella34[[#This Row],[Day]]-pt)</f>
        <v>#NUM!</v>
      </c>
      <c r="J40" s="157" t="e">
        <f>Tabella34[[#This Row],[Spain fitted d.t.]]/Spain_dt_at_lockdown</f>
        <v>#NUM!</v>
      </c>
      <c r="K40" s="157">
        <f>Tabella34[[#This Row],[Spain cumul. Fit]]/Kf</f>
        <v>0</v>
      </c>
      <c r="L40" s="160"/>
      <c r="M40" s="157"/>
      <c r="N40" s="157">
        <f>IFERROR(Kt*_xlfn.LOGNORM.DIST((Tabella34[[#This Row],[Day]]-pt),mu_t,sigma_t,FALSE),0)</f>
        <v>0</v>
      </c>
      <c r="O40" s="157" t="e">
        <f>Kt*EXP(-0.5*Tabella34[[#This Row],[x_t]]^2)/(sigma_t*SQRTPI(2)*(Tabella34[[#This Row],[Day]]-D_bk))</f>
        <v>#NUM!</v>
      </c>
      <c r="P40" s="199" t="e">
        <f>Tabella34[[#This Row],[Spain fitted velocity]]/Tabella34[[#This Row],[Spain cumul. Fit]]</f>
        <v>#DIV/0!</v>
      </c>
      <c r="Q40" s="262" t="e">
        <f>(LN(Tabella34[[#This Row],[Day]]-pt)-mu_t)/sigma_t</f>
        <v>#NUM!</v>
      </c>
      <c r="R40" s="262" t="e">
        <f>EXP(mu_t+sigma_t*Tabella34[[#This Row],[x_t_alpha©+plus]])-(Tabella34[[#This Row],[Day]]-pt)</f>
        <v>#DIV/0!</v>
      </c>
      <c r="S40" s="262" t="e">
        <f>EXP(mu_t+sigma_t*Tabella34[[#This Row],[x_t_alpha©-minus]])-(Tabella34[[#This Row],[Day]]-pt)</f>
        <v>#DIV/0!</v>
      </c>
      <c r="T40" s="262" t="e">
        <f>-sigma_t+SQRT(sigma_t^2-2*Tabella34[[#This Row],[c_t]])</f>
        <v>#DIV/0!</v>
      </c>
      <c r="U40" s="262" t="e">
        <f>-sigma_t-SQRT(sigma_t^2-2*Tabella34[[#This Row],[c_t]])</f>
        <v>#DIV/0!</v>
      </c>
      <c r="V40" s="262" t="e">
        <f>mu_t-LN(alpha*Kt/(Tabella34[[#This Row],[Spain fitted velocity]]*sigma_t*SQRTPI(2)))</f>
        <v>#DIV/0!</v>
      </c>
      <c r="W40" s="262" t="e">
        <f>Tabella34[[#This Row],[Spain fitted g.r.]]/Spain_gr_at_lockdown</f>
        <v>#DIV/0!</v>
      </c>
      <c r="X40" s="262" t="e">
        <f>Tabella34[[#This Row],[t_alpha_t+plus]]</f>
        <v>#DIV/0!</v>
      </c>
      <c r="Y40" s="262" t="e">
        <f>Tabella34[[#This Row],[Spain fitted h.t.]]/Spain_ht_at_lockdown</f>
        <v>#DIV/0!</v>
      </c>
      <c r="Z40" s="90">
        <f>IFERROR(-Kf*_xlfn.LOGNORM.DIST((Tabella34[[#This Row],[Day]]-pf),mu_f,sigma_f,FALSE)*(1+(LN((Tabella34[[#This Row],[Day]]-pf))-mu_f)/sigma_f^2)/(Tabella34[[#This Row],[Day]]-pf),0)</f>
        <v>0</v>
      </c>
      <c r="AA40" s="90">
        <f>Tabella34[[#This Row],[Spain acc. fit]]/Spain_acc_at_lockdown</f>
        <v>0</v>
      </c>
      <c r="AB40" s="157">
        <f>Tabella34[[#This Row],[Spain acc. fit]]/y_f_peak</f>
        <v>0</v>
      </c>
      <c r="AC40" s="157">
        <f>Tabella34[[#This Row],[Colonna4]]*NOT(ISBLANK(Tabella34[[#This Row],[Spain daily cases]]))</f>
        <v>0</v>
      </c>
      <c r="AD40" s="157">
        <f>Tabella34[[#This Row],[Spain acc. fit]]*NOT(ISBLANK(Tabella34[[#This Row],[Spain daily cases]]))</f>
        <v>0</v>
      </c>
      <c r="AE40" s="95">
        <f>Tabella34[[#This Row],[Spain acc. fit]]+CIf</f>
        <v>2342.6884176810927</v>
      </c>
      <c r="AF40" s="95">
        <f>MAX(Tabella34[[#This Row],[Spain acc. fit]]-CIf,0)</f>
        <v>0</v>
      </c>
      <c r="AG40" s="155"/>
      <c r="AH40" s="33"/>
      <c r="AI40" s="33"/>
      <c r="AJ40" s="156">
        <f>Tabella34[[#This Row],[Lombardy data]]*NOT(ISBLANK(Tabella34[[#This Row],[Lombardy data]]))</f>
        <v>0</v>
      </c>
      <c r="AK40" s="161">
        <f>Tabella8[[#This Row],[Lombardy fit]]</f>
        <v>9.982998313231629E-21</v>
      </c>
      <c r="AL40" s="157">
        <f>_xlfn.LOGNORM.INV(alpha*Tabella34[[#This Row],[Lombardy cumul. Fit]]/Kr,mu_r,sigma_r)-(Tabella34[[#This Row],[Day]]-pr)</f>
        <v>4.0525648353438193E-2</v>
      </c>
      <c r="AM40" s="156">
        <f>Tabella34[[#This Row],[Lombardy cumul. Fit]]/Kl</f>
        <v>1.1474710704863941E-25</v>
      </c>
      <c r="AN40" s="157">
        <f>IFERROR(Kr*_xlfn.LOGNORM.DIST((Tabella34[[#This Row],[Day]]-pr),mu_r,sigma_r,FALSE),0)</f>
        <v>1.7322845421536119E-19</v>
      </c>
      <c r="AO40" s="199">
        <f>Tabella34[[#This Row],[Lombardy velocity]]/Tabella34[[#This Row],[Lombardy cumul. Fit]]</f>
        <v>17.3523473389514</v>
      </c>
      <c r="AP40" s="254">
        <f>(LN(Tabella34[[#This Row],[Day]]-pr)-mu_r)/sigma_r</f>
        <v>-10.407361475921464</v>
      </c>
      <c r="AQ40" s="262">
        <f>EXP(mu_r+sigma_r*Tabella34[[#This Row],[x_r_alpha©+plus]])-(Tabella34[[#This Row],[Day]]-pr)</f>
        <v>1722.9876204224172</v>
      </c>
      <c r="AR40" s="262">
        <f>EXP(mu_r+sigma_r*Tabella34[[#This Row],[x_r_alpha©-minus]])-(Tabella34[[#This Row],[Day]]-pr)</f>
        <v>-4.1047935453704998E-2</v>
      </c>
      <c r="AS40" s="262">
        <f>-sigma_r+SQRT(sigma_r^2-2*Tabella34[[#This Row],[c_r]])</f>
        <v>9.7951268594995735</v>
      </c>
      <c r="AT40" s="262">
        <f>-sigma_r-SQRT(sigma_r^2-2*Tabella34[[#This Row],[c_r]])</f>
        <v>-10.475981456693303</v>
      </c>
      <c r="AU40" s="262">
        <f>mu_r-LN(alpha*Kr/(Tabella34[[#This Row],[Lombardy velocity]]*sigma_r*SQRTPI(2)))</f>
        <v>-51.306783673038019</v>
      </c>
      <c r="AV40" s="262">
        <f>Tabella34[[#This Row],[t_alpha_r+plus]]</f>
        <v>1722.9876204224172</v>
      </c>
      <c r="AW40" s="90">
        <f>IFERROR(-Kl*_xlfn.LOGNORM.DIST((Tabella34[[#This Row],[Day]]-pl),mu_l,sigma_l,FALSE)*(1+(LN((Tabella34[[#This Row],[Day]]-pl))-mu_l)/sigma_l^2)/(Tabella34[[#This Row],[Day]]-pl),0)</f>
        <v>2.8814628352738055E-18</v>
      </c>
      <c r="AX40" s="157">
        <f>Tabella34[[#This Row],[Lombardy acc. fit]]/y_l_peak</f>
        <v>1.6390998066156157E-21</v>
      </c>
      <c r="AY40" s="157">
        <f>Tabella34[[#This Row],[Lombardy acc. fit]]*NOT(ISBLANK(Tabella34[[#This Row],[Lombardy data]]))</f>
        <v>0</v>
      </c>
      <c r="AZ40" s="95">
        <f>Tabella34[[#This Row],[Lombardy acc. fit]]+CIl</f>
        <v>2570.3823229164086</v>
      </c>
      <c r="BA40" s="95">
        <f>MAX(Tabella34[[#This Row],[Lombardy acc. fit]]-CIl,0)</f>
        <v>0</v>
      </c>
      <c r="BB40" s="155"/>
      <c r="BC40" s="33"/>
      <c r="BD40" s="33"/>
      <c r="BE40" s="156">
        <f>Tabella34[[#This Row],[rest of Italy data]]*NOT(ISBLANK(Tabella34[[#This Row],[rest of Italy data]]))</f>
        <v>0</v>
      </c>
      <c r="BF40" s="204">
        <f>Tabella8[[#This Row],[rest of Italy fit]]</f>
        <v>0</v>
      </c>
      <c r="BG40" s="157" t="e">
        <f>_xlfn.LOGNORM.INV(alpha*Tabella34[[#This Row],[rest of Italy cumul. Fit]]/Ko,mu_o,sigma_o)-(Tabella34[[#This Row],[Day]]-po)</f>
        <v>#NUM!</v>
      </c>
      <c r="BH40" s="157">
        <f>Tabella34[[#This Row],[rest of Italy cumul. Fit]]/Ka</f>
        <v>0</v>
      </c>
      <c r="BI40" s="157">
        <f>IFERROR(Ko*_xlfn.LOGNORM.DIST((Tabella34[[#This Row],[Day]]-po),mu_o,sigma_o,FALSE),0)</f>
        <v>0</v>
      </c>
      <c r="BJ40" s="199" t="e">
        <f>Tabella34[[#This Row],[rest of Italy velocity]]/Tabella34[[#This Row],[rest of Italy cumul. Fit]]</f>
        <v>#DIV/0!</v>
      </c>
      <c r="BK40" s="254" t="e">
        <f>(LN(Tabella34[[#This Row],[Day]]-po)-mu_o)/sigma_o</f>
        <v>#NUM!</v>
      </c>
      <c r="BL40" s="262" t="e">
        <f>EXP(mu_o+sigma_o*Tabella34[[#This Row],[x_o_alpha©+plus]])-(Tabella34[[#This Row],[Day]]-po)</f>
        <v>#DIV/0!</v>
      </c>
      <c r="BM40" s="262" t="e">
        <f>EXP(mu_o+sigma_o*Tabella34[[#This Row],[x_o_alpha©-minus]])-(Tabella34[[#This Row],[Day]]-po)</f>
        <v>#DIV/0!</v>
      </c>
      <c r="BN40" s="262" t="e">
        <f>-sigma_o+SQRT(sigma_o^2-2*Tabella34[[#This Row],[c_o]])</f>
        <v>#DIV/0!</v>
      </c>
      <c r="BO40" s="262" t="e">
        <f>-sigma_o-SQRT(sigma_o^2-2*Tabella34[[#This Row],[c_o]])</f>
        <v>#DIV/0!</v>
      </c>
      <c r="BP40" s="262" t="e">
        <f>mu_o-LN(alpha*Ko/(Tabella34[[#This Row],[rest of Italy velocity]]*sigma_o*SQRTPI(2)))</f>
        <v>#DIV/0!</v>
      </c>
      <c r="BQ40" s="262" t="e">
        <f>Tabella34[[#This Row],[t_alpha_o+plus]]</f>
        <v>#DIV/0!</v>
      </c>
      <c r="BR40" s="90">
        <f>IFERROR(-Ka*_xlfn.LOGNORM.DIST((Tabella34[[#This Row],[Day]]-pa),mu_a,sigma_a,FALSE)*(1+(LN((Tabella34[[#This Row],[Day]]-pa))-mu_a)/sigma_a^2)/(Tabella34[[#This Row],[Day]]-pa),0)</f>
        <v>0</v>
      </c>
      <c r="BS40" s="157">
        <f>Tabella34[[#This Row],[rest of Italy acc. fit]]/y_a_peak</f>
        <v>0</v>
      </c>
      <c r="BT40" s="156">
        <f>Tabella34[[#This Row],[rest of Italy acc. fit]]*NOT(ISBLANK(Tabella34[[#This Row],[rest of Italy data]]))</f>
        <v>0</v>
      </c>
      <c r="BU40" s="95">
        <f>Tabella34[[#This Row],[rest of Italy acc. fit]]+CIa</f>
        <v>5338.8394351600173</v>
      </c>
      <c r="BV40" s="95">
        <f>MAX(Tabella34[[#This Row],[rest of Italy acc. fit]]-CIa,0)</f>
        <v>0</v>
      </c>
      <c r="BX40" s="231" t="s">
        <v>5</v>
      </c>
      <c r="BY40" s="234">
        <f>TINV(0.05,dfa)</f>
        <v>1.9996235849949404</v>
      </c>
      <c r="CL40" s="59"/>
    </row>
    <row r="41" spans="2:90" x14ac:dyDescent="0.3">
      <c r="B41" s="281">
        <v>43864</v>
      </c>
      <c r="C41" s="4">
        <v>34</v>
      </c>
      <c r="D41" s="10">
        <f>Tabella8[[#This Row],[Spain cum. Cases]]</f>
        <v>1</v>
      </c>
      <c r="E41" s="90">
        <f>(Tabella34[[#This Row],[Spain cumul. Cases]]-D40)</f>
        <v>0</v>
      </c>
      <c r="F41" s="90">
        <f>Tabella34[[#This Row],[Spain daily cases]]-E40</f>
        <v>0</v>
      </c>
      <c r="G41" s="156">
        <f>Tabella34[[#This Row],[Spain daily cases]]*NOT(ISBLANK(Tabella34[[#This Row],[Spain daily cases]]))</f>
        <v>0</v>
      </c>
      <c r="H41" s="157">
        <f>Tabella8[[#This Row],[Spain cum. fit]]</f>
        <v>0</v>
      </c>
      <c r="I41" s="157" t="e">
        <f>_xlfn.LOGNORM.INV(alpha*Tabella34[[#This Row],[Spain cumul. Fit]]/Kt,mu_t,sigma_t)-(Tabella34[[#This Row],[Day]]-pt)</f>
        <v>#NUM!</v>
      </c>
      <c r="J41" s="157" t="e">
        <f>Tabella34[[#This Row],[Spain fitted d.t.]]/Spain_dt_at_lockdown</f>
        <v>#NUM!</v>
      </c>
      <c r="K41" s="157">
        <f>Tabella34[[#This Row],[Spain cumul. Fit]]/Kf</f>
        <v>0</v>
      </c>
      <c r="L41" s="160"/>
      <c r="M41" s="157"/>
      <c r="N41" s="157">
        <f>IFERROR(Kt*_xlfn.LOGNORM.DIST((Tabella34[[#This Row],[Day]]-pt),mu_t,sigma_t,FALSE),0)</f>
        <v>0</v>
      </c>
      <c r="O41" s="157" t="e">
        <f>Kt*EXP(-0.5*Tabella34[[#This Row],[x_t]]^2)/(sigma_t*SQRTPI(2)*(Tabella34[[#This Row],[Day]]-D_bk))</f>
        <v>#NUM!</v>
      </c>
      <c r="P41" s="199" t="e">
        <f>Tabella34[[#This Row],[Spain fitted velocity]]/Tabella34[[#This Row],[Spain cumul. Fit]]</f>
        <v>#DIV/0!</v>
      </c>
      <c r="Q41" s="262" t="e">
        <f>(LN(Tabella34[[#This Row],[Day]]-pt)-mu_t)/sigma_t</f>
        <v>#NUM!</v>
      </c>
      <c r="R41" s="262" t="e">
        <f>EXP(mu_t+sigma_t*Tabella34[[#This Row],[x_t_alpha©+plus]])-(Tabella34[[#This Row],[Day]]-pt)</f>
        <v>#DIV/0!</v>
      </c>
      <c r="S41" s="262" t="e">
        <f>EXP(mu_t+sigma_t*Tabella34[[#This Row],[x_t_alpha©-minus]])-(Tabella34[[#This Row],[Day]]-pt)</f>
        <v>#DIV/0!</v>
      </c>
      <c r="T41" s="262" t="e">
        <f>-sigma_t+SQRT(sigma_t^2-2*Tabella34[[#This Row],[c_t]])</f>
        <v>#DIV/0!</v>
      </c>
      <c r="U41" s="262" t="e">
        <f>-sigma_t-SQRT(sigma_t^2-2*Tabella34[[#This Row],[c_t]])</f>
        <v>#DIV/0!</v>
      </c>
      <c r="V41" s="262" t="e">
        <f>mu_t-LN(alpha*Kt/(Tabella34[[#This Row],[Spain fitted velocity]]*sigma_t*SQRTPI(2)))</f>
        <v>#DIV/0!</v>
      </c>
      <c r="W41" s="262" t="e">
        <f>Tabella34[[#This Row],[Spain fitted g.r.]]/Spain_gr_at_lockdown</f>
        <v>#DIV/0!</v>
      </c>
      <c r="X41" s="262" t="e">
        <f>Tabella34[[#This Row],[t_alpha_t+plus]]</f>
        <v>#DIV/0!</v>
      </c>
      <c r="Y41" s="262" t="e">
        <f>Tabella34[[#This Row],[Spain fitted h.t.]]/Spain_ht_at_lockdown</f>
        <v>#DIV/0!</v>
      </c>
      <c r="Z41" s="90">
        <f>IFERROR(-Kf*_xlfn.LOGNORM.DIST((Tabella34[[#This Row],[Day]]-pf),mu_f,sigma_f,FALSE)*(1+(LN((Tabella34[[#This Row],[Day]]-pf))-mu_f)/sigma_f^2)/(Tabella34[[#This Row],[Day]]-pf),0)</f>
        <v>0</v>
      </c>
      <c r="AA41" s="90">
        <f>Tabella34[[#This Row],[Spain acc. fit]]/Spain_acc_at_lockdown</f>
        <v>0</v>
      </c>
      <c r="AB41" s="157">
        <f>Tabella34[[#This Row],[Spain acc. fit]]/y_f_peak</f>
        <v>0</v>
      </c>
      <c r="AC41" s="157">
        <f>Tabella34[[#This Row],[Colonna4]]*NOT(ISBLANK(Tabella34[[#This Row],[Spain daily cases]]))</f>
        <v>0</v>
      </c>
      <c r="AD41" s="157">
        <f>Tabella34[[#This Row],[Spain acc. fit]]*NOT(ISBLANK(Tabella34[[#This Row],[Spain daily cases]]))</f>
        <v>0</v>
      </c>
      <c r="AE41" s="95">
        <f>Tabella34[[#This Row],[Spain acc. fit]]+CIf</f>
        <v>2342.6884176810927</v>
      </c>
      <c r="AF41" s="95">
        <f>MAX(Tabella34[[#This Row],[Spain acc. fit]]-CIf,0)</f>
        <v>0</v>
      </c>
      <c r="AG41" s="155"/>
      <c r="AH41" s="33"/>
      <c r="AI41" s="33"/>
      <c r="AJ41" s="156">
        <f>Tabella34[[#This Row],[Lombardy data]]*NOT(ISBLANK(Tabella34[[#This Row],[Lombardy data]]))</f>
        <v>0</v>
      </c>
      <c r="AK41" s="161">
        <f>Tabella8[[#This Row],[Lombardy fit]]</f>
        <v>4.0616974750038979E-15</v>
      </c>
      <c r="AL41" s="157">
        <f>_xlfn.LOGNORM.INV(alpha*Tabella34[[#This Row],[Lombardy cumul. Fit]]/Kr,mu_r,sigma_r)-(Tabella34[[#This Row],[Day]]-pr)</f>
        <v>7.2435115785905779E-2</v>
      </c>
      <c r="AM41" s="156">
        <f>Tabella34[[#This Row],[Lombardy cumul. Fit]]/Kl</f>
        <v>4.6686177873608025E-20</v>
      </c>
      <c r="AN41" s="157">
        <f>IFERROR(Kr*_xlfn.LOGNORM.DIST((Tabella34[[#This Row],[Day]]-pr),mu_r,sigma_r,FALSE),0)</f>
        <v>3.9532398639963845E-14</v>
      </c>
      <c r="AO41" s="199">
        <f>Tabella34[[#This Row],[Lombardy velocity]]/Tabella34[[#This Row],[Lombardy cumul. Fit]]</f>
        <v>9.7329746696425019</v>
      </c>
      <c r="AP41" s="254">
        <f>(LN(Tabella34[[#This Row],[Day]]-pr)-mu_r)/sigma_r</f>
        <v>-9.096403774219338</v>
      </c>
      <c r="AQ41" s="262">
        <f>EXP(mu_r+sigma_r*Tabella34[[#This Row],[x_r_alpha©+plus]])-(Tabella34[[#This Row],[Day]]-pr)</f>
        <v>1104.9086725512323</v>
      </c>
      <c r="AR41" s="262">
        <f>EXP(mu_r+sigma_r*Tabella34[[#This Row],[x_r_alpha©-minus]])-(Tabella34[[#This Row],[Day]]-pr)</f>
        <v>-7.3532786753093049E-2</v>
      </c>
      <c r="AS41" s="262">
        <f>-sigma_r+SQRT(sigma_r^2-2*Tabella34[[#This Row],[c_r]])</f>
        <v>8.4943572716557707</v>
      </c>
      <c r="AT41" s="262">
        <f>-sigma_r-SQRT(sigma_r^2-2*Tabella34[[#This Row],[c_r]])</f>
        <v>-9.1752118688494999</v>
      </c>
      <c r="AU41" s="262">
        <f>mu_r-LN(alpha*Kr/(Tabella34[[#This Row],[Lombardy velocity]]*sigma_r*SQRTPI(2)))</f>
        <v>-38.968763828572037</v>
      </c>
      <c r="AV41" s="262">
        <f>Tabella34[[#This Row],[t_alpha_r+plus]]</f>
        <v>1104.9086725512323</v>
      </c>
      <c r="AW41" s="90">
        <f>IFERROR(-Kl*_xlfn.LOGNORM.DIST((Tabella34[[#This Row],[Day]]-pl),mu_l,sigma_l,FALSE)*(1+(LN((Tabella34[[#This Row],[Day]]-pl))-mu_l)/sigma_l^2)/(Tabella34[[#This Row],[Day]]-pl),0)</f>
        <v>3.6604532127729472E-13</v>
      </c>
      <c r="AX41" s="157">
        <f>Tabella34[[#This Row],[Lombardy acc. fit]]/y_l_peak</f>
        <v>2.0822229874818159E-16</v>
      </c>
      <c r="AY41" s="157">
        <f>Tabella34[[#This Row],[Lombardy acc. fit]]*NOT(ISBLANK(Tabella34[[#This Row],[Lombardy data]]))</f>
        <v>0</v>
      </c>
      <c r="AZ41" s="95">
        <f>Tabella34[[#This Row],[Lombardy acc. fit]]+CIl</f>
        <v>2570.3823229164091</v>
      </c>
      <c r="BA41" s="95">
        <f>MAX(Tabella34[[#This Row],[Lombardy acc. fit]]-CIl,0)</f>
        <v>0</v>
      </c>
      <c r="BB41" s="155"/>
      <c r="BC41" s="33"/>
      <c r="BD41" s="33"/>
      <c r="BE41" s="156">
        <f>Tabella34[[#This Row],[rest of Italy data]]*NOT(ISBLANK(Tabella34[[#This Row],[rest of Italy data]]))</f>
        <v>0</v>
      </c>
      <c r="BF41" s="204">
        <f>Tabella8[[#This Row],[rest of Italy fit]]</f>
        <v>0</v>
      </c>
      <c r="BG41" s="157" t="e">
        <f>_xlfn.LOGNORM.INV(alpha*Tabella34[[#This Row],[rest of Italy cumul. Fit]]/Ko,mu_o,sigma_o)-(Tabella34[[#This Row],[Day]]-po)</f>
        <v>#NUM!</v>
      </c>
      <c r="BH41" s="157">
        <f>Tabella34[[#This Row],[rest of Italy cumul. Fit]]/Ka</f>
        <v>0</v>
      </c>
      <c r="BI41" s="157">
        <f>IFERROR(Ko*_xlfn.LOGNORM.DIST((Tabella34[[#This Row],[Day]]-po),mu_o,sigma_o,FALSE),0)</f>
        <v>0</v>
      </c>
      <c r="BJ41" s="199" t="e">
        <f>Tabella34[[#This Row],[rest of Italy velocity]]/Tabella34[[#This Row],[rest of Italy cumul. Fit]]</f>
        <v>#DIV/0!</v>
      </c>
      <c r="BK41" s="254" t="e">
        <f>(LN(Tabella34[[#This Row],[Day]]-po)-mu_o)/sigma_o</f>
        <v>#NUM!</v>
      </c>
      <c r="BL41" s="262" t="e">
        <f>EXP(mu_o+sigma_o*Tabella34[[#This Row],[x_o_alpha©+plus]])-(Tabella34[[#This Row],[Day]]-po)</f>
        <v>#DIV/0!</v>
      </c>
      <c r="BM41" s="262" t="e">
        <f>EXP(mu_o+sigma_o*Tabella34[[#This Row],[x_o_alpha©-minus]])-(Tabella34[[#This Row],[Day]]-po)</f>
        <v>#DIV/0!</v>
      </c>
      <c r="BN41" s="262" t="e">
        <f>-sigma_o+SQRT(sigma_o^2-2*Tabella34[[#This Row],[c_o]])</f>
        <v>#DIV/0!</v>
      </c>
      <c r="BO41" s="262" t="e">
        <f>-sigma_o-SQRT(sigma_o^2-2*Tabella34[[#This Row],[c_o]])</f>
        <v>#DIV/0!</v>
      </c>
      <c r="BP41" s="262" t="e">
        <f>mu_o-LN(alpha*Ko/(Tabella34[[#This Row],[rest of Italy velocity]]*sigma_o*SQRTPI(2)))</f>
        <v>#DIV/0!</v>
      </c>
      <c r="BQ41" s="262" t="e">
        <f>Tabella34[[#This Row],[t_alpha_o+plus]]</f>
        <v>#DIV/0!</v>
      </c>
      <c r="BR41" s="90">
        <f>IFERROR(-Ka*_xlfn.LOGNORM.DIST((Tabella34[[#This Row],[Day]]-pa),mu_a,sigma_a,FALSE)*(1+(LN((Tabella34[[#This Row],[Day]]-pa))-mu_a)/sigma_a^2)/(Tabella34[[#This Row],[Day]]-pa),0)</f>
        <v>0</v>
      </c>
      <c r="BS41" s="157">
        <f>Tabella34[[#This Row],[rest of Italy acc. fit]]/y_a_peak</f>
        <v>0</v>
      </c>
      <c r="BT41" s="156">
        <f>Tabella34[[#This Row],[rest of Italy acc. fit]]*NOT(ISBLANK(Tabella34[[#This Row],[rest of Italy data]]))</f>
        <v>0</v>
      </c>
      <c r="BU41" s="95">
        <f>Tabella34[[#This Row],[rest of Italy acc. fit]]+CIa</f>
        <v>5338.8394351600173</v>
      </c>
      <c r="BV41" s="95">
        <f>MAX(Tabella34[[#This Row],[rest of Italy acc. fit]]-CIa,0)</f>
        <v>0</v>
      </c>
      <c r="BX41" s="231" t="s">
        <v>6</v>
      </c>
      <c r="BY41" s="232">
        <f>Critical_ta*SE_of_ya</f>
        <v>5338.8394351600173</v>
      </c>
      <c r="CL41" s="59"/>
    </row>
    <row r="42" spans="2:90" ht="15" thickBot="1" x14ac:dyDescent="0.35">
      <c r="B42" s="281">
        <v>43865</v>
      </c>
      <c r="C42" s="4">
        <v>35</v>
      </c>
      <c r="D42" s="10">
        <f>Tabella8[[#This Row],[Spain cum. Cases]]</f>
        <v>1</v>
      </c>
      <c r="E42" s="90">
        <f>(Tabella34[[#This Row],[Spain cumul. Cases]]-D41)</f>
        <v>0</v>
      </c>
      <c r="F42" s="90">
        <f>Tabella34[[#This Row],[Spain daily cases]]-E41</f>
        <v>0</v>
      </c>
      <c r="G42" s="156">
        <f>Tabella34[[#This Row],[Spain daily cases]]*NOT(ISBLANK(Tabella34[[#This Row],[Spain daily cases]]))</f>
        <v>0</v>
      </c>
      <c r="H42" s="157">
        <f>Tabella8[[#This Row],[Spain cum. fit]]</f>
        <v>8.3581219282537867E-60</v>
      </c>
      <c r="I42" s="157">
        <f>_xlfn.LOGNORM.INV(alpha*Tabella34[[#This Row],[Spain cumul. Fit]]/Kt,mu_t,sigma_t)-(Tabella34[[#This Row],[Day]]-pt)</f>
        <v>7.3194953959361264E-3</v>
      </c>
      <c r="J42" s="157">
        <f>Tabella34[[#This Row],[Spain fitted d.t.]]/Spain_dt_at_lockdown</f>
        <v>1.9531808856597106E-3</v>
      </c>
      <c r="K42" s="157">
        <f>Tabella34[[#This Row],[Spain cumul. Fit]]/Kf</f>
        <v>2.9850446569950566E-65</v>
      </c>
      <c r="L42" s="160"/>
      <c r="M42" s="157"/>
      <c r="N42" s="157">
        <f>IFERROR(Kt*_xlfn.LOGNORM.DIST((Tabella34[[#This Row],[Day]]-pt),mu_t,sigma_t,FALSE),0)</f>
        <v>7.9678609483227346E-58</v>
      </c>
      <c r="O42" s="157" t="e">
        <f>Kt*EXP(-0.5*Tabella34[[#This Row],[x_t]]^2)/(sigma_t*SQRTPI(2)*(Tabella34[[#This Row],[Day]]-D_bk))</f>
        <v>#NAME?</v>
      </c>
      <c r="P42" s="199">
        <f>Tabella34[[#This Row],[Spain fitted velocity]]/Tabella34[[#This Row],[Spain cumul. Fit]]</f>
        <v>95.330757516089662</v>
      </c>
      <c r="Q42" s="262">
        <f>(LN(Tabella34[[#This Row],[Day]]-pt)-mu_t)/sigma_t</f>
        <v>-17.018680495332614</v>
      </c>
      <c r="R42" s="262">
        <f>EXP(mu_t+sigma_t*Tabella34[[#This Row],[x_t_alpha©+plus]])-(Tabella34[[#This Row],[Day]]-pt)</f>
        <v>5472.7781616257344</v>
      </c>
      <c r="S42" s="262">
        <f>EXP(mu_t+sigma_t*Tabella34[[#This Row],[x_t_alpha©-minus]])-(Tabella34[[#This Row],[Day]]-pt)</f>
        <v>-7.3628548525215276E-3</v>
      </c>
      <c r="T42" s="262">
        <f>-sigma_t+SQRT(sigma_t^2-2*Tabella34[[#This Row],[c_t]])</f>
        <v>16.522572170747246</v>
      </c>
      <c r="U42" s="262">
        <f>-sigma_t-SQRT(sigma_t^2-2*Tabella34[[#This Row],[c_t]])</f>
        <v>-17.060011520590415</v>
      </c>
      <c r="V42" s="262">
        <f>mu_t-LN(alpha*Kt/(Tabella34[[#This Row],[Spain fitted velocity]]*sigma_t*SQRTPI(2)))</f>
        <v>-140.93763579136731</v>
      </c>
      <c r="W42" s="262">
        <f>Tabella34[[#This Row],[Spain fitted g.r.]]/Spain_gr_at_lockdown</f>
        <v>460.05707109348418</v>
      </c>
      <c r="X42" s="262">
        <f>Tabella34[[#This Row],[t_alpha_t+plus]]</f>
        <v>5472.7781616257344</v>
      </c>
      <c r="Y42" s="262">
        <f>Tabella34[[#This Row],[Spain fitted h.t.]]/Spain_ht_at_lockdown</f>
        <v>88.900706862286356</v>
      </c>
      <c r="Z42" s="90">
        <f>IFERROR(-Kf*_xlfn.LOGNORM.DIST((Tabella34[[#This Row],[Day]]-pf),mu_f,sigma_f,FALSE)*(1+(LN((Tabella34[[#This Row],[Day]]-pf))-mu_f)/sigma_f^2)/(Tabella34[[#This Row],[Day]]-pf),0)</f>
        <v>7.4503380089378552E-56</v>
      </c>
      <c r="AA42" s="90">
        <f>Tabella34[[#This Row],[Spain acc. fit]]/Spain_acc_at_lockdown</f>
        <v>2.5388288998425912E-58</v>
      </c>
      <c r="AB42" s="157">
        <f>Tabella34[[#This Row],[Spain acc. fit]]/y_f_peak</f>
        <v>1.116211389133857E-59</v>
      </c>
      <c r="AC42" s="157">
        <f>Tabella34[[#This Row],[Colonna4]]*NOT(ISBLANK(Tabella34[[#This Row],[Spain daily cases]]))</f>
        <v>0</v>
      </c>
      <c r="AD42" s="157">
        <f>Tabella34[[#This Row],[Spain acc. fit]]*NOT(ISBLANK(Tabella34[[#This Row],[Spain daily cases]]))</f>
        <v>7.4503380089378552E-56</v>
      </c>
      <c r="AE42" s="95">
        <f>Tabella34[[#This Row],[Spain acc. fit]]+CIf</f>
        <v>2342.6884176810927</v>
      </c>
      <c r="AF42" s="95">
        <f>MAX(Tabella34[[#This Row],[Spain acc. fit]]-CIf,0)</f>
        <v>0</v>
      </c>
      <c r="AG42" s="155"/>
      <c r="AH42" s="33"/>
      <c r="AI42" s="33"/>
      <c r="AJ42" s="156">
        <f>Tabella34[[#This Row],[Lombardy data]]*NOT(ISBLANK(Tabella34[[#This Row],[Lombardy data]]))</f>
        <v>0</v>
      </c>
      <c r="AK42" s="161">
        <f>Tabella8[[#This Row],[Lombardy fit]]</f>
        <v>1.1067531237093309E-11</v>
      </c>
      <c r="AL42" s="157">
        <f>_xlfn.LOGNORM.INV(alpha*Tabella34[[#This Row],[Lombardy cumul. Fit]]/Kr,mu_r,sigma_r)-(Tabella34[[#This Row],[Day]]-pr)</f>
        <v>0.10933644639449192</v>
      </c>
      <c r="AM42" s="156">
        <f>Tabella34[[#This Row],[Lombardy cumul. Fit]]/Kl</f>
        <v>1.2721300272521045E-16</v>
      </c>
      <c r="AN42" s="157">
        <f>IFERROR(Kr*_xlfn.LOGNORM.DIST((Tabella34[[#This Row],[Day]]-pr),mu_r,sigma_r,FALSE),0)</f>
        <v>7.1529656312274142E-11</v>
      </c>
      <c r="AO42" s="199">
        <f>Tabella34[[#This Row],[Lombardy velocity]]/Tabella34[[#This Row],[Lombardy cumul. Fit]]</f>
        <v>6.4630182449848803</v>
      </c>
      <c r="AP42" s="254">
        <f>(LN(Tabella34[[#This Row],[Day]]-pr)-mu_r)/sigma_r</f>
        <v>-8.193173972084594</v>
      </c>
      <c r="AQ42" s="262">
        <f>EXP(mu_r+sigma_r*Tabella34[[#This Row],[x_r_alpha©+plus]])-(Tabella34[[#This Row],[Day]]-pr)</f>
        <v>813.18881044975126</v>
      </c>
      <c r="AR42" s="262">
        <f>EXP(mu_r+sigma_r*Tabella34[[#This Row],[x_r_alpha©-minus]])-(Tabella34[[#This Row],[Day]]-pr)</f>
        <v>-0.11121728702962042</v>
      </c>
      <c r="AS42" s="262">
        <f>-sigma_r+SQRT(sigma_r^2-2*Tabella34[[#This Row],[c_r]])</f>
        <v>7.6000969082230156</v>
      </c>
      <c r="AT42" s="262">
        <f>-sigma_r-SQRT(sigma_r^2-2*Tabella34[[#This Row],[c_r]])</f>
        <v>-8.2809515054167449</v>
      </c>
      <c r="AU42" s="262">
        <f>mu_r-LN(alpha*Kr/(Tabella34[[#This Row],[Lombardy velocity]]*sigma_r*SQRTPI(2)))</f>
        <v>-31.468016966731263</v>
      </c>
      <c r="AV42" s="262">
        <f>Tabella34[[#This Row],[t_alpha_r+plus]]</f>
        <v>813.18881044975126</v>
      </c>
      <c r="AW42" s="90">
        <f>IFERROR(-Kl*_xlfn.LOGNORM.DIST((Tabella34[[#This Row],[Day]]-pl),mu_l,sigma_l,FALSE)*(1+(LN((Tabella34[[#This Row],[Day]]-pl))-mu_l)/sigma_l^2)/(Tabella34[[#This Row],[Day]]-pl),0)</f>
        <v>4.3676335556564761E-10</v>
      </c>
      <c r="AX42" s="157">
        <f>Tabella34[[#This Row],[Lombardy acc. fit]]/y_l_peak</f>
        <v>2.484497536739576E-13</v>
      </c>
      <c r="AY42" s="157">
        <f>Tabella34[[#This Row],[Lombardy acc. fit]]*NOT(ISBLANK(Tabella34[[#This Row],[Lombardy data]]))</f>
        <v>0</v>
      </c>
      <c r="AZ42" s="95">
        <f>Tabella34[[#This Row],[Lombardy acc. fit]]+CIl</f>
        <v>2570.3823229168452</v>
      </c>
      <c r="BA42" s="95">
        <f>MAX(Tabella34[[#This Row],[Lombardy acc. fit]]-CIl,0)</f>
        <v>0</v>
      </c>
      <c r="BB42" s="155"/>
      <c r="BC42" s="33"/>
      <c r="BD42" s="33"/>
      <c r="BE42" s="156">
        <f>Tabella34[[#This Row],[rest of Italy data]]*NOT(ISBLANK(Tabella34[[#This Row],[rest of Italy data]]))</f>
        <v>0</v>
      </c>
      <c r="BF42" s="204">
        <f>Tabella8[[#This Row],[rest of Italy fit]]</f>
        <v>0</v>
      </c>
      <c r="BG42" s="157" t="e">
        <f>_xlfn.LOGNORM.INV(alpha*Tabella34[[#This Row],[rest of Italy cumul. Fit]]/Ko,mu_o,sigma_o)-(Tabella34[[#This Row],[Day]]-po)</f>
        <v>#NUM!</v>
      </c>
      <c r="BH42" s="157">
        <f>Tabella34[[#This Row],[rest of Italy cumul. Fit]]/Ka</f>
        <v>0</v>
      </c>
      <c r="BI42" s="157">
        <f>IFERROR(Ko*_xlfn.LOGNORM.DIST((Tabella34[[#This Row],[Day]]-po),mu_o,sigma_o,FALSE),0)</f>
        <v>0</v>
      </c>
      <c r="BJ42" s="199" t="e">
        <f>Tabella34[[#This Row],[rest of Italy velocity]]/Tabella34[[#This Row],[rest of Italy cumul. Fit]]</f>
        <v>#DIV/0!</v>
      </c>
      <c r="BK42" s="254" t="e">
        <f>(LN(Tabella34[[#This Row],[Day]]-po)-mu_o)/sigma_o</f>
        <v>#NUM!</v>
      </c>
      <c r="BL42" s="262" t="e">
        <f>EXP(mu_o+sigma_o*Tabella34[[#This Row],[x_o_alpha©+plus]])-(Tabella34[[#This Row],[Day]]-po)</f>
        <v>#DIV/0!</v>
      </c>
      <c r="BM42" s="262" t="e">
        <f>EXP(mu_o+sigma_o*Tabella34[[#This Row],[x_o_alpha©-minus]])-(Tabella34[[#This Row],[Day]]-po)</f>
        <v>#DIV/0!</v>
      </c>
      <c r="BN42" s="262" t="e">
        <f>-sigma_o+SQRT(sigma_o^2-2*Tabella34[[#This Row],[c_o]])</f>
        <v>#DIV/0!</v>
      </c>
      <c r="BO42" s="262" t="e">
        <f>-sigma_o-SQRT(sigma_o^2-2*Tabella34[[#This Row],[c_o]])</f>
        <v>#DIV/0!</v>
      </c>
      <c r="BP42" s="262" t="e">
        <f>mu_o-LN(alpha*Ko/(Tabella34[[#This Row],[rest of Italy velocity]]*sigma_o*SQRTPI(2)))</f>
        <v>#DIV/0!</v>
      </c>
      <c r="BQ42" s="262" t="e">
        <f>Tabella34[[#This Row],[t_alpha_o+plus]]</f>
        <v>#DIV/0!</v>
      </c>
      <c r="BR42" s="90">
        <f>IFERROR(-Ka*_xlfn.LOGNORM.DIST((Tabella34[[#This Row],[Day]]-pa),mu_a,sigma_a,FALSE)*(1+(LN((Tabella34[[#This Row],[Day]]-pa))-mu_a)/sigma_a^2)/(Tabella34[[#This Row],[Day]]-pa),0)</f>
        <v>0</v>
      </c>
      <c r="BS42" s="157">
        <f>Tabella34[[#This Row],[rest of Italy acc. fit]]/y_a_peak</f>
        <v>0</v>
      </c>
      <c r="BT42" s="156">
        <f>Tabella34[[#This Row],[rest of Italy acc. fit]]*NOT(ISBLANK(Tabella34[[#This Row],[rest of Italy data]]))</f>
        <v>0</v>
      </c>
      <c r="BU42" s="95">
        <f>Tabella34[[#This Row],[rest of Italy acc. fit]]+CIa</f>
        <v>5338.8394351600173</v>
      </c>
      <c r="BV42" s="95">
        <f>MAX(Tabella34[[#This Row],[rest of Italy acc. fit]]-CIa,0)</f>
        <v>0</v>
      </c>
      <c r="BX42" s="242" t="s">
        <v>62</v>
      </c>
      <c r="BY42" s="243">
        <f>Ka*_xlfn.LOGNORM.DIST(EXP(mu_a-sigma_a^2),mu_a,sigma_a,FALSE)</f>
        <v>3379.1491076162692</v>
      </c>
      <c r="CL42" s="60"/>
    </row>
    <row r="43" spans="2:90" ht="15" thickTop="1" x14ac:dyDescent="0.3">
      <c r="B43" s="281">
        <v>43866</v>
      </c>
      <c r="C43" s="4">
        <v>36</v>
      </c>
      <c r="D43" s="10">
        <f>Tabella8[[#This Row],[Spain cum. Cases]]</f>
        <v>1</v>
      </c>
      <c r="E43" s="90">
        <f>(Tabella34[[#This Row],[Spain cumul. Cases]]-D42)</f>
        <v>0</v>
      </c>
      <c r="F43" s="90">
        <f>Tabella34[[#This Row],[Spain daily cases]]-E42</f>
        <v>0</v>
      </c>
      <c r="G43" s="156">
        <f>Tabella34[[#This Row],[Spain daily cases]]*NOT(ISBLANK(Tabella34[[#This Row],[Spain daily cases]]))</f>
        <v>0</v>
      </c>
      <c r="H43" s="157">
        <f>Tabella8[[#This Row],[Spain cum. fit]]</f>
        <v>4.9775236775631927E-37</v>
      </c>
      <c r="I43" s="157">
        <f>_xlfn.LOGNORM.INV(alpha*Tabella34[[#This Row],[Spain cumul. Fit]]/Kt,mu_t,sigma_t)-(Tabella34[[#This Row],[Day]]-pt)</f>
        <v>2.2887523278405375E-2</v>
      </c>
      <c r="J43" s="157">
        <f>Tabella34[[#This Row],[Spain fitted d.t.]]/Spain_dt_at_lockdown</f>
        <v>6.1074528460381252E-3</v>
      </c>
      <c r="K43" s="157">
        <f>Tabella34[[#This Row],[Spain cumul. Fit]]/Kf</f>
        <v>1.7776876894497056E-42</v>
      </c>
      <c r="L43" s="160"/>
      <c r="M43" s="157"/>
      <c r="N43" s="157">
        <f>IFERROR(Kt*_xlfn.LOGNORM.DIST((Tabella34[[#This Row],[Day]]-pt),mu_t,sigma_t,FALSE),0)</f>
        <v>1.5205728985505733E-35</v>
      </c>
      <c r="O43" s="157" t="e">
        <f>Kt*EXP(-0.5*Tabella34[[#This Row],[x_t]]^2)/(sigma_t*SQRTPI(2)*(Tabella34[[#This Row],[Day]]-D_bk))</f>
        <v>#NAME?</v>
      </c>
      <c r="P43" s="199">
        <f>Tabella34[[#This Row],[Spain fitted velocity]]/Tabella34[[#This Row],[Spain cumul. Fit]]</f>
        <v>30.548782829597474</v>
      </c>
      <c r="Q43" s="262">
        <f>(LN(Tabella34[[#This Row],[Day]]-pt)-mu_t)/sigma_t</f>
        <v>-13.608694600075442</v>
      </c>
      <c r="R43" s="262">
        <f>EXP(mu_t+sigma_t*Tabella34[[#This Row],[x_t_alpha©+plus]])-(Tabella34[[#This Row],[Day]]-pt)</f>
        <v>2193.8273057291794</v>
      </c>
      <c r="S43" s="262">
        <f>EXP(mu_t+sigma_t*Tabella34[[#This Row],[x_t_alpha©-minus]])-(Tabella34[[#This Row],[Day]]-pt)</f>
        <v>-2.3064353927011005E-2</v>
      </c>
      <c r="T43" s="262">
        <f>-sigma_t+SQRT(sigma_t^2-2*Tabella34[[#This Row],[c_t]])</f>
        <v>13.123114604401525</v>
      </c>
      <c r="U43" s="262">
        <f>-sigma_t-SQRT(sigma_t^2-2*Tabella34[[#This Row],[c_t]])</f>
        <v>-13.660553954244694</v>
      </c>
      <c r="V43" s="262">
        <f>mu_t-LN(alpha*Kt/(Tabella34[[#This Row],[Spain fitted velocity]]*sigma_t*SQRTPI(2)))</f>
        <v>-89.634507550581787</v>
      </c>
      <c r="W43" s="262">
        <f>Tabella34[[#This Row],[Spain fitted g.r.]]/Spain_gr_at_lockdown</f>
        <v>147.42548911020148</v>
      </c>
      <c r="X43" s="262">
        <f>Tabella34[[#This Row],[t_alpha_t+plus]]</f>
        <v>2193.8273057291794</v>
      </c>
      <c r="Y43" s="262">
        <f>Tabella34[[#This Row],[Spain fitted h.t.]]/Spain_ht_at_lockdown</f>
        <v>35.636890890379725</v>
      </c>
      <c r="Z43" s="90">
        <f>IFERROR(-Kf*_xlfn.LOGNORM.DIST((Tabella34[[#This Row],[Day]]-pf),mu_f,sigma_f,FALSE)*(1+(LN((Tabella34[[#This Row],[Day]]-pf))-mu_f)/sigma_f^2)/(Tabella34[[#This Row],[Day]]-pf),0)</f>
        <v>4.5292417300274101E-34</v>
      </c>
      <c r="AA43" s="90">
        <f>Tabella34[[#This Row],[Spain acc. fit]]/Spain_acc_at_lockdown</f>
        <v>1.5434158537199005E-36</v>
      </c>
      <c r="AB43" s="157">
        <f>Tabella34[[#This Row],[Spain acc. fit]]/y_f_peak</f>
        <v>6.7857205903033533E-38</v>
      </c>
      <c r="AC43" s="157">
        <f>Tabella34[[#This Row],[Colonna4]]*NOT(ISBLANK(Tabella34[[#This Row],[Spain daily cases]]))</f>
        <v>0</v>
      </c>
      <c r="AD43" s="157">
        <f>Tabella34[[#This Row],[Spain acc. fit]]*NOT(ISBLANK(Tabella34[[#This Row],[Spain daily cases]]))</f>
        <v>4.5292417300274101E-34</v>
      </c>
      <c r="AE43" s="95">
        <f>Tabella34[[#This Row],[Spain acc. fit]]+CIf</f>
        <v>2342.6884176810927</v>
      </c>
      <c r="AF43" s="95">
        <f>MAX(Tabella34[[#This Row],[Spain acc. fit]]-CIf,0)</f>
        <v>0</v>
      </c>
      <c r="AG43" s="155"/>
      <c r="AH43" s="33"/>
      <c r="AI43" s="33"/>
      <c r="AJ43" s="156">
        <f>Tabella34[[#This Row],[Lombardy data]]*NOT(ISBLANK(Tabella34[[#This Row],[Lombardy data]]))</f>
        <v>0</v>
      </c>
      <c r="AK43" s="161">
        <f>Tabella8[[#This Row],[Lombardy fit]]</f>
        <v>2.706273601535887E-9</v>
      </c>
      <c r="AL43" s="157">
        <f>_xlfn.LOGNORM.INV(alpha*Tabella34[[#This Row],[Lombardy cumul. Fit]]/Kr,mu_r,sigma_r)-(Tabella34[[#This Row],[Day]]-pr)</f>
        <v>0.15092430131551104</v>
      </c>
      <c r="AM43" s="156">
        <f>Tabella34[[#This Row],[Lombardy cumul. Fit]]/Kl</f>
        <v>3.1106593121102147E-14</v>
      </c>
      <c r="AN43" s="157">
        <f>IFERROR(Kr*_xlfn.LOGNORM.DIST((Tabella34[[#This Row],[Day]]-pr),mu_r,sigma_r,FALSE),0)</f>
        <v>1.2699112488216759E-8</v>
      </c>
      <c r="AO43" s="199">
        <f>Tabella34[[#This Row],[Lombardy velocity]]/Tabella34[[#This Row],[Lombardy cumul. Fit]]</f>
        <v>4.6924717741065249</v>
      </c>
      <c r="AP43" s="254">
        <f>(LN(Tabella34[[#This Row],[Day]]-pr)-mu_r)/sigma_r</f>
        <v>-7.5033373090748015</v>
      </c>
      <c r="AQ43" s="262">
        <f>EXP(mu_r+sigma_r*Tabella34[[#This Row],[x_r_alpha©+plus]])-(Tabella34[[#This Row],[Day]]-pr)</f>
        <v>643.03408305008509</v>
      </c>
      <c r="AR43" s="262">
        <f>EXP(mu_r+sigma_r*Tabella34[[#This Row],[x_r_alpha©-minus]])-(Tabella34[[#This Row],[Day]]-pr)</f>
        <v>-0.15381411344220286</v>
      </c>
      <c r="AS43" s="262">
        <f>-sigma_r+SQRT(sigma_r^2-2*Tabella34[[#This Row],[c_r]])</f>
        <v>6.9186066715209869</v>
      </c>
      <c r="AT43" s="262">
        <f>-sigma_r-SQRT(sigma_r^2-2*Tabella34[[#This Row],[c_r]])</f>
        <v>-7.5994612687147161</v>
      </c>
      <c r="AU43" s="262">
        <f>mu_r-LN(alpha*Kr/(Tabella34[[#This Row],[Lombardy velocity]]*sigma_r*SQRTPI(2)))</f>
        <v>-26.288841716847489</v>
      </c>
      <c r="AV43" s="262">
        <f>Tabella34[[#This Row],[t_alpha_r+plus]]</f>
        <v>643.03408305008509</v>
      </c>
      <c r="AW43" s="90">
        <f>IFERROR(-Kl*_xlfn.LOGNORM.DIST((Tabella34[[#This Row],[Day]]-pl),mu_l,sigma_l,FALSE)*(1+(LN((Tabella34[[#This Row],[Day]]-pl))-mu_l)/sigma_l^2)/(Tabella34[[#This Row],[Day]]-pl),0)</f>
        <v>5.5925767239256224E-8</v>
      </c>
      <c r="AX43" s="157">
        <f>Tabella34[[#This Row],[Lombardy acc. fit]]/y_l_peak</f>
        <v>3.1812978166690197E-11</v>
      </c>
      <c r="AY43" s="157">
        <f>Tabella34[[#This Row],[Lombardy acc. fit]]*NOT(ISBLANK(Tabella34[[#This Row],[Lombardy data]]))</f>
        <v>0</v>
      </c>
      <c r="AZ43" s="95">
        <f>Tabella34[[#This Row],[Lombardy acc. fit]]+CIl</f>
        <v>2570.3823229723344</v>
      </c>
      <c r="BA43" s="95">
        <f>MAX(Tabella34[[#This Row],[Lombardy acc. fit]]-CIl,0)</f>
        <v>0</v>
      </c>
      <c r="BB43" s="155"/>
      <c r="BC43" s="33"/>
      <c r="BD43" s="33"/>
      <c r="BE43" s="156">
        <f>Tabella34[[#This Row],[rest of Italy data]]*NOT(ISBLANK(Tabella34[[#This Row],[rest of Italy data]]))</f>
        <v>0</v>
      </c>
      <c r="BF43" s="204">
        <f>Tabella8[[#This Row],[rest of Italy fit]]</f>
        <v>0</v>
      </c>
      <c r="BG43" s="157" t="e">
        <f>_xlfn.LOGNORM.INV(alpha*Tabella34[[#This Row],[rest of Italy cumul. Fit]]/Ko,mu_o,sigma_o)-(Tabella34[[#This Row],[Day]]-po)</f>
        <v>#NUM!</v>
      </c>
      <c r="BH43" s="157">
        <f>Tabella34[[#This Row],[rest of Italy cumul. Fit]]/Ka</f>
        <v>0</v>
      </c>
      <c r="BI43" s="157">
        <f>IFERROR(Ko*_xlfn.LOGNORM.DIST((Tabella34[[#This Row],[Day]]-po),mu_o,sigma_o,FALSE),0)</f>
        <v>0</v>
      </c>
      <c r="BJ43" s="199" t="e">
        <f>Tabella34[[#This Row],[rest of Italy velocity]]/Tabella34[[#This Row],[rest of Italy cumul. Fit]]</f>
        <v>#DIV/0!</v>
      </c>
      <c r="BK43" s="254" t="e">
        <f>(LN(Tabella34[[#This Row],[Day]]-po)-mu_o)/sigma_o</f>
        <v>#NUM!</v>
      </c>
      <c r="BL43" s="262" t="e">
        <f>EXP(mu_o+sigma_o*Tabella34[[#This Row],[x_o_alpha©+plus]])-(Tabella34[[#This Row],[Day]]-po)</f>
        <v>#DIV/0!</v>
      </c>
      <c r="BM43" s="262" t="e">
        <f>EXP(mu_o+sigma_o*Tabella34[[#This Row],[x_o_alpha©-minus]])-(Tabella34[[#This Row],[Day]]-po)</f>
        <v>#DIV/0!</v>
      </c>
      <c r="BN43" s="262" t="e">
        <f>-sigma_o+SQRT(sigma_o^2-2*Tabella34[[#This Row],[c_o]])</f>
        <v>#DIV/0!</v>
      </c>
      <c r="BO43" s="262" t="e">
        <f>-sigma_o-SQRT(sigma_o^2-2*Tabella34[[#This Row],[c_o]])</f>
        <v>#DIV/0!</v>
      </c>
      <c r="BP43" s="262" t="e">
        <f>mu_o-LN(alpha*Ko/(Tabella34[[#This Row],[rest of Italy velocity]]*sigma_o*SQRTPI(2)))</f>
        <v>#DIV/0!</v>
      </c>
      <c r="BQ43" s="262" t="e">
        <f>Tabella34[[#This Row],[t_alpha_o+plus]]</f>
        <v>#DIV/0!</v>
      </c>
      <c r="BR43" s="90">
        <f>IFERROR(-Ka*_xlfn.LOGNORM.DIST((Tabella34[[#This Row],[Day]]-pa),mu_a,sigma_a,FALSE)*(1+(LN((Tabella34[[#This Row],[Day]]-pa))-mu_a)/sigma_a^2)/(Tabella34[[#This Row],[Day]]-pa),0)</f>
        <v>0</v>
      </c>
      <c r="BS43" s="157">
        <f>Tabella34[[#This Row],[rest of Italy acc. fit]]/y_a_peak</f>
        <v>0</v>
      </c>
      <c r="BT43" s="156">
        <f>Tabella34[[#This Row],[rest of Italy acc. fit]]*NOT(ISBLANK(Tabella34[[#This Row],[rest of Italy data]]))</f>
        <v>0</v>
      </c>
      <c r="BU43" s="95">
        <f>Tabella34[[#This Row],[rest of Italy acc. fit]]+CIa</f>
        <v>5338.8394351600173</v>
      </c>
      <c r="BV43" s="95">
        <f>MAX(Tabella34[[#This Row],[rest of Italy acc. fit]]-CIa,0)</f>
        <v>0</v>
      </c>
      <c r="BX43" s="242" t="s">
        <v>43</v>
      </c>
      <c r="BY43" s="244">
        <f>_xlfn.XLOOKUP(ROUND(EXP(mu_a-sigma_a^2),0),Tabella34[Day],Tabella34[Date])</f>
        <v>43882</v>
      </c>
      <c r="CL43" s="64">
        <f>MAX($BY$52)</f>
        <v>-6.8483075090107093E-2</v>
      </c>
    </row>
    <row r="44" spans="2:90" x14ac:dyDescent="0.3">
      <c r="B44" s="281">
        <v>43867</v>
      </c>
      <c r="C44" s="4">
        <v>37</v>
      </c>
      <c r="D44" s="10">
        <f>Tabella8[[#This Row],[Spain cum. Cases]]</f>
        <v>1</v>
      </c>
      <c r="E44" s="90">
        <f>(Tabella34[[#This Row],[Spain cumul. Cases]]-D43)</f>
        <v>0</v>
      </c>
      <c r="F44" s="90">
        <f>Tabella34[[#This Row],[Spain daily cases]]-E43</f>
        <v>0</v>
      </c>
      <c r="G44" s="156">
        <f>Tabella34[[#This Row],[Spain daily cases]]*NOT(ISBLANK(Tabella34[[#This Row],[Spain daily cases]]))</f>
        <v>0</v>
      </c>
      <c r="H44" s="157">
        <f>Tabella8[[#This Row],[Spain cum. fit]]</f>
        <v>2.6861421325734695E-27</v>
      </c>
      <c r="I44" s="157">
        <f>_xlfn.LOGNORM.INV(alpha*Tabella34[[#This Row],[Spain cumul. Fit]]/Kt,mu_t,sigma_t)-(Tabella34[[#This Row],[Day]]-pt)</f>
        <v>4.201772972459672E-2</v>
      </c>
      <c r="J44" s="157">
        <f>Tabella34[[#This Row],[Spain fitted d.t.]]/Spain_dt_at_lockdown</f>
        <v>1.1212279278495543E-2</v>
      </c>
      <c r="K44" s="157">
        <f>Tabella34[[#This Row],[Spain cumul. Fit]]/Kf</f>
        <v>9.5933683303456529E-33</v>
      </c>
      <c r="L44" s="160"/>
      <c r="M44" s="157"/>
      <c r="N44" s="157">
        <f>IFERROR(Kt*_xlfn.LOGNORM.DIST((Tabella34[[#This Row],[Day]]-pt),mu_t,sigma_t,FALSE),0)</f>
        <v>4.4768553032989256E-26</v>
      </c>
      <c r="O44" s="157" t="e">
        <f>Kt*EXP(-0.5*Tabella34[[#This Row],[x_t]]^2)/(sigma_t*SQRTPI(2)*(Tabella34[[#This Row],[Day]]-D_bk))</f>
        <v>#NAME?</v>
      </c>
      <c r="P44" s="199">
        <f>Tabella34[[#This Row],[Spain fitted velocity]]/Tabella34[[#This Row],[Spain cumul. Fit]]</f>
        <v>16.666487037340261</v>
      </c>
      <c r="Q44" s="262">
        <f>(LN(Tabella34[[#This Row],[Day]]-pt)-mu_t)/sigma_t</f>
        <v>-11.859609716414111</v>
      </c>
      <c r="R44" s="262">
        <f>EXP(mu_t+sigma_t*Tabella34[[#This Row],[x_t_alpha©+plus]])-(Tabella34[[#This Row],[Day]]-pt)</f>
        <v>1372.3782528119343</v>
      </c>
      <c r="S44" s="262">
        <f>EXP(mu_t+sigma_t*Tabella34[[#This Row],[x_t_alpha©-minus]])-(Tabella34[[#This Row],[Day]]-pt)</f>
        <v>-4.2401166356846431E-2</v>
      </c>
      <c r="T44" s="262">
        <f>-sigma_t+SQRT(sigma_t^2-2*Tabella34[[#This Row],[c_t]])</f>
        <v>11.381817922764219</v>
      </c>
      <c r="U44" s="262">
        <f>-sigma_t-SQRT(sigma_t^2-2*Tabella34[[#This Row],[c_t]])</f>
        <v>-11.919257272607387</v>
      </c>
      <c r="V44" s="262">
        <f>mu_t-LN(alpha*Kt/(Tabella34[[#This Row],[Spain fitted velocity]]*sigma_t*SQRTPI(2)))</f>
        <v>-67.831408025700256</v>
      </c>
      <c r="W44" s="262">
        <f>Tabella34[[#This Row],[Spain fitted g.r.]]/Spain_gr_at_lockdown</f>
        <v>80.43086419954416</v>
      </c>
      <c r="X44" s="262">
        <f>Tabella34[[#This Row],[t_alpha_t+plus]]</f>
        <v>1372.3782528119343</v>
      </c>
      <c r="Y44" s="262">
        <f>Tabella34[[#This Row],[Spain fitted h.t.]]/Spain_ht_at_lockdown</f>
        <v>22.293137626679858</v>
      </c>
      <c r="Z44" s="90">
        <f>IFERROR(-Kf*_xlfn.LOGNORM.DIST((Tabella34[[#This Row],[Day]]-pf),mu_f,sigma_f,FALSE)*(1+(LN((Tabella34[[#This Row],[Day]]-pf))-mu_f)/sigma_f^2)/(Tabella34[[#This Row],[Day]]-pf),0)</f>
        <v>7.2415045172868066E-25</v>
      </c>
      <c r="AA44" s="90">
        <f>Tabella34[[#This Row],[Spain acc. fit]]/Spain_acc_at_lockdown</f>
        <v>2.4676653495147175E-27</v>
      </c>
      <c r="AB44" s="157">
        <f>Tabella34[[#This Row],[Spain acc. fit]]/y_f_peak</f>
        <v>1.0849239064003425E-28</v>
      </c>
      <c r="AC44" s="157">
        <f>Tabella34[[#This Row],[Colonna4]]*NOT(ISBLANK(Tabella34[[#This Row],[Spain daily cases]]))</f>
        <v>0</v>
      </c>
      <c r="AD44" s="157">
        <f>Tabella34[[#This Row],[Spain acc. fit]]*NOT(ISBLANK(Tabella34[[#This Row],[Spain daily cases]]))</f>
        <v>7.2415045172868066E-25</v>
      </c>
      <c r="AE44" s="95">
        <f>Tabella34[[#This Row],[Spain acc. fit]]+CIf</f>
        <v>2342.6884176810927</v>
      </c>
      <c r="AF44" s="95">
        <f>MAX(Tabella34[[#This Row],[Spain acc. fit]]-CIf,0)</f>
        <v>0</v>
      </c>
      <c r="AG44" s="155"/>
      <c r="AH44" s="33"/>
      <c r="AI44" s="33"/>
      <c r="AJ44" s="156">
        <f>Tabella34[[#This Row],[Lombardy data]]*NOT(ISBLANK(Tabella34[[#This Row],[Lombardy data]]))</f>
        <v>0</v>
      </c>
      <c r="AK44" s="161">
        <f>Tabella8[[#This Row],[Lombardy fit]]</f>
        <v>1.6452786763801899E-7</v>
      </c>
      <c r="AL44" s="157">
        <f>_xlfn.LOGNORM.INV(alpha*Tabella34[[#This Row],[Lombardy cumul. Fit]]/Kr,mu_r,sigma_r)-(Tabella34[[#This Row],[Day]]-pr)</f>
        <v>0.19707520626585229</v>
      </c>
      <c r="AM44" s="156">
        <f>Tabella34[[#This Row],[Lombardy cumul. Fit]]/Kl</f>
        <v>1.8911249153795285E-12</v>
      </c>
      <c r="AN44" s="157">
        <f>IFERROR(Kr*_xlfn.LOGNORM.DIST((Tabella34[[#This Row],[Day]]-pr),mu_r,sigma_r,FALSE),0)</f>
        <v>5.9253015244641235E-7</v>
      </c>
      <c r="AO44" s="199">
        <f>Tabella34[[#This Row],[Lombardy velocity]]/Tabella34[[#This Row],[Lombardy cumul. Fit]]</f>
        <v>3.6013968998251995</v>
      </c>
      <c r="AP44" s="254">
        <f>(LN(Tabella34[[#This Row],[Day]]-pr)-mu_r)/sigma_r</f>
        <v>-6.9450878130197262</v>
      </c>
      <c r="AQ44" s="262">
        <f>EXP(mu_r+sigma_r*Tabella34[[#This Row],[x_r_alpha©+plus]])-(Tabella34[[#This Row],[Day]]-pr)</f>
        <v>531.37444609000045</v>
      </c>
      <c r="AR44" s="262">
        <f>EXP(mu_r+sigma_r*Tabella34[[#This Row],[x_r_alpha©-minus]])-(Tabella34[[#This Row],[Day]]-pr)</f>
        <v>-0.20122222352302899</v>
      </c>
      <c r="AS44" s="262">
        <f>-sigma_r+SQRT(sigma_r^2-2*Tabella34[[#This Row],[c_r]])</f>
        <v>6.3683605853577596</v>
      </c>
      <c r="AT44" s="262">
        <f>-sigma_r-SQRT(sigma_r^2-2*Tabella34[[#This Row],[c_r]])</f>
        <v>-7.0492151825514888</v>
      </c>
      <c r="AU44" s="262">
        <f>mu_r-LN(alpha*Kr/(Tabella34[[#This Row],[Lombardy velocity]]*sigma_r*SQRTPI(2)))</f>
        <v>-22.445972063133201</v>
      </c>
      <c r="AV44" s="262">
        <f>Tabella34[[#This Row],[t_alpha_r+plus]]</f>
        <v>531.37444609000045</v>
      </c>
      <c r="AW44" s="90">
        <f>IFERROR(-Kl*_xlfn.LOGNORM.DIST((Tabella34[[#This Row],[Day]]-pl),mu_l,sigma_l,FALSE)*(1+(LN((Tabella34[[#This Row],[Day]]-pl))-mu_l)/sigma_l^2)/(Tabella34[[#This Row],[Day]]-pl),0)</f>
        <v>1.989643440667207E-6</v>
      </c>
      <c r="AX44" s="157">
        <f>Tabella34[[#This Row],[Lombardy acc. fit]]/y_l_peak</f>
        <v>1.1317946353181944E-9</v>
      </c>
      <c r="AY44" s="157">
        <f>Tabella34[[#This Row],[Lombardy acc. fit]]*NOT(ISBLANK(Tabella34[[#This Row],[Lombardy data]]))</f>
        <v>0</v>
      </c>
      <c r="AZ44" s="95">
        <f>Tabella34[[#This Row],[Lombardy acc. fit]]+CIl</f>
        <v>2570.382324906052</v>
      </c>
      <c r="BA44" s="95">
        <f>MAX(Tabella34[[#This Row],[Lombardy acc. fit]]-CIl,0)</f>
        <v>0</v>
      </c>
      <c r="BB44" s="155"/>
      <c r="BC44" s="33"/>
      <c r="BD44" s="33"/>
      <c r="BE44" s="156">
        <f>Tabella34[[#This Row],[rest of Italy data]]*NOT(ISBLANK(Tabella34[[#This Row],[rest of Italy data]]))</f>
        <v>0</v>
      </c>
      <c r="BF44" s="204">
        <f>Tabella8[[#This Row],[rest of Italy fit]]</f>
        <v>0</v>
      </c>
      <c r="BG44" s="157" t="e">
        <f>_xlfn.LOGNORM.INV(alpha*Tabella34[[#This Row],[rest of Italy cumul. Fit]]/Ko,mu_o,sigma_o)-(Tabella34[[#This Row],[Day]]-po)</f>
        <v>#NUM!</v>
      </c>
      <c r="BH44" s="157">
        <f>Tabella34[[#This Row],[rest of Italy cumul. Fit]]/Ka</f>
        <v>0</v>
      </c>
      <c r="BI44" s="157">
        <f>IFERROR(Ko*_xlfn.LOGNORM.DIST((Tabella34[[#This Row],[Day]]-po),mu_o,sigma_o,FALSE),0)</f>
        <v>0</v>
      </c>
      <c r="BJ44" s="199" t="e">
        <f>Tabella34[[#This Row],[rest of Italy velocity]]/Tabella34[[#This Row],[rest of Italy cumul. Fit]]</f>
        <v>#DIV/0!</v>
      </c>
      <c r="BK44" s="254" t="e">
        <f>(LN(Tabella34[[#This Row],[Day]]-po)-mu_o)/sigma_o</f>
        <v>#NUM!</v>
      </c>
      <c r="BL44" s="262" t="e">
        <f>EXP(mu_o+sigma_o*Tabella34[[#This Row],[x_o_alpha©+plus]])-(Tabella34[[#This Row],[Day]]-po)</f>
        <v>#DIV/0!</v>
      </c>
      <c r="BM44" s="262" t="e">
        <f>EXP(mu_o+sigma_o*Tabella34[[#This Row],[x_o_alpha©-minus]])-(Tabella34[[#This Row],[Day]]-po)</f>
        <v>#DIV/0!</v>
      </c>
      <c r="BN44" s="262" t="e">
        <f>-sigma_o+SQRT(sigma_o^2-2*Tabella34[[#This Row],[c_o]])</f>
        <v>#DIV/0!</v>
      </c>
      <c r="BO44" s="262" t="e">
        <f>-sigma_o-SQRT(sigma_o^2-2*Tabella34[[#This Row],[c_o]])</f>
        <v>#DIV/0!</v>
      </c>
      <c r="BP44" s="262" t="e">
        <f>mu_o-LN(alpha*Ko/(Tabella34[[#This Row],[rest of Italy velocity]]*sigma_o*SQRTPI(2)))</f>
        <v>#DIV/0!</v>
      </c>
      <c r="BQ44" s="262" t="e">
        <f>Tabella34[[#This Row],[t_alpha_o+plus]]</f>
        <v>#DIV/0!</v>
      </c>
      <c r="BR44" s="90">
        <f>IFERROR(-Ka*_xlfn.LOGNORM.DIST((Tabella34[[#This Row],[Day]]-pa),mu_a,sigma_a,FALSE)*(1+(LN((Tabella34[[#This Row],[Day]]-pa))-mu_a)/sigma_a^2)/(Tabella34[[#This Row],[Day]]-pa),0)</f>
        <v>0</v>
      </c>
      <c r="BS44" s="157">
        <f>Tabella34[[#This Row],[rest of Italy acc. fit]]/y_a_peak</f>
        <v>0</v>
      </c>
      <c r="BT44" s="156">
        <f>Tabella34[[#This Row],[rest of Italy acc. fit]]*NOT(ISBLANK(Tabella34[[#This Row],[rest of Italy data]]))</f>
        <v>0</v>
      </c>
      <c r="BU44" s="95">
        <f>Tabella34[[#This Row],[rest of Italy acc. fit]]+CIa</f>
        <v>5338.8394351600173</v>
      </c>
      <c r="BV44" s="95">
        <f>MAX(Tabella34[[#This Row],[rest of Italy acc. fit]]-CIa,0)</f>
        <v>0</v>
      </c>
      <c r="BX44" s="245" t="s">
        <v>4012</v>
      </c>
      <c r="BY44" s="246">
        <f>po</f>
        <v>37.717425443399762</v>
      </c>
      <c r="CL44" s="65">
        <f>COUNT($BY$46,$BY$47,$BY$48,$BY$57)</f>
        <v>4</v>
      </c>
    </row>
    <row r="45" spans="2:90" x14ac:dyDescent="0.3">
      <c r="B45" s="281">
        <v>43868</v>
      </c>
      <c r="C45" s="4">
        <v>38</v>
      </c>
      <c r="D45" s="10">
        <f>Tabella8[[#This Row],[Spain cum. Cases]]</f>
        <v>1</v>
      </c>
      <c r="E45" s="90">
        <f>(Tabella34[[#This Row],[Spain cumul. Cases]]-D44)</f>
        <v>0</v>
      </c>
      <c r="F45" s="90">
        <f>Tabella34[[#This Row],[Spain daily cases]]-E44</f>
        <v>0</v>
      </c>
      <c r="G45" s="156">
        <f>Tabella34[[#This Row],[Spain daily cases]]*NOT(ISBLANK(Tabella34[[#This Row],[Spain daily cases]]))</f>
        <v>0</v>
      </c>
      <c r="H45" s="157">
        <f>Tabella8[[#This Row],[Spain cum. fit]]</f>
        <v>1.8753691841868997E-21</v>
      </c>
      <c r="I45" s="157">
        <f>_xlfn.LOGNORM.INV(alpha*Tabella34[[#This Row],[Spain cumul. Fit]]/Kt,mu_t,sigma_t)-(Tabella34[[#This Row],[Day]]-pt)</f>
        <v>6.4176849618845289E-2</v>
      </c>
      <c r="J45" s="157">
        <f>Tabella34[[#This Row],[Spain fitted d.t.]]/Spain_dt_at_lockdown</f>
        <v>1.7125360314726282E-2</v>
      </c>
      <c r="K45" s="157">
        <f>Tabella34[[#This Row],[Spain cumul. Fit]]/Kf</f>
        <v>6.6977495796353531E-27</v>
      </c>
      <c r="L45" s="160"/>
      <c r="M45" s="157"/>
      <c r="N45" s="157">
        <f>IFERROR(Kt*_xlfn.LOGNORM.DIST((Tabella34[[#This Row],[Day]]-pt),mu_t,sigma_t,FALSE),0)</f>
        <v>2.0492760335062298E-20</v>
      </c>
      <c r="O45" s="157" t="e">
        <f>Kt*EXP(-0.5*Tabella34[[#This Row],[x_t]]^2)/(sigma_t*SQRTPI(2)*(Tabella34[[#This Row],[Day]]-D_bk))</f>
        <v>#NAME?</v>
      </c>
      <c r="P45" s="199">
        <f>Tabella34[[#This Row],[Spain fitted velocity]]/Tabella34[[#This Row],[Spain cumul. Fit]]</f>
        <v>10.927320608580494</v>
      </c>
      <c r="Q45" s="262">
        <f>(LN(Tabella34[[#This Row],[Day]]-pt)-mu_t)/sigma_t</f>
        <v>-10.674515146806902</v>
      </c>
      <c r="R45" s="262">
        <f>EXP(mu_t+sigma_t*Tabella34[[#This Row],[x_t_alpha©+plus]])-(Tabella34[[#This Row],[Day]]-pt)</f>
        <v>998.17767589176242</v>
      </c>
      <c r="S45" s="262">
        <f>EXP(mu_t+sigma_t*Tabella34[[#This Row],[x_t_alpha©-minus]])-(Tabella34[[#This Row],[Day]]-pt)</f>
        <v>-6.4843084020332231E-2</v>
      </c>
      <c r="T45" s="262">
        <f>-sigma_t+SQRT(sigma_t^2-2*Tabella34[[#This Row],[c_t]])</f>
        <v>10.203475594640041</v>
      </c>
      <c r="U45" s="262">
        <f>-sigma_t-SQRT(sigma_t^2-2*Tabella34[[#This Row],[c_t]])</f>
        <v>-10.74091494448321</v>
      </c>
      <c r="V45" s="262">
        <f>mu_t-LN(alpha*Kt/(Tabella34[[#This Row],[Spain fitted velocity]]*sigma_t*SQRTPI(2)))</f>
        <v>-54.797331750069461</v>
      </c>
      <c r="W45" s="262">
        <f>Tabella34[[#This Row],[Spain fitted g.r.]]/Spain_gr_at_lockdown</f>
        <v>52.734198752533104</v>
      </c>
      <c r="X45" s="262">
        <f>Tabella34[[#This Row],[t_alpha_t+plus]]</f>
        <v>998.17767589176242</v>
      </c>
      <c r="Y45" s="262">
        <f>Tabella34[[#This Row],[Spain fitted h.t.]]/Spain_ht_at_lockdown</f>
        <v>16.214562026861195</v>
      </c>
      <c r="Z45" s="90">
        <f>IFERROR(-Kf*_xlfn.LOGNORM.DIST((Tabella34[[#This Row],[Day]]-pf),mu_f,sigma_f,FALSE)*(1+(LN((Tabella34[[#This Row],[Day]]-pf))-mu_f)/sigma_f^2)/(Tabella34[[#This Row],[Day]]-pf),0)</f>
        <v>2.1642631146378989E-19</v>
      </c>
      <c r="AA45" s="90">
        <f>Tabella34[[#This Row],[Spain acc. fit]]/Spain_acc_at_lockdown</f>
        <v>7.3750932316282625E-22</v>
      </c>
      <c r="AB45" s="157">
        <f>Tabella34[[#This Row],[Spain acc. fit]]/y_f_peak</f>
        <v>3.242504077993554E-23</v>
      </c>
      <c r="AC45" s="157">
        <f>Tabella34[[#This Row],[Colonna4]]*NOT(ISBLANK(Tabella34[[#This Row],[Spain daily cases]]))</f>
        <v>0</v>
      </c>
      <c r="AD45" s="157">
        <f>Tabella34[[#This Row],[Spain acc. fit]]*NOT(ISBLANK(Tabella34[[#This Row],[Spain daily cases]]))</f>
        <v>2.1642631146378989E-19</v>
      </c>
      <c r="AE45" s="95">
        <f>Tabella34[[#This Row],[Spain acc. fit]]+CIf</f>
        <v>2342.6884176810927</v>
      </c>
      <c r="AF45" s="95">
        <f>MAX(Tabella34[[#This Row],[Spain acc. fit]]-CIf,0)</f>
        <v>0</v>
      </c>
      <c r="AG45" s="155"/>
      <c r="AH45" s="33"/>
      <c r="AI45" s="33"/>
      <c r="AJ45" s="156">
        <f>Tabella34[[#This Row],[Lombardy data]]*NOT(ISBLANK(Tabella34[[#This Row],[Lombardy data]]))</f>
        <v>0</v>
      </c>
      <c r="AK45" s="161">
        <f>Tabella8[[#This Row],[Lombardy fit]]</f>
        <v>4.0922874212949553E-6</v>
      </c>
      <c r="AL45" s="157">
        <f>_xlfn.LOGNORM.INV(alpha*Tabella34[[#This Row],[Lombardy cumul. Fit]]/Kr,mu_r,sigma_r)-(Tabella34[[#This Row],[Day]]-pr)</f>
        <v>0.24776253795406245</v>
      </c>
      <c r="AM45" s="156">
        <f>Tabella34[[#This Row],[Lombardy cumul. Fit]]/Kl</f>
        <v>4.7037786451666155E-11</v>
      </c>
      <c r="AN45" s="157">
        <f>IFERROR(Kr*_xlfn.LOGNORM.DIST((Tabella34[[#This Row],[Day]]-pr),mu_r,sigma_r,FALSE),0)</f>
        <v>1.1748239881930595E-5</v>
      </c>
      <c r="AO45" s="199">
        <f>Tabella34[[#This Row],[Lombardy velocity]]/Tabella34[[#This Row],[Lombardy cumul. Fit]]</f>
        <v>2.8708247179307373</v>
      </c>
      <c r="AP45" s="254">
        <f>(LN(Tabella34[[#This Row],[Day]]-pr)-mu_r)/sigma_r</f>
        <v>-6.476177180435025</v>
      </c>
      <c r="AQ45" s="262">
        <f>EXP(mu_r+sigma_r*Tabella34[[#This Row],[x_r_alpha©+plus]])-(Tabella34[[#This Row],[Day]]-pr)</f>
        <v>452.34317338288537</v>
      </c>
      <c r="AR45" s="262">
        <f>EXP(mu_r+sigma_r*Tabella34[[#This Row],[x_r_alpha©-minus]])-(Tabella34[[#This Row],[Day]]-pr)</f>
        <v>-0.25344097725256276</v>
      </c>
      <c r="AS45" s="262">
        <f>-sigma_r+SQRT(sigma_r^2-2*Tabella34[[#This Row],[c_r]])</f>
        <v>5.907269955079637</v>
      </c>
      <c r="AT45" s="262">
        <f>-sigma_r-SQRT(sigma_r^2-2*Tabella34[[#This Row],[c_r]])</f>
        <v>-6.5881245522733662</v>
      </c>
      <c r="AU45" s="262">
        <f>mu_r-LN(alpha*Kr/(Tabella34[[#This Row],[Lombardy velocity]]*sigma_r*SQRTPI(2)))</f>
        <v>-19.458915113983469</v>
      </c>
      <c r="AV45" s="262">
        <f>Tabella34[[#This Row],[t_alpha_r+plus]]</f>
        <v>452.34317338288537</v>
      </c>
      <c r="AW45" s="90">
        <f>IFERROR(-Kl*_xlfn.LOGNORM.DIST((Tabella34[[#This Row],[Day]]-pl),mu_l,sigma_l,FALSE)*(1+(LN((Tabella34[[#This Row],[Day]]-pl))-mu_l)/sigma_l^2)/(Tabella34[[#This Row],[Day]]-pl),0)</f>
        <v>3.1241245058196413E-5</v>
      </c>
      <c r="AX45" s="157">
        <f>Tabella34[[#This Row],[Lombardy acc. fit]]/y_l_peak</f>
        <v>1.7771361860530437E-8</v>
      </c>
      <c r="AY45" s="157">
        <f>Tabella34[[#This Row],[Lombardy acc. fit]]*NOT(ISBLANK(Tabella34[[#This Row],[Lombardy data]]))</f>
        <v>0</v>
      </c>
      <c r="AZ45" s="95">
        <f>Tabella34[[#This Row],[Lombardy acc. fit]]+CIl</f>
        <v>2570.3823541576535</v>
      </c>
      <c r="BA45" s="95">
        <f>MAX(Tabella34[[#This Row],[Lombardy acc. fit]]-CIl,0)</f>
        <v>0</v>
      </c>
      <c r="BB45" s="155"/>
      <c r="BC45" s="33"/>
      <c r="BD45" s="33"/>
      <c r="BE45" s="156">
        <f>Tabella34[[#This Row],[rest of Italy data]]*NOT(ISBLANK(Tabella34[[#This Row],[rest of Italy data]]))</f>
        <v>0</v>
      </c>
      <c r="BF45" s="204">
        <f>Tabella8[[#This Row],[rest of Italy fit]]</f>
        <v>1.9507327401080682E-56</v>
      </c>
      <c r="BG45" s="157">
        <f>_xlfn.LOGNORM.INV(alpha*Tabella34[[#This Row],[rest of Italy cumul. Fit]]/Ko,mu_o,sigma_o)-(Tabella34[[#This Row],[Day]]-po)</f>
        <v>3.8283121916198315E-3</v>
      </c>
      <c r="BH45" s="157">
        <f>Tabella34[[#This Row],[rest of Italy cumul. Fit]]/Ka</f>
        <v>1.3180628156728576E-61</v>
      </c>
      <c r="BI45" s="157">
        <f>IFERROR(Ko*_xlfn.LOGNORM.DIST((Tabella34[[#This Row],[Day]]-po),mu_o,sigma_o,FALSE),0)</f>
        <v>3.5603108157235843E-54</v>
      </c>
      <c r="BJ45" s="199">
        <f>Tabella34[[#This Row],[rest of Italy velocity]]/Tabella34[[#This Row],[rest of Italy cumul. Fit]]</f>
        <v>182.51146056667648</v>
      </c>
      <c r="BK45" s="254">
        <f>(LN(Tabella34[[#This Row],[Day]]-po)-mu_o)/sigma_o</f>
        <v>-16.519950907628694</v>
      </c>
      <c r="BL45" s="262">
        <f>EXP(mu_o+sigma_o*Tabella34[[#This Row],[x_o_alpha©+plus]])-(Tabella34[[#This Row],[Day]]-po)</f>
        <v>9557.3701903284109</v>
      </c>
      <c r="BM45" s="262">
        <f>EXP(mu_o+sigma_o*Tabella34[[#This Row],[x_o_alpha©-minus]])-(Tabella34[[#This Row],[Day]]-po)</f>
        <v>-3.8556258352018258E-3</v>
      </c>
      <c r="BN45" s="262">
        <f>-sigma_o+SQRT(sigma_o^2-2*Tabella34[[#This Row],[c_o]])</f>
        <v>15.919712678345119</v>
      </c>
      <c r="BO45" s="262">
        <f>-sigma_o-SQRT(sigma_o^2-2*Tabella34[[#This Row],[c_o]])</f>
        <v>-16.562685455644147</v>
      </c>
      <c r="BP45" s="262">
        <f>mu_o-LN(alpha*Ko/(Tabella34[[#This Row],[rest of Italy velocity]]*sigma_o*SQRTPI(2)))</f>
        <v>-131.83659681783021</v>
      </c>
      <c r="BQ45" s="262">
        <f>Tabella34[[#This Row],[t_alpha_o+plus]]</f>
        <v>9557.3701903284109</v>
      </c>
      <c r="BR45" s="90">
        <f>IFERROR(-Ka*_xlfn.LOGNORM.DIST((Tabella34[[#This Row],[Day]]-pa),mu_a,sigma_a,FALSE)*(1+(LN((Tabella34[[#This Row],[Day]]-pa))-mu_a)/sigma_a^2)/(Tabella34[[#This Row],[Day]]-pa),0)</f>
        <v>6.348426818434302E-52</v>
      </c>
      <c r="BS45" s="157">
        <f>Tabella34[[#This Row],[rest of Italy acc. fit]]/y_a_peak</f>
        <v>1.8787057381177923E-55</v>
      </c>
      <c r="BT45" s="156">
        <f>Tabella34[[#This Row],[rest of Italy acc. fit]]*NOT(ISBLANK(Tabella34[[#This Row],[rest of Italy data]]))</f>
        <v>0</v>
      </c>
      <c r="BU45" s="95">
        <f>Tabella34[[#This Row],[rest of Italy acc. fit]]+CIa</f>
        <v>5338.8394351600173</v>
      </c>
      <c r="BV45" s="95">
        <f>MAX(Tabella34[[#This Row],[rest of Italy acc. fit]]-CIa,0)</f>
        <v>0</v>
      </c>
      <c r="BX45" s="247" t="s">
        <v>44</v>
      </c>
      <c r="BY45" s="248" t="s">
        <v>20</v>
      </c>
      <c r="CL45" s="65" t="b">
        <f>pf&lt;=0</f>
        <v>0</v>
      </c>
    </row>
    <row r="46" spans="2:90" x14ac:dyDescent="0.3">
      <c r="B46" s="281">
        <v>43869</v>
      </c>
      <c r="C46" s="4">
        <v>39</v>
      </c>
      <c r="D46" s="10">
        <f>Tabella8[[#This Row],[Spain cum. Cases]]</f>
        <v>1</v>
      </c>
      <c r="E46" s="90">
        <f>(Tabella34[[#This Row],[Spain cumul. Cases]]-D45)</f>
        <v>0</v>
      </c>
      <c r="F46" s="90">
        <f>Tabella34[[#This Row],[Spain daily cases]]-E45</f>
        <v>0</v>
      </c>
      <c r="G46" s="156">
        <f>Tabella34[[#This Row],[Spain daily cases]]*NOT(ISBLANK(Tabella34[[#This Row],[Spain daily cases]]))</f>
        <v>0</v>
      </c>
      <c r="H46" s="157">
        <f>Tabella8[[#This Row],[Spain cum. fit]]</f>
        <v>1.9776121614858529E-17</v>
      </c>
      <c r="I46" s="157">
        <f>_xlfn.LOGNORM.INV(alpha*Tabella34[[#This Row],[Spain cumul. Fit]]/Kt,mu_t,sigma_t)-(Tabella34[[#This Row],[Day]]-pt)</f>
        <v>8.9153991841516955E-2</v>
      </c>
      <c r="J46" s="157">
        <f>Tabella34[[#This Row],[Spain fitted d.t.]]/Spain_dt_at_lockdown</f>
        <v>2.3790420421849565E-2</v>
      </c>
      <c r="K46" s="157">
        <f>Tabella34[[#This Row],[Spain cumul. Fit]]/Kf</f>
        <v>7.0629032059180827E-23</v>
      </c>
      <c r="L46" s="160"/>
      <c r="M46" s="157"/>
      <c r="N46" s="157">
        <f>IFERROR(Kt*_xlfn.LOGNORM.DIST((Tabella34[[#This Row],[Day]]-pt),mu_t,sigma_t,FALSE),0)</f>
        <v>1.557676539120464E-16</v>
      </c>
      <c r="O46" s="157" t="e">
        <f>Kt*EXP(-0.5*Tabella34[[#This Row],[x_t]]^2)/(sigma_t*SQRTPI(2)*(Tabella34[[#This Row],[Day]]-D_bk))</f>
        <v>#NAME?</v>
      </c>
      <c r="P46" s="199">
        <f>Tabella34[[#This Row],[Spain fitted velocity]]/Tabella34[[#This Row],[Spain cumul. Fit]]</f>
        <v>7.8765521847829056</v>
      </c>
      <c r="Q46" s="262">
        <f>(LN(Tabella34[[#This Row],[Day]]-pt)-mu_t)/sigma_t</f>
        <v>-9.7770571313607206</v>
      </c>
      <c r="R46" s="262">
        <f>EXP(mu_t+sigma_t*Tabella34[[#This Row],[x_t_alpha©+plus]])-(Tabella34[[#This Row],[Day]]-pt)</f>
        <v>783.81189453687364</v>
      </c>
      <c r="S46" s="262">
        <f>EXP(mu_t+sigma_t*Tabella34[[#This Row],[x_t_alpha©-minus]])-(Tabella34[[#This Row],[Day]]-pt)</f>
        <v>-9.0185555872896117E-2</v>
      </c>
      <c r="T46" s="262">
        <f>-sigma_t+SQRT(sigma_t^2-2*Tabella34[[#This Row],[c_t]])</f>
        <v>9.3122393348353896</v>
      </c>
      <c r="U46" s="262">
        <f>-sigma_t-SQRT(sigma_t^2-2*Tabella34[[#This Row],[c_t]])</f>
        <v>-9.8496786846785582</v>
      </c>
      <c r="V46" s="262">
        <f>mu_t-LN(alpha*Kt/(Tabella34[[#This Row],[Spain fitted velocity]]*sigma_t*SQRTPI(2)))</f>
        <v>-45.861282641476691</v>
      </c>
      <c r="W46" s="262">
        <f>Tabella34[[#This Row],[Spain fitted g.r.]]/Spain_gr_at_lockdown</f>
        <v>38.011483626725777</v>
      </c>
      <c r="X46" s="262">
        <f>Tabella34[[#This Row],[t_alpha_t+plus]]</f>
        <v>783.81189453687364</v>
      </c>
      <c r="Y46" s="262">
        <f>Tabella34[[#This Row],[Spain fitted h.t.]]/Spain_ht_at_lockdown</f>
        <v>12.73236908449738</v>
      </c>
      <c r="Z46" s="90">
        <f>IFERROR(-Kf*_xlfn.LOGNORM.DIST((Tabella34[[#This Row],[Day]]-pf),mu_f,sigma_f,FALSE)*(1+(LN((Tabella34[[#This Row],[Day]]-pf))-mu_f)/sigma_f^2)/(Tabella34[[#This Row],[Day]]-pf),0)</f>
        <v>1.1810810747246602E-15</v>
      </c>
      <c r="AA46" s="90">
        <f>Tabella34[[#This Row],[Spain acc. fit]]/Spain_acc_at_lockdown</f>
        <v>4.0247338603575638E-18</v>
      </c>
      <c r="AB46" s="157">
        <f>Tabella34[[#This Row],[Spain acc. fit]]/y_f_peak</f>
        <v>1.7694984382139033E-19</v>
      </c>
      <c r="AC46" s="157">
        <f>Tabella34[[#This Row],[Colonna4]]*NOT(ISBLANK(Tabella34[[#This Row],[Spain daily cases]]))</f>
        <v>0</v>
      </c>
      <c r="AD46" s="157">
        <f>Tabella34[[#This Row],[Spain acc. fit]]*NOT(ISBLANK(Tabella34[[#This Row],[Spain daily cases]]))</f>
        <v>1.1810810747246602E-15</v>
      </c>
      <c r="AE46" s="95">
        <f>Tabella34[[#This Row],[Spain acc. fit]]+CIf</f>
        <v>2342.6884176810927</v>
      </c>
      <c r="AF46" s="95">
        <f>MAX(Tabella34[[#This Row],[Spain acc. fit]]-CIf,0)</f>
        <v>0</v>
      </c>
      <c r="AG46" s="155"/>
      <c r="AH46" s="33"/>
      <c r="AI46" s="33"/>
      <c r="AJ46" s="156">
        <f>Tabella34[[#This Row],[Lombardy data]]*NOT(ISBLANK(Tabella34[[#This Row],[Lombardy data]]))</f>
        <v>0</v>
      </c>
      <c r="AK46" s="161">
        <f>Tabella8[[#This Row],[Lombardy fit]]</f>
        <v>5.4980686627547732E-5</v>
      </c>
      <c r="AL46" s="157">
        <f>_xlfn.LOGNORM.INV(alpha*Tabella34[[#This Row],[Lombardy cumul. Fit]]/Kr,mu_r,sigma_r)-(Tabella34[[#This Row],[Day]]-pr)</f>
        <v>0.30302094631800713</v>
      </c>
      <c r="AM46" s="156">
        <f>Tabella34[[#This Row],[Lombardy cumul. Fit]]/Kl</f>
        <v>6.3196191525916934E-10</v>
      </c>
      <c r="AN46" s="157">
        <f>IFERROR(Kr*_xlfn.LOGNORM.DIST((Tabella34[[#This Row],[Day]]-pr),mu_r,sigma_r,FALSE),0)</f>
        <v>1.2933818240994045E-4</v>
      </c>
      <c r="AO46" s="199">
        <f>Tabella34[[#This Row],[Lombardy velocity]]/Tabella34[[#This Row],[Lombardy cumul. Fit]]</f>
        <v>2.3524293773576912</v>
      </c>
      <c r="AP46" s="254">
        <f>(LN(Tabella34[[#This Row],[Day]]-pr)-mu_r)/sigma_r</f>
        <v>-6.0719168423739003</v>
      </c>
      <c r="AQ46" s="262">
        <f>EXP(mu_r+sigma_r*Tabella34[[#This Row],[x_r_alpha©+plus]])-(Tabella34[[#This Row],[Day]]-pr)</f>
        <v>393.3689253770832</v>
      </c>
      <c r="AR46" s="262">
        <f>EXP(mu_r+sigma_r*Tabella34[[#This Row],[x_r_alpha©-minus]])-(Tabella34[[#This Row],[Day]]-pr)</f>
        <v>-0.3105343379892167</v>
      </c>
      <c r="AS46" s="262">
        <f>-sigma_r+SQRT(sigma_r^2-2*Tabella34[[#This Row],[c_r]])</f>
        <v>5.5107492285252997</v>
      </c>
      <c r="AT46" s="262">
        <f>-sigma_r-SQRT(sigma_r^2-2*Tabella34[[#This Row],[c_r]])</f>
        <v>-6.1916038257190289</v>
      </c>
      <c r="AU46" s="262">
        <f>mu_r-LN(alpha*Kr/(Tabella34[[#This Row],[Lombardy velocity]]*sigma_r*SQRTPI(2)))</f>
        <v>-17.060188002957712</v>
      </c>
      <c r="AV46" s="262">
        <f>Tabella34[[#This Row],[t_alpha_r+plus]]</f>
        <v>393.3689253770832</v>
      </c>
      <c r="AW46" s="90">
        <f>IFERROR(-Kl*_xlfn.LOGNORM.DIST((Tabella34[[#This Row],[Day]]-pl),mu_l,sigma_l,FALSE)*(1+(LN((Tabella34[[#This Row],[Day]]-pl))-mu_l)/sigma_l^2)/(Tabella34[[#This Row],[Day]]-pl),0)</f>
        <v>2.7997160474704661E-4</v>
      </c>
      <c r="AX46" s="157">
        <f>Tabella34[[#This Row],[Lombardy acc. fit]]/y_l_peak</f>
        <v>1.5925987230549911E-7</v>
      </c>
      <c r="AY46" s="157">
        <f>Tabella34[[#This Row],[Lombardy acc. fit]]*NOT(ISBLANK(Tabella34[[#This Row],[Lombardy data]]))</f>
        <v>0</v>
      </c>
      <c r="AZ46" s="95">
        <f>Tabella34[[#This Row],[Lombardy acc. fit]]+CIl</f>
        <v>2570.3826028880135</v>
      </c>
      <c r="BA46" s="95">
        <f>MAX(Tabella34[[#This Row],[Lombardy acc. fit]]-CIl,0)</f>
        <v>0</v>
      </c>
      <c r="BB46" s="155"/>
      <c r="BC46" s="33"/>
      <c r="BD46" s="33"/>
      <c r="BE46" s="156">
        <f>Tabella34[[#This Row],[rest of Italy data]]*NOT(ISBLANK(Tabella34[[#This Row],[rest of Italy data]]))</f>
        <v>0</v>
      </c>
      <c r="BF46" s="204">
        <f>Tabella8[[#This Row],[rest of Italy fit]]</f>
        <v>2.4258346319876795E-27</v>
      </c>
      <c r="BG46" s="157">
        <f>_xlfn.LOGNORM.INV(alpha*Tabella34[[#This Row],[rest of Italy cumul. Fit]]/Ko,mu_o,sigma_o)-(Tabella34[[#This Row],[Day]]-po)</f>
        <v>2.4307171750593604E-2</v>
      </c>
      <c r="BH46" s="157">
        <f>Tabella34[[#This Row],[rest of Italy cumul. Fit]]/Ka</f>
        <v>1.6390776448532252E-32</v>
      </c>
      <c r="BI46" s="157">
        <f>IFERROR(Ko*_xlfn.LOGNORM.DIST((Tabella34[[#This Row],[Day]]-po),mu_o,sigma_o,FALSE),0)</f>
        <v>6.9999540786373238E-26</v>
      </c>
      <c r="BJ46" s="199">
        <f>Tabella34[[#This Row],[rest of Italy velocity]]/Tabella34[[#This Row],[rest of Italy cumul. Fit]]</f>
        <v>28.855858459328303</v>
      </c>
      <c r="BK46" s="254">
        <f>(LN(Tabella34[[#This Row],[Day]]-po)-mu_o)/sigma_o</f>
        <v>-11.814674635822852</v>
      </c>
      <c r="BL46" s="262">
        <f>EXP(mu_o+sigma_o*Tabella34[[#This Row],[x_o_alpha©+plus]])-(Tabella34[[#This Row],[Day]]-po)</f>
        <v>2116.2665823962689</v>
      </c>
      <c r="BM46" s="262">
        <f>EXP(mu_o+sigma_o*Tabella34[[#This Row],[x_o_alpha©-minus]])-(Tabella34[[#This Row],[Day]]-po)</f>
        <v>-2.4564205102391101E-2</v>
      </c>
      <c r="BN46" s="262">
        <f>-sigma_o+SQRT(sigma_o^2-2*Tabella34[[#This Row],[c_o]])</f>
        <v>11.231853840309522</v>
      </c>
      <c r="BO46" s="262">
        <f>-sigma_o-SQRT(sigma_o^2-2*Tabella34[[#This Row],[c_o]])</f>
        <v>-11.874826617608548</v>
      </c>
      <c r="BP46" s="262">
        <f>mu_o-LN(alpha*Ko/(Tabella34[[#This Row],[rest of Italy velocity]]*sigma_o*SQRTPI(2)))</f>
        <v>-66.688158473998158</v>
      </c>
      <c r="BQ46" s="262">
        <f>Tabella34[[#This Row],[t_alpha_o+plus]]</f>
        <v>2116.2665823962689</v>
      </c>
      <c r="BR46" s="90">
        <f>IFERROR(-Ka*_xlfn.LOGNORM.DIST((Tabella34[[#This Row],[Day]]-pa),mu_a,sigma_a,FALSE)*(1+(LN((Tabella34[[#This Row],[Day]]-pa))-mu_a)/sigma_a^2)/(Tabella34[[#This Row],[Day]]-pa),0)</f>
        <v>1.9511492919272573E-24</v>
      </c>
      <c r="BS46" s="157">
        <f>Tabella34[[#This Row],[rest of Italy acc. fit]]/y_a_peak</f>
        <v>5.7740846283745185E-28</v>
      </c>
      <c r="BT46" s="156">
        <f>Tabella34[[#This Row],[rest of Italy acc. fit]]*NOT(ISBLANK(Tabella34[[#This Row],[rest of Italy data]]))</f>
        <v>0</v>
      </c>
      <c r="BU46" s="95">
        <f>Tabella34[[#This Row],[rest of Italy acc. fit]]+CIa</f>
        <v>5338.8394351600173</v>
      </c>
      <c r="BV46" s="95">
        <f>MAX(Tabella34[[#This Row],[rest of Italy acc. fit]]-CIa,0)</f>
        <v>0</v>
      </c>
      <c r="BX46" s="227" t="s">
        <v>0</v>
      </c>
      <c r="BY46" s="228">
        <f>Kt</f>
        <v>279999.89576931909</v>
      </c>
      <c r="CL46" s="65" t="b">
        <f>sigma_f&gt;=0.000001</f>
        <v>1</v>
      </c>
    </row>
    <row r="47" spans="2:90" x14ac:dyDescent="0.3">
      <c r="B47" s="281">
        <v>43870</v>
      </c>
      <c r="C47" s="4">
        <v>40</v>
      </c>
      <c r="D47" s="10">
        <f>Tabella8[[#This Row],[Spain cum. Cases]]</f>
        <v>2</v>
      </c>
      <c r="E47" s="90">
        <f>(Tabella34[[#This Row],[Spain cumul. Cases]]-D46)</f>
        <v>1</v>
      </c>
      <c r="F47" s="90">
        <f>Tabella34[[#This Row],[Spain daily cases]]-E46</f>
        <v>1</v>
      </c>
      <c r="G47" s="156">
        <f>Tabella34[[#This Row],[Spain daily cases]]*NOT(ISBLANK(Tabella34[[#This Row],[Spain daily cases]]))</f>
        <v>1</v>
      </c>
      <c r="H47" s="157">
        <f>Tabella8[[#This Row],[Spain cum. fit]]</f>
        <v>1.9202273422868463E-14</v>
      </c>
      <c r="I47" s="157">
        <f>_xlfn.LOGNORM.INV(alpha*Tabella34[[#This Row],[Spain cumul. Fit]]/Kt,mu_t,sigma_t)-(Tabella34[[#This Row],[Day]]-pt)</f>
        <v>0.11685898250622007</v>
      </c>
      <c r="J47" s="157">
        <f>Tabella34[[#This Row],[Spain fitted d.t.]]/Spain_dt_at_lockdown</f>
        <v>3.1183397024269855E-2</v>
      </c>
      <c r="K47" s="157">
        <f>Tabella34[[#This Row],[Spain cumul. Fit]]/Kf</f>
        <v>6.8579573467728937E-20</v>
      </c>
      <c r="L47" s="160"/>
      <c r="M47" s="157"/>
      <c r="N47" s="157">
        <f>IFERROR(Kt*_xlfn.LOGNORM.DIST((Tabella34[[#This Row],[Day]]-pt),mu_t,sigma_t,FALSE),0)</f>
        <v>1.1554187824201693E-13</v>
      </c>
      <c r="O47" s="157" t="e">
        <f>Kt*EXP(-0.5*Tabella34[[#This Row],[x_t]]^2)/(sigma_t*SQRTPI(2)*(Tabella34[[#This Row],[Day]]-D_bk))</f>
        <v>#NAME?</v>
      </c>
      <c r="P47" s="199">
        <f>Tabella34[[#This Row],[Spain fitted velocity]]/Tabella34[[#This Row],[Spain cumul. Fit]]</f>
        <v>6.0170936897719232</v>
      </c>
      <c r="Q47" s="262">
        <f>(LN(Tabella34[[#This Row],[Day]]-pt)-mu_t)/sigma_t</f>
        <v>-9.0545284329525604</v>
      </c>
      <c r="R47" s="262">
        <f>EXP(mu_t+sigma_t*Tabella34[[#This Row],[x_t_alpha©+plus]])-(Tabella34[[#This Row],[Day]]-pt)</f>
        <v>644.7015746070872</v>
      </c>
      <c r="S47" s="262">
        <f>EXP(mu_t+sigma_t*Tabella34[[#This Row],[x_t_alpha©-minus]])-(Tabella34[[#This Row],[Day]]-pt)</f>
        <v>-0.11834652514716471</v>
      </c>
      <c r="T47" s="262">
        <f>-sigma_t+SQRT(sigma_t^2-2*Tabella34[[#This Row],[c_t]])</f>
        <v>8.5956319592259298</v>
      </c>
      <c r="U47" s="262">
        <f>-sigma_t-SQRT(sigma_t^2-2*Tabella34[[#This Row],[c_t]])</f>
        <v>-9.1330713090690985</v>
      </c>
      <c r="V47" s="262">
        <f>mu_t-LN(alpha*Kt/(Tabella34[[#This Row],[Spain fitted velocity]]*sigma_t*SQRTPI(2)))</f>
        <v>-39.252259815061862</v>
      </c>
      <c r="W47" s="262">
        <f>Tabella34[[#This Row],[Spain fitted g.r.]]/Spain_gr_at_lockdown</f>
        <v>29.037915689952914</v>
      </c>
      <c r="X47" s="262">
        <f>Tabella34[[#This Row],[t_alpha_t+plus]]</f>
        <v>644.7015746070872</v>
      </c>
      <c r="Y47" s="262">
        <f>Tabella34[[#This Row],[Spain fitted h.t.]]/Spain_ht_at_lockdown</f>
        <v>10.472638211371127</v>
      </c>
      <c r="Z47" s="90">
        <f>IFERROR(-Kf*_xlfn.LOGNORM.DIST((Tabella34[[#This Row],[Day]]-pf),mu_f,sigma_f,FALSE)*(1+(LN((Tabella34[[#This Row],[Day]]-pf))-mu_f)/sigma_f^2)/(Tabella34[[#This Row],[Day]]-pf),0)</f>
        <v>6.6664926728960362E-13</v>
      </c>
      <c r="AA47" s="90">
        <f>Tabella34[[#This Row],[Spain acc. fit]]/Spain_acc_at_lockdown</f>
        <v>2.2717203217133279E-15</v>
      </c>
      <c r="AB47" s="157">
        <f>Tabella34[[#This Row],[Spain acc. fit]]/y_f_peak</f>
        <v>9.9877549691531491E-17</v>
      </c>
      <c r="AC47" s="157">
        <f>Tabella34[[#This Row],[Colonna4]]*NOT(ISBLANK(Tabella34[[#This Row],[Spain daily cases]]))</f>
        <v>0</v>
      </c>
      <c r="AD47" s="157">
        <f>Tabella34[[#This Row],[Spain acc. fit]]*NOT(ISBLANK(Tabella34[[#This Row],[Spain daily cases]]))</f>
        <v>6.6664926728960362E-13</v>
      </c>
      <c r="AE47" s="95">
        <f>Tabella34[[#This Row],[Spain acc. fit]]+CIf</f>
        <v>2342.6884176810931</v>
      </c>
      <c r="AF47" s="95">
        <f>MAX(Tabella34[[#This Row],[Spain acc. fit]]-CIf,0)</f>
        <v>0</v>
      </c>
      <c r="AG47" s="155"/>
      <c r="AH47" s="33"/>
      <c r="AI47" s="33"/>
      <c r="AJ47" s="156">
        <f>Tabella34[[#This Row],[Lombardy data]]*NOT(ISBLANK(Tabella34[[#This Row],[Lombardy data]]))</f>
        <v>0</v>
      </c>
      <c r="AK47" s="161">
        <f>Tabella8[[#This Row],[Lombardy fit]]</f>
        <v>4.7268540916532139E-4</v>
      </c>
      <c r="AL47" s="157">
        <f>_xlfn.LOGNORM.INV(alpha*Tabella34[[#This Row],[Lombardy cumul. Fit]]/Kr,mu_r,sigma_r)-(Tabella34[[#This Row],[Day]]-pr)</f>
        <v>0.36292885896318339</v>
      </c>
      <c r="AM47" s="156">
        <f>Tabella34[[#This Row],[Lombardy cumul. Fit]]/Kl</f>
        <v>5.4331656225899009E-9</v>
      </c>
      <c r="AN47" s="157">
        <f>IFERROR(Kr*_xlfn.LOGNORM.DIST((Tabella34[[#This Row],[Day]]-pr),mu_r,sigma_r,FALSE),0)</f>
        <v>9.3046935614295309E-4</v>
      </c>
      <c r="AO47" s="199">
        <f>Tabella34[[#This Row],[Lombardy velocity]]/Tabella34[[#This Row],[Lombardy cumul. Fit]]</f>
        <v>1.9684748843548967</v>
      </c>
      <c r="AP47" s="254">
        <f>(LN(Tabella34[[#This Row],[Day]]-pr)-mu_r)/sigma_r</f>
        <v>-5.716620672251425</v>
      </c>
      <c r="AQ47" s="262">
        <f>EXP(mu_r+sigma_r*Tabella34[[#This Row],[x_r_alpha©+plus]])-(Tabella34[[#This Row],[Day]]-pr)</f>
        <v>347.60554036315477</v>
      </c>
      <c r="AR47" s="262">
        <f>EXP(mu_r+sigma_r*Tabella34[[#This Row],[x_r_alpha©-minus]])-(Tabella34[[#This Row],[Day]]-pr)</f>
        <v>-0.37261339618371281</v>
      </c>
      <c r="AS47" s="262">
        <f>-sigma_r+SQRT(sigma_r^2-2*Tabella34[[#This Row],[c_r]])</f>
        <v>5.1631851107254976</v>
      </c>
      <c r="AT47" s="262">
        <f>-sigma_r-SQRT(sigma_r^2-2*Tabella34[[#This Row],[c_r]])</f>
        <v>-5.8440397079192268</v>
      </c>
      <c r="AU47" s="262">
        <f>mu_r-LN(alpha*Kr/(Tabella34[[#This Row],[Lombardy velocity]]*sigma_r*SQRTPI(2)))</f>
        <v>-15.086929403208568</v>
      </c>
      <c r="AV47" s="262">
        <f>Tabella34[[#This Row],[t_alpha_r+plus]]</f>
        <v>347.60554036315477</v>
      </c>
      <c r="AW47" s="90">
        <f>IFERROR(-Kl*_xlfn.LOGNORM.DIST((Tabella34[[#This Row],[Day]]-pl),mu_l,sigma_l,FALSE)*(1+(LN((Tabella34[[#This Row],[Day]]-pl))-mu_l)/sigma_l^2)/(Tabella34[[#This Row],[Day]]-pl),0)</f>
        <v>1.6740471067881895E-3</v>
      </c>
      <c r="AX47" s="157">
        <f>Tabella34[[#This Row],[Lombardy acc. fit]]/y_l_peak</f>
        <v>9.5226988716001109E-7</v>
      </c>
      <c r="AY47" s="157">
        <f>Tabella34[[#This Row],[Lombardy acc. fit]]*NOT(ISBLANK(Tabella34[[#This Row],[Lombardy data]]))</f>
        <v>0</v>
      </c>
      <c r="AZ47" s="95">
        <f>Tabella34[[#This Row],[Lombardy acc. fit]]+CIl</f>
        <v>2570.3839969635155</v>
      </c>
      <c r="BA47" s="95">
        <f>MAX(Tabella34[[#This Row],[Lombardy acc. fit]]-CIl,0)</f>
        <v>0</v>
      </c>
      <c r="BB47" s="155"/>
      <c r="BC47" s="33"/>
      <c r="BD47" s="33"/>
      <c r="BE47" s="156">
        <f>Tabella34[[#This Row],[rest of Italy data]]*NOT(ISBLANK(Tabella34[[#This Row],[rest of Italy data]]))</f>
        <v>0</v>
      </c>
      <c r="BF47" s="204">
        <f>Tabella8[[#This Row],[rest of Italy fit]]</f>
        <v>9.0611137748086005E-19</v>
      </c>
      <c r="BG47" s="157">
        <f>_xlfn.LOGNORM.INV(alpha*Tabella34[[#This Row],[rest of Italy cumul. Fit]]/Ko,mu_o,sigma_o)-(Tabella34[[#This Row],[Day]]-po)</f>
        <v>5.0994395926567737E-2</v>
      </c>
      <c r="BH47" s="157">
        <f>Tabella34[[#This Row],[rest of Italy cumul. Fit]]/Ka</f>
        <v>6.1223748848828497E-24</v>
      </c>
      <c r="BI47" s="157">
        <f>IFERROR(Ko*_xlfn.LOGNORM.DIST((Tabella34[[#This Row],[Day]]-po),mu_o,sigma_o,FALSE),0)</f>
        <v>1.2495526260343405E-17</v>
      </c>
      <c r="BJ47" s="199">
        <f>Tabella34[[#This Row],[rest of Italy velocity]]/Tabella34[[#This Row],[rest of Italy cumul. Fit]]</f>
        <v>13.790276306962442</v>
      </c>
      <c r="BK47" s="254">
        <f>(LN(Tabella34[[#This Row],[Day]]-po)-mu_o)/sigma_o</f>
        <v>-10.021645171503936</v>
      </c>
      <c r="BL47" s="262">
        <f>EXP(mu_o+sigma_o*Tabella34[[#This Row],[x_o_alpha©+plus]])-(Tabella34[[#This Row],[Day]]-po)</f>
        <v>1191.7965773062197</v>
      </c>
      <c r="BM47" s="262">
        <f>EXP(mu_o+sigma_o*Tabella34[[#This Row],[x_o_alpha©-minus]])-(Tabella34[[#This Row],[Day]]-po)</f>
        <v>-5.1651459838655711E-2</v>
      </c>
      <c r="BN47" s="262">
        <f>-sigma_o+SQRT(sigma_o^2-2*Tabella34[[#This Row],[c_o]])</f>
        <v>9.4498684188327982</v>
      </c>
      <c r="BO47" s="262">
        <f>-sigma_o-SQRT(sigma_o^2-2*Tabella34[[#This Row],[c_o]])</f>
        <v>-10.092841196131824</v>
      </c>
      <c r="BP47" s="262">
        <f>mu_o-LN(alpha*Ko/(Tabella34[[#This Row],[rest of Italy velocity]]*sigma_o*SQRTPI(2)))</f>
        <v>-47.688010637810386</v>
      </c>
      <c r="BQ47" s="262">
        <f>Tabella34[[#This Row],[t_alpha_o+plus]]</f>
        <v>1191.7965773062197</v>
      </c>
      <c r="BR47" s="90">
        <f>IFERROR(-Ka*_xlfn.LOGNORM.DIST((Tabella34[[#This Row],[Day]]-pa),mu_a,sigma_a,FALSE)*(1+(LN((Tabella34[[#This Row],[Day]]-pa))-mu_a)/sigma_a^2)/(Tabella34[[#This Row],[Day]]-pa),0)</f>
        <v>1.6517557707556378E-16</v>
      </c>
      <c r="BS47" s="157">
        <f>Tabella34[[#This Row],[rest of Italy acc. fit]]/y_a_peak</f>
        <v>4.8880819346880642E-20</v>
      </c>
      <c r="BT47" s="156">
        <f>Tabella34[[#This Row],[rest of Italy acc. fit]]*NOT(ISBLANK(Tabella34[[#This Row],[rest of Italy data]]))</f>
        <v>0</v>
      </c>
      <c r="BU47" s="95">
        <f>Tabella34[[#This Row],[rest of Italy acc. fit]]+CIa</f>
        <v>5338.8394351600173</v>
      </c>
      <c r="BV47" s="95">
        <f>MAX(Tabella34[[#This Row],[rest of Italy acc. fit]]-CIa,0)</f>
        <v>0</v>
      </c>
      <c r="BX47" s="229" t="s">
        <v>63</v>
      </c>
      <c r="BY47" s="230">
        <f>mu_t</f>
        <v>4.1677232340841748</v>
      </c>
      <c r="CL47" s="65">
        <f>{32767;32767;0.000001;0.01;FALSE;FALSE;FALSE;1;2;1;0.0001;TRUE}</f>
        <v>32767</v>
      </c>
    </row>
    <row r="48" spans="2:90" ht="15" thickBot="1" x14ac:dyDescent="0.35">
      <c r="B48" s="281">
        <v>43871</v>
      </c>
      <c r="C48" s="4">
        <v>41</v>
      </c>
      <c r="D48" s="10">
        <f>Tabella8[[#This Row],[Spain cum. Cases]]</f>
        <v>2</v>
      </c>
      <c r="E48" s="90">
        <f>(Tabella34[[#This Row],[Spain cumul. Cases]]-D47)</f>
        <v>0</v>
      </c>
      <c r="F48" s="90">
        <f>Tabella34[[#This Row],[Spain daily cases]]-E47</f>
        <v>-1</v>
      </c>
      <c r="G48" s="156">
        <f>Tabella34[[#This Row],[Spain daily cases]]*NOT(ISBLANK(Tabella34[[#This Row],[Spain daily cases]]))</f>
        <v>0</v>
      </c>
      <c r="H48" s="157">
        <f>Tabella8[[#This Row],[Spain cum. fit]]</f>
        <v>4.0875309750293764E-12</v>
      </c>
      <c r="I48" s="157">
        <f>_xlfn.LOGNORM.INV(alpha*Tabella34[[#This Row],[Spain cumul. Fit]]/Kt,mu_t,sigma_t)-(Tabella34[[#This Row],[Day]]-pt)</f>
        <v>0.14726417697439054</v>
      </c>
      <c r="J48" s="157">
        <f>Tabella34[[#This Row],[Spain fitted d.t.]]/Spain_dt_at_lockdown</f>
        <v>3.9296913250124611E-2</v>
      </c>
      <c r="K48" s="157">
        <f>Tabella34[[#This Row],[Spain cumul. Fit]]/Kf</f>
        <v>1.4598330345083174E-17</v>
      </c>
      <c r="L48" s="160"/>
      <c r="M48" s="157"/>
      <c r="N48" s="157">
        <f>IFERROR(Kt*_xlfn.LOGNORM.DIST((Tabella34[[#This Row],[Day]]-pt),mu_t,sigma_t,FALSE),0)</f>
        <v>1.9542580576720066E-11</v>
      </c>
      <c r="O48" s="157" t="e">
        <f>Kt*EXP(-0.5*Tabella34[[#This Row],[x_t]]^2)/(sigma_t*SQRTPI(2)*(Tabella34[[#This Row],[Day]]-D_bk))</f>
        <v>#NAME?</v>
      </c>
      <c r="P48" s="199">
        <f>Tabella34[[#This Row],[Spain fitted velocity]]/Tabella34[[#This Row],[Spain cumul. Fit]]</f>
        <v>4.7810232377699879</v>
      </c>
      <c r="Q48" s="262">
        <f>(LN(Tabella34[[#This Row],[Day]]-pt)-mu_t)/sigma_t</f>
        <v>-8.449734261088091</v>
      </c>
      <c r="R48" s="262">
        <f>EXP(mu_t+sigma_t*Tabella34[[#This Row],[x_t_alpha©+plus]])-(Tabella34[[#This Row],[Day]]-pt)</f>
        <v>547.00041247970171</v>
      </c>
      <c r="S48" s="262">
        <f>EXP(mu_t+sigma_t*Tabella34[[#This Row],[x_t_alpha©-minus]])-(Tabella34[[#This Row],[Day]]-pt)</f>
        <v>-0.14930787902771492</v>
      </c>
      <c r="T48" s="262">
        <f>-sigma_t+SQRT(sigma_t^2-2*Tabella34[[#This Row],[c_t]])</f>
        <v>7.9965869751785226</v>
      </c>
      <c r="U48" s="262">
        <f>-sigma_t-SQRT(sigma_t^2-2*Tabella34[[#This Row],[c_t]])</f>
        <v>-8.5340263250216903</v>
      </c>
      <c r="V48" s="262">
        <f>mu_t-LN(alpha*Kt/(Tabella34[[#This Row],[Spain fitted velocity]]*sigma_t*SQRTPI(2)))</f>
        <v>-34.121541878249531</v>
      </c>
      <c r="W48" s="262">
        <f>Tabella34[[#This Row],[Spain fitted g.r.]]/Spain_gr_at_lockdown</f>
        <v>23.072758518960832</v>
      </c>
      <c r="X48" s="262">
        <f>Tabella34[[#This Row],[t_alpha_t+plus]]</f>
        <v>547.00041247970171</v>
      </c>
      <c r="Y48" s="262">
        <f>Tabella34[[#This Row],[Spain fitted h.t.]]/Spain_ht_at_lockdown</f>
        <v>8.8855644952658039</v>
      </c>
      <c r="Z48" s="90">
        <f>IFERROR(-Kf*_xlfn.LOGNORM.DIST((Tabella34[[#This Row],[Day]]-pf),mu_f,sigma_f,FALSE)*(1+(LN((Tabella34[[#This Row],[Day]]-pf))-mu_f)/sigma_f^2)/(Tabella34[[#This Row],[Day]]-pf),0)</f>
        <v>8.9244967530409856E-11</v>
      </c>
      <c r="AA48" s="90">
        <f>Tabella34[[#This Row],[Spain acc. fit]]/Spain_acc_at_lockdown</f>
        <v>3.041173467027973E-13</v>
      </c>
      <c r="AB48" s="157">
        <f>Tabella34[[#This Row],[Spain acc. fit]]/y_f_peak</f>
        <v>1.3370701981684503E-14</v>
      </c>
      <c r="AC48" s="157">
        <f>Tabella34[[#This Row],[Colonna4]]*NOT(ISBLANK(Tabella34[[#This Row],[Spain daily cases]]))</f>
        <v>0</v>
      </c>
      <c r="AD48" s="157">
        <f>Tabella34[[#This Row],[Spain acc. fit]]*NOT(ISBLANK(Tabella34[[#This Row],[Spain daily cases]]))</f>
        <v>8.9244967530409856E-11</v>
      </c>
      <c r="AE48" s="95">
        <f>Tabella34[[#This Row],[Spain acc. fit]]+CIf</f>
        <v>2342.6884176811818</v>
      </c>
      <c r="AF48" s="95">
        <f>MAX(Tabella34[[#This Row],[Spain acc. fit]]-CIf,0)</f>
        <v>0</v>
      </c>
      <c r="AG48" s="155"/>
      <c r="AH48" s="33"/>
      <c r="AI48" s="33"/>
      <c r="AJ48" s="156">
        <f>Tabella34[[#This Row],[Lombardy data]]*NOT(ISBLANK(Tabella34[[#This Row],[Lombardy data]]))</f>
        <v>0</v>
      </c>
      <c r="AK48" s="161">
        <f>Tabella8[[#This Row],[Lombardy fit]]</f>
        <v>2.9037514905089928E-3</v>
      </c>
      <c r="AL48" s="157">
        <f>_xlfn.LOGNORM.INV(alpha*Tabella34[[#This Row],[Lombardy cumul. Fit]]/Kr,mu_r,sigma_r)-(Tabella34[[#This Row],[Day]]-pr)</f>
        <v>0.42759905412277099</v>
      </c>
      <c r="AM48" s="156">
        <f>Tabella34[[#This Row],[Lombardy cumul. Fit]]/Kl</f>
        <v>3.3376453913896467E-8</v>
      </c>
      <c r="AN48" s="157">
        <f>IFERROR(Kr*_xlfn.LOGNORM.DIST((Tabella34[[#This Row],[Day]]-pr),mu_r,sigma_r,FALSE),0)</f>
        <v>4.8624763084411642E-3</v>
      </c>
      <c r="AO48" s="199">
        <f>Tabella34[[#This Row],[Lombardy velocity]]/Tabella34[[#This Row],[Lombardy cumul. Fit]]</f>
        <v>1.6745497417166475</v>
      </c>
      <c r="AP48" s="254">
        <f>(LN(Tabella34[[#This Row],[Day]]-pr)-mu_r)/sigma_r</f>
        <v>-5.3996987130814889</v>
      </c>
      <c r="AQ48" s="262">
        <f>EXP(mu_r+sigma_r*Tabella34[[#This Row],[x_r_alpha©+plus]])-(Tabella34[[#This Row],[Day]]-pr)</f>
        <v>311.00573153175998</v>
      </c>
      <c r="AR48" s="262">
        <f>EXP(mu_r+sigma_r*Tabella34[[#This Row],[x_r_alpha©-minus]])-(Tabella34[[#This Row],[Day]]-pr)</f>
        <v>-0.43982707334958349</v>
      </c>
      <c r="AS48" s="262">
        <f>-sigma_r+SQRT(sigma_r^2-2*Tabella34[[#This Row],[c_r]])</f>
        <v>4.8540429926398785</v>
      </c>
      <c r="AT48" s="262">
        <f>-sigma_r-SQRT(sigma_r^2-2*Tabella34[[#This Row],[c_r]])</f>
        <v>-5.5348975898336077</v>
      </c>
      <c r="AU48" s="262">
        <f>mu_r-LN(alpha*Kr/(Tabella34[[#This Row],[Lombardy velocity]]*sigma_r*SQRTPI(2)))</f>
        <v>-13.43331543045559</v>
      </c>
      <c r="AV48" s="262">
        <f>Tabella34[[#This Row],[t_alpha_r+plus]]</f>
        <v>311.00573153175998</v>
      </c>
      <c r="AW48" s="90">
        <f>IFERROR(-Kl*_xlfn.LOGNORM.DIST((Tabella34[[#This Row],[Day]]-pl),mu_l,sigma_l,FALSE)*(1+(LN((Tabella34[[#This Row],[Day]]-pl))-mu_l)/sigma_l^2)/(Tabella34[[#This Row],[Day]]-pl),0)</f>
        <v>7.3906161641102428E-3</v>
      </c>
      <c r="AX48" s="157">
        <f>Tabella34[[#This Row],[Lombardy acc. fit]]/y_l_peak</f>
        <v>4.2040998679798127E-6</v>
      </c>
      <c r="AY48" s="157">
        <f>Tabella34[[#This Row],[Lombardy acc. fit]]*NOT(ISBLANK(Tabella34[[#This Row],[Lombardy data]]))</f>
        <v>0</v>
      </c>
      <c r="AZ48" s="95">
        <f>Tabella34[[#This Row],[Lombardy acc. fit]]+CIl</f>
        <v>2570.3897135325728</v>
      </c>
      <c r="BA48" s="95">
        <f>MAX(Tabella34[[#This Row],[Lombardy acc. fit]]-CIl,0)</f>
        <v>0</v>
      </c>
      <c r="BB48" s="155"/>
      <c r="BC48" s="33"/>
      <c r="BD48" s="33"/>
      <c r="BE48" s="156">
        <f>Tabella34[[#This Row],[rest of Italy data]]*NOT(ISBLANK(Tabella34[[#This Row],[rest of Italy data]]))</f>
        <v>0</v>
      </c>
      <c r="BF48" s="204">
        <f>Tabella8[[#This Row],[rest of Italy fit]]</f>
        <v>4.4611368624324991E-14</v>
      </c>
      <c r="BG48" s="157">
        <f>_xlfn.LOGNORM.INV(alpha*Tabella34[[#This Row],[rest of Italy cumul. Fit]]/Ko,mu_o,sigma_o)-(Tabella34[[#This Row],[Day]]-po)</f>
        <v>8.2633277575064223E-2</v>
      </c>
      <c r="BH48" s="157">
        <f>Tabella34[[#This Row],[rest of Italy cumul. Fit]]/Ka</f>
        <v>3.0142820147028492E-19</v>
      </c>
      <c r="BI48" s="157">
        <f>IFERROR(Ko*_xlfn.LOGNORM.DIST((Tabella34[[#This Row],[Day]]-po),mu_o,sigma_o,FALSE),0)</f>
        <v>3.8051631768297409E-13</v>
      </c>
      <c r="BJ48" s="199">
        <f>Tabella34[[#This Row],[rest of Italy velocity]]/Tabella34[[#This Row],[rest of Italy cumul. Fit]]</f>
        <v>8.5295817953339377</v>
      </c>
      <c r="BK48" s="254">
        <f>(LN(Tabella34[[#This Row],[Day]]-po)-mu_o)/sigma_o</f>
        <v>-8.8915069892269152</v>
      </c>
      <c r="BL48" s="262">
        <f>EXP(mu_o+sigma_o*Tabella34[[#This Row],[x_o_alpha©+plus]])-(Tabella34[[#This Row],[Day]]-po)</f>
        <v>829.52149150153059</v>
      </c>
      <c r="BM48" s="262">
        <f>EXP(mu_o+sigma_o*Tabella34[[#This Row],[x_o_alpha©-minus]])-(Tabella34[[#This Row],[Day]]-po)</f>
        <v>-8.3864478416852961E-2</v>
      </c>
      <c r="BN48" s="262">
        <f>-sigma_o+SQRT(sigma_o^2-2*Tabella34[[#This Row],[c_o]])</f>
        <v>8.3290365698450159</v>
      </c>
      <c r="BO48" s="262">
        <f>-sigma_o-SQRT(sigma_o^2-2*Tabella34[[#This Row],[c_o]])</f>
        <v>-8.9720093471440414</v>
      </c>
      <c r="BP48" s="262">
        <f>mu_o-LN(alpha*Ko/(Tabella34[[#This Row],[rest of Italy velocity]]*sigma_o*SQRTPI(2)))</f>
        <v>-37.364096978677011</v>
      </c>
      <c r="BQ48" s="262">
        <f>Tabella34[[#This Row],[t_alpha_o+plus]]</f>
        <v>829.52149150153059</v>
      </c>
      <c r="BR48" s="90">
        <f>IFERROR(-Ka*_xlfn.LOGNORM.DIST((Tabella34[[#This Row],[Day]]-pa),mu_a,sigma_a,FALSE)*(1+(LN((Tabella34[[#This Row],[Day]]-pa))-mu_a)/sigma_a^2)/(Tabella34[[#This Row],[Day]]-pa),0)</f>
        <v>3.0901386225569382E-12</v>
      </c>
      <c r="BS48" s="157">
        <f>Tabella34[[#This Row],[rest of Italy acc. fit]]/y_a_peak</f>
        <v>9.1447240833263914E-16</v>
      </c>
      <c r="BT48" s="156">
        <f>Tabella34[[#This Row],[rest of Italy acc. fit]]*NOT(ISBLANK(Tabella34[[#This Row],[rest of Italy data]]))</f>
        <v>0</v>
      </c>
      <c r="BU48" s="95">
        <f>Tabella34[[#This Row],[rest of Italy acc. fit]]+CIa</f>
        <v>5338.83943516002</v>
      </c>
      <c r="BV48" s="95">
        <f>MAX(Tabella34[[#This Row],[rest of Italy acc. fit]]-CIa,0)</f>
        <v>0</v>
      </c>
      <c r="BX48" s="227" t="s">
        <v>64</v>
      </c>
      <c r="BY48" s="230">
        <f>sigma_t</f>
        <v>0.26871967492158361</v>
      </c>
      <c r="BZ48" s="6"/>
      <c r="CL48" s="66">
        <f>{0;0;1;200;0;FALSE;FALSE;0.075;0;0;FALSE;30}</f>
        <v>0</v>
      </c>
    </row>
    <row r="49" spans="2:79" x14ac:dyDescent="0.3">
      <c r="B49" s="281">
        <v>43872</v>
      </c>
      <c r="C49" s="4">
        <v>42</v>
      </c>
      <c r="D49" s="10">
        <f>Tabella8[[#This Row],[Spain cum. Cases]]</f>
        <v>2</v>
      </c>
      <c r="E49" s="90">
        <f>(Tabella34[[#This Row],[Spain cumul. Cases]]-D48)</f>
        <v>0</v>
      </c>
      <c r="F49" s="90">
        <f>Tabella34[[#This Row],[Spain daily cases]]-E48</f>
        <v>0</v>
      </c>
      <c r="G49" s="156">
        <f>Tabella34[[#This Row],[Spain daily cases]]*NOT(ISBLANK(Tabella34[[#This Row],[Spain daily cases]]))</f>
        <v>0</v>
      </c>
      <c r="H49" s="157">
        <f>Tabella8[[#This Row],[Spain cum. fit]]</f>
        <v>3.0772466840732951E-10</v>
      </c>
      <c r="I49" s="157">
        <f>_xlfn.LOGNORM.INV(alpha*Tabella34[[#This Row],[Spain cumul. Fit]]/Kt,mu_t,sigma_t)-(Tabella34[[#This Row],[Day]]-pt)</f>
        <v>0.18038067958255866</v>
      </c>
      <c r="J49" s="157">
        <f>Tabella34[[#This Row],[Spain fitted d.t.]]/Spain_dt_at_lockdown</f>
        <v>4.8133932251473589E-2</v>
      </c>
      <c r="K49" s="157">
        <f>Tabella34[[#This Row],[Spain cumul. Fit]]/Kf</f>
        <v>1.099017081995101E-15</v>
      </c>
      <c r="L49" s="160"/>
      <c r="M49" s="157"/>
      <c r="N49" s="157">
        <f>IFERROR(Kt*_xlfn.LOGNORM.DIST((Tabella34[[#This Row],[Day]]-pt),mu_t,sigma_t,FALSE),0)</f>
        <v>1.2027162744515017E-9</v>
      </c>
      <c r="O49" s="157" t="e">
        <f>Kt*EXP(-0.5*Tabella34[[#This Row],[x_t]]^2)/(sigma_t*SQRTPI(2)*(Tabella34[[#This Row],[Day]]-D_bk))</f>
        <v>#NAME?</v>
      </c>
      <c r="P49" s="199">
        <f>Tabella34[[#This Row],[Spain fitted velocity]]/Tabella34[[#This Row],[Spain cumul. Fit]]</f>
        <v>3.9084168346864159</v>
      </c>
      <c r="Q49" s="262">
        <f>(LN(Tabella34[[#This Row],[Day]]-pt)-mu_t)/sigma_t</f>
        <v>-7.9296279362140645</v>
      </c>
      <c r="R49" s="262">
        <f>EXP(mu_t+sigma_t*Tabella34[[#This Row],[x_t_alpha©+plus]])-(Tabella34[[#This Row],[Day]]-pt)</f>
        <v>474.5151602904977</v>
      </c>
      <c r="S49" s="262">
        <f>EXP(mu_t+sigma_t*Tabella34[[#This Row],[x_t_alpha©-minus]])-(Tabella34[[#This Row],[Day]]-pt)</f>
        <v>-0.18309158840935069</v>
      </c>
      <c r="T49" s="262">
        <f>-sigma_t+SQRT(sigma_t^2-2*Tabella34[[#This Row],[c_t]])</f>
        <v>7.4821389710001247</v>
      </c>
      <c r="U49" s="262">
        <f>-sigma_t-SQRT(sigma_t^2-2*Tabella34[[#This Row],[c_t]])</f>
        <v>-8.0195783208432925</v>
      </c>
      <c r="V49" s="262">
        <f>mu_t-LN(alpha*Kt/(Tabella34[[#This Row],[Spain fitted velocity]]*sigma_t*SQRTPI(2)))</f>
        <v>-30.001799742684664</v>
      </c>
      <c r="W49" s="262">
        <f>Tabella34[[#This Row],[Spain fitted g.r.]]/Spain_gr_at_lockdown</f>
        <v>18.861643906215907</v>
      </c>
      <c r="X49" s="262">
        <f>Tabella34[[#This Row],[t_alpha_t+plus]]</f>
        <v>474.5151602904977</v>
      </c>
      <c r="Y49" s="262">
        <f>Tabella34[[#This Row],[Spain fitted h.t.]]/Spain_ht_at_lockdown</f>
        <v>7.7081021596104735</v>
      </c>
      <c r="Z49" s="90">
        <f>IFERROR(-Kf*_xlfn.LOGNORM.DIST((Tabella34[[#This Row],[Day]]-pf),mu_f,sigma_f,FALSE)*(1+(LN((Tabella34[[#This Row],[Day]]-pf))-mu_f)/sigma_f^2)/(Tabella34[[#This Row],[Day]]-pf),0)</f>
        <v>4.4723923201564357E-9</v>
      </c>
      <c r="AA49" s="90">
        <f>Tabella34[[#This Row],[Spain acc. fit]]/Spain_acc_at_lockdown</f>
        <v>1.5240434541661784E-11</v>
      </c>
      <c r="AB49" s="157">
        <f>Tabella34[[#This Row],[Spain acc. fit]]/y_f_peak</f>
        <v>6.7005486710060069E-13</v>
      </c>
      <c r="AC49" s="157">
        <f>Tabella34[[#This Row],[Colonna4]]*NOT(ISBLANK(Tabella34[[#This Row],[Spain daily cases]]))</f>
        <v>0</v>
      </c>
      <c r="AD49" s="157">
        <f>Tabella34[[#This Row],[Spain acc. fit]]*NOT(ISBLANK(Tabella34[[#This Row],[Spain daily cases]]))</f>
        <v>4.4723923201564357E-9</v>
      </c>
      <c r="AE49" s="95">
        <f>Tabella34[[#This Row],[Spain acc. fit]]+CIf</f>
        <v>2342.6884176855651</v>
      </c>
      <c r="AF49" s="95">
        <f>MAX(Tabella34[[#This Row],[Spain acc. fit]]-CIf,0)</f>
        <v>0</v>
      </c>
      <c r="AG49" s="155"/>
      <c r="AH49" s="33"/>
      <c r="AI49" s="33"/>
      <c r="AJ49" s="156">
        <f>Tabella34[[#This Row],[Lombardy data]]*NOT(ISBLANK(Tabella34[[#This Row],[Lombardy data]]))</f>
        <v>0</v>
      </c>
      <c r="AK49" s="161">
        <f>Tabella8[[#This Row],[Lombardy fit]]</f>
        <v>1.3744676008109632E-2</v>
      </c>
      <c r="AL49" s="157">
        <f>_xlfn.LOGNORM.INV(alpha*Tabella34[[#This Row],[Lombardy cumul. Fit]]/Kr,mu_r,sigma_r)-(Tabella34[[#This Row],[Day]]-pr)</f>
        <v>0.49717334885360209</v>
      </c>
      <c r="AM49" s="156">
        <f>Tabella34[[#This Row],[Lombardy cumul. Fit]]/Kl</f>
        <v>1.5798478170240956E-7</v>
      </c>
      <c r="AN49" s="157">
        <f>IFERROR(Kr*_xlfn.LOGNORM.DIST((Tabella34[[#This Row],[Day]]-pr),mu_r,sigma_r,FALSE),0)</f>
        <v>1.9841352030007232E-2</v>
      </c>
      <c r="AO49" s="199">
        <f>Tabella34[[#This Row],[Lombardy velocity]]/Tabella34[[#This Row],[Lombardy cumul. Fit]]</f>
        <v>1.4435663684106079</v>
      </c>
      <c r="AP49" s="254">
        <f>(LN(Tabella34[[#This Row],[Day]]-pr)-mu_r)/sigma_r</f>
        <v>-5.1136637715017423</v>
      </c>
      <c r="AQ49" s="262">
        <f>EXP(mu_r+sigma_r*Tabella34[[#This Row],[x_r_alpha©+plus]])-(Tabella34[[#This Row],[Day]]-pr)</f>
        <v>281.02329340026961</v>
      </c>
      <c r="AR49" s="262">
        <f>EXP(mu_r+sigma_r*Tabella34[[#This Row],[x_r_alpha©-minus]])-(Tabella34[[#This Row],[Day]]-pr)</f>
        <v>-0.51235700110875548</v>
      </c>
      <c r="AS49" s="262">
        <f>-sigma_r+SQRT(sigma_r^2-2*Tabella34[[#This Row],[c_r]])</f>
        <v>4.5758803389894256</v>
      </c>
      <c r="AT49" s="262">
        <f>-sigma_r-SQRT(sigma_r^2-2*Tabella34[[#This Row],[c_r]])</f>
        <v>-5.2567349361831548</v>
      </c>
      <c r="AU49" s="262">
        <f>mu_r-LN(alpha*Kr/(Tabella34[[#This Row],[Lombardy velocity]]*sigma_r*SQRTPI(2)))</f>
        <v>-12.027095020879667</v>
      </c>
      <c r="AV49" s="262">
        <f>Tabella34[[#This Row],[t_alpha_r+plus]]</f>
        <v>281.02329340026961</v>
      </c>
      <c r="AW49" s="90">
        <f>IFERROR(-Kl*_xlfn.LOGNORM.DIST((Tabella34[[#This Row],[Day]]-pl),mu_l,sigma_l,FALSE)*(1+(LN((Tabella34[[#This Row],[Day]]-pl))-mu_l)/sigma_l^2)/(Tabella34[[#This Row],[Day]]-pl),0)</f>
        <v>2.5812516595785134E-2</v>
      </c>
      <c r="AX49" s="157">
        <f>Tabella34[[#This Row],[Lombardy acc. fit]]/y_l_peak</f>
        <v>1.4683267971559113E-5</v>
      </c>
      <c r="AY49" s="157">
        <f>Tabella34[[#This Row],[Lombardy acc. fit]]*NOT(ISBLANK(Tabella34[[#This Row],[Lombardy data]]))</f>
        <v>0</v>
      </c>
      <c r="AZ49" s="95">
        <f>Tabella34[[#This Row],[Lombardy acc. fit]]+CIl</f>
        <v>2570.4081354330042</v>
      </c>
      <c r="BA49" s="95">
        <f>MAX(Tabella34[[#This Row],[Lombardy acc. fit]]-CIl,0)</f>
        <v>0</v>
      </c>
      <c r="BB49" s="155"/>
      <c r="BC49" s="33"/>
      <c r="BD49" s="33"/>
      <c r="BE49" s="156">
        <f>Tabella34[[#This Row],[rest of Italy data]]*NOT(ISBLANK(Tabella34[[#This Row],[rest of Italy data]]))</f>
        <v>0</v>
      </c>
      <c r="BF49" s="204">
        <f>Tabella8[[#This Row],[rest of Italy fit]]</f>
        <v>5.4492801872499963E-11</v>
      </c>
      <c r="BG49" s="157">
        <f>_xlfn.LOGNORM.INV(alpha*Tabella34[[#This Row],[rest of Italy cumul. Fit]]/Ko,mu_o,sigma_o)-(Tabella34[[#This Row],[Day]]-po)</f>
        <v>0.11881571104154176</v>
      </c>
      <c r="BH49" s="157">
        <f>Tabella34[[#This Row],[rest of Italy cumul. Fit]]/Ka</f>
        <v>3.6819465010871482E-16</v>
      </c>
      <c r="BI49" s="157">
        <f>IFERROR(Ko*_xlfn.LOGNORM.DIST((Tabella34[[#This Row],[Day]]-po),mu_o,sigma_o,FALSE),0)</f>
        <v>3.2395059036526822E-10</v>
      </c>
      <c r="BJ49" s="199">
        <f>Tabella34[[#This Row],[rest of Italy velocity]]/Tabella34[[#This Row],[rest of Italy cumul. Fit]]</f>
        <v>5.9448326977796926</v>
      </c>
      <c r="BK49" s="254">
        <f>(LN(Tabella34[[#This Row],[Day]]-po)-mu_o)/sigma_o</f>
        <v>-8.0643294484194303</v>
      </c>
      <c r="BL49" s="262">
        <f>EXP(mu_o+sigma_o*Tabella34[[#This Row],[x_o_alpha©+plus]])-(Tabella34[[#This Row],[Day]]-po)</f>
        <v>635.8062651357975</v>
      </c>
      <c r="BM49" s="262">
        <f>EXP(mu_o+sigma_o*Tabella34[[#This Row],[x_o_alpha©-minus]])-(Tabella34[[#This Row],[Day]]-po)</f>
        <v>-0.12081044814864761</v>
      </c>
      <c r="BN49" s="262">
        <f>-sigma_o+SQRT(sigma_o^2-2*Tabella34[[#This Row],[c_o]])</f>
        <v>7.5103660748068224</v>
      </c>
      <c r="BO49" s="262">
        <f>-sigma_o-SQRT(sigma_o^2-2*Tabella34[[#This Row],[c_o]])</f>
        <v>-8.1533388521058487</v>
      </c>
      <c r="BP49" s="262">
        <f>mu_o-LN(alpha*Ko/(Tabella34[[#This Row],[rest of Italy velocity]]*sigma_o*SQRTPI(2)))</f>
        <v>-30.617279755630079</v>
      </c>
      <c r="BQ49" s="262">
        <f>Tabella34[[#This Row],[t_alpha_o+plus]]</f>
        <v>635.8062651357975</v>
      </c>
      <c r="BR49" s="90">
        <f>IFERROR(-Ka*_xlfn.LOGNORM.DIST((Tabella34[[#This Row],[Day]]-pa),mu_a,sigma_a,FALSE)*(1+(LN((Tabella34[[#This Row],[Day]]-pa))-mu_a)/sigma_a^2)/(Tabella34[[#This Row],[Day]]-pa),0)</f>
        <v>1.8218461942811726E-9</v>
      </c>
      <c r="BS49" s="157">
        <f>Tabella34[[#This Row],[rest of Italy acc. fit]]/y_a_peak</f>
        <v>5.3914347554977991E-13</v>
      </c>
      <c r="BT49" s="156">
        <f>Tabella34[[#This Row],[rest of Italy acc. fit]]*NOT(ISBLANK(Tabella34[[#This Row],[rest of Italy data]]))</f>
        <v>0</v>
      </c>
      <c r="BU49" s="95">
        <f>Tabella34[[#This Row],[rest of Italy acc. fit]]+CIa</f>
        <v>5338.839435161839</v>
      </c>
      <c r="BV49" s="95">
        <f>MAX(Tabella34[[#This Row],[rest of Italy acc. fit]]-CIa,0)</f>
        <v>0</v>
      </c>
      <c r="BX49" s="231" t="s">
        <v>1</v>
      </c>
      <c r="BY49" s="232">
        <f>AVERAGE(Tabella34[Spain daily cases])</f>
        <v>2393.0721649484535</v>
      </c>
    </row>
    <row r="50" spans="2:79" x14ac:dyDescent="0.3">
      <c r="B50" s="281">
        <v>43873</v>
      </c>
      <c r="C50" s="4">
        <v>43</v>
      </c>
      <c r="D50" s="10">
        <f>Tabella8[[#This Row],[Spain cum. Cases]]</f>
        <v>2</v>
      </c>
      <c r="E50" s="90">
        <f>(Tabella34[[#This Row],[Spain cumul. Cases]]-D49)</f>
        <v>0</v>
      </c>
      <c r="F50" s="90">
        <f>Tabella34[[#This Row],[Spain daily cases]]-E49</f>
        <v>0</v>
      </c>
      <c r="G50" s="156">
        <f>Tabella34[[#This Row],[Spain daily cases]]*NOT(ISBLANK(Tabella34[[#This Row],[Spain daily cases]]))</f>
        <v>0</v>
      </c>
      <c r="H50" s="157">
        <f>Tabella8[[#This Row],[Spain cum. fit]]</f>
        <v>1.0942553966102273E-8</v>
      </c>
      <c r="I50" s="157">
        <f>_xlfn.LOGNORM.INV(alpha*Tabella34[[#This Row],[Spain cumul. Fit]]/Kt,mu_t,sigma_t)-(Tabella34[[#This Row],[Day]]-pt)</f>
        <v>0.21624678544127285</v>
      </c>
      <c r="J50" s="157">
        <f>Tabella34[[#This Row],[Spain fitted d.t.]]/Spain_dt_at_lockdown</f>
        <v>5.7704672940125788E-2</v>
      </c>
      <c r="K50" s="157">
        <f>Tabella34[[#This Row],[Spain cumul. Fit]]/Kf</f>
        <v>3.9080564426771833E-14</v>
      </c>
      <c r="L50" s="160"/>
      <c r="M50" s="157"/>
      <c r="N50" s="157">
        <f>IFERROR(Kt*_xlfn.LOGNORM.DIST((Tabella34[[#This Row],[Day]]-pt),mu_t,sigma_t,FALSE),0)</f>
        <v>3.5722475603691846E-8</v>
      </c>
      <c r="O50" s="157" t="e">
        <f>Kt*EXP(-0.5*Tabella34[[#This Row],[x_t]]^2)/(sigma_t*SQRTPI(2)*(Tabella34[[#This Row],[Day]]-D_bk))</f>
        <v>#NAME?</v>
      </c>
      <c r="P50" s="199">
        <f>Tabella34[[#This Row],[Spain fitted velocity]]/Tabella34[[#This Row],[Spain cumul. Fit]]</f>
        <v>3.264546440835709</v>
      </c>
      <c r="Q50" s="262">
        <f>(LN(Tabella34[[#This Row],[Day]]-pt)-mu_t)/sigma_t</f>
        <v>-7.4733793053813331</v>
      </c>
      <c r="R50" s="262">
        <f>EXP(mu_t+sigma_t*Tabella34[[#This Row],[x_t_alpha©+plus]])-(Tabella34[[#This Row],[Day]]-pt)</f>
        <v>418.52361962194891</v>
      </c>
      <c r="S50" s="262">
        <f>EXP(mu_t+sigma_t*Tabella34[[#This Row],[x_t_alpha©-minus]])-(Tabella34[[#This Row],[Day]]-pt)</f>
        <v>-0.21974817640388444</v>
      </c>
      <c r="T50" s="262">
        <f>-sigma_t+SQRT(sigma_t^2-2*Tabella34[[#This Row],[c_t]])</f>
        <v>7.0315142084479278</v>
      </c>
      <c r="U50" s="262">
        <f>-sigma_t-SQRT(sigma_t^2-2*Tabella34[[#This Row],[c_t]])</f>
        <v>-7.5689535582910947</v>
      </c>
      <c r="V50" s="262">
        <f>mu_t-LN(alpha*Kt/(Tabella34[[#This Row],[Spain fitted velocity]]*sigma_t*SQRTPI(2)))</f>
        <v>-26.61060224410317</v>
      </c>
      <c r="W50" s="262">
        <f>Tabella34[[#This Row],[Spain fitted g.r.]]/Spain_gr_at_lockdown</f>
        <v>15.754387284356277</v>
      </c>
      <c r="X50" s="262">
        <f>Tabella34[[#This Row],[t_alpha_t+plus]]</f>
        <v>418.52361962194891</v>
      </c>
      <c r="Y50" s="262">
        <f>Tabella34[[#This Row],[Spain fitted h.t.]]/Spain_ht_at_lockdown</f>
        <v>6.798566381484985</v>
      </c>
      <c r="Z50" s="90">
        <f>IFERROR(-Kf*_xlfn.LOGNORM.DIST((Tabella34[[#This Row],[Day]]-pf),mu_f,sigma_f,FALSE)*(1+(LN((Tabella34[[#This Row],[Day]]-pf))-mu_f)/sigma_f^2)/(Tabella34[[#This Row],[Day]]-pf),0)</f>
        <v>1.1051103871561197E-7</v>
      </c>
      <c r="AA50" s="90">
        <f>Tabella34[[#This Row],[Spain acc. fit]]/Spain_acc_at_lockdown</f>
        <v>3.7658508715474766E-10</v>
      </c>
      <c r="AB50" s="157">
        <f>Tabella34[[#This Row],[Spain acc. fit]]/y_f_peak</f>
        <v>1.6556789757913868E-11</v>
      </c>
      <c r="AC50" s="157">
        <f>Tabella34[[#This Row],[Colonna4]]*NOT(ISBLANK(Tabella34[[#This Row],[Spain daily cases]]))</f>
        <v>0</v>
      </c>
      <c r="AD50" s="157">
        <f>Tabella34[[#This Row],[Spain acc. fit]]*NOT(ISBLANK(Tabella34[[#This Row],[Spain daily cases]]))</f>
        <v>1.1051103871561197E-7</v>
      </c>
      <c r="AE50" s="95">
        <f>Tabella34[[#This Row],[Spain acc. fit]]+CIf</f>
        <v>2342.6884177916036</v>
      </c>
      <c r="AF50" s="95">
        <f>MAX(Tabella34[[#This Row],[Spain acc. fit]]-CIf,0)</f>
        <v>0</v>
      </c>
      <c r="AG50" s="155"/>
      <c r="AH50" s="33"/>
      <c r="AI50" s="33"/>
      <c r="AJ50" s="156">
        <f>Tabella34[[#This Row],[Lombardy data]]*NOT(ISBLANK(Tabella34[[#This Row],[Lombardy data]]))</f>
        <v>0</v>
      </c>
      <c r="AK50" s="161">
        <f>Tabella8[[#This Row],[Lombardy fit]]</f>
        <v>5.289229195701816E-2</v>
      </c>
      <c r="AL50" s="157">
        <f>_xlfn.LOGNORM.INV(alpha*Tabella34[[#This Row],[Lombardy cumul. Fit]]/Kr,mu_r,sigma_r)-(Tabella34[[#This Row],[Day]]-pr)</f>
        <v>0.57181960974528323</v>
      </c>
      <c r="AM50" s="156">
        <f>Tabella34[[#This Row],[Lombardy cumul. Fit]]/Kl</f>
        <v>6.079573788163007E-7</v>
      </c>
      <c r="AN50" s="157">
        <f>IFERROR(Kr*_xlfn.LOGNORM.DIST((Tabella34[[#This Row],[Day]]-pr),mu_r,sigma_r,FALSE),0)</f>
        <v>6.654550358259502E-2</v>
      </c>
      <c r="AO50" s="199">
        <f>Tabella34[[#This Row],[Lombardy velocity]]/Tabella34[[#This Row],[Lombardy cumul. Fit]]</f>
        <v>1.258132350110142</v>
      </c>
      <c r="AP50" s="254">
        <f>(LN(Tabella34[[#This Row],[Day]]-pr)-mu_r)/sigma_r</f>
        <v>-4.8530264346344794</v>
      </c>
      <c r="AQ50" s="262">
        <f>EXP(mu_r+sigma_r*Tabella34[[#This Row],[x_r_alpha©+plus]])-(Tabella34[[#This Row],[Day]]-pr)</f>
        <v>255.97619813604965</v>
      </c>
      <c r="AR50" s="262">
        <f>EXP(mu_r+sigma_r*Tabella34[[#This Row],[x_r_alpha©-minus]])-(Tabella34[[#This Row],[Day]]-pr)</f>
        <v>-0.59041475722646553</v>
      </c>
      <c r="AS50" s="262">
        <f>-sigma_r+SQRT(sigma_r^2-2*Tabella34[[#This Row],[c_r]])</f>
        <v>4.3232456448766925</v>
      </c>
      <c r="AT50" s="262">
        <f>-sigma_r-SQRT(sigma_r^2-2*Tabella34[[#This Row],[c_r]])</f>
        <v>-5.0041002420704217</v>
      </c>
      <c r="AU50" s="262">
        <f>mu_r-LN(alpha*Kr/(Tabella34[[#This Row],[Lombardy velocity]]*sigma_r*SQRTPI(2)))</f>
        <v>-10.816977289028678</v>
      </c>
      <c r="AV50" s="262">
        <f>Tabella34[[#This Row],[t_alpha_r+plus]]</f>
        <v>255.97619813604965</v>
      </c>
      <c r="AW50" s="90">
        <f>IFERROR(-Kl*_xlfn.LOGNORM.DIST((Tabella34[[#This Row],[Day]]-pl),mu_l,sigma_l,FALSE)*(1+(LN((Tabella34[[#This Row],[Day]]-pl))-mu_l)/sigma_l^2)/(Tabella34[[#This Row],[Day]]-pl),0)</f>
        <v>7.4895805899814663E-2</v>
      </c>
      <c r="AX50" s="157">
        <f>Tabella34[[#This Row],[Lombardy acc. fit]]/y_l_peak</f>
        <v>4.2603950834938222E-5</v>
      </c>
      <c r="AY50" s="157">
        <f>Tabella34[[#This Row],[Lombardy acc. fit]]*NOT(ISBLANK(Tabella34[[#This Row],[Lombardy data]]))</f>
        <v>0</v>
      </c>
      <c r="AZ50" s="95">
        <f>Tabella34[[#This Row],[Lombardy acc. fit]]+CIl</f>
        <v>2570.4572187223084</v>
      </c>
      <c r="BA50" s="95">
        <f>MAX(Tabella34[[#This Row],[Lombardy acc. fit]]-CIl,0)</f>
        <v>0</v>
      </c>
      <c r="BB50" s="155"/>
      <c r="BC50" s="33"/>
      <c r="BD50" s="33"/>
      <c r="BE50" s="156">
        <f>Tabella34[[#This Row],[rest of Italy data]]*NOT(ISBLANK(Tabella34[[#This Row],[rest of Italy data]]))</f>
        <v>0</v>
      </c>
      <c r="BF50" s="204">
        <f>Tabella8[[#This Row],[rest of Italy fit]]</f>
        <v>9.2374410644758984E-9</v>
      </c>
      <c r="BG50" s="157">
        <f>_xlfn.LOGNORM.INV(alpha*Tabella34[[#This Row],[rest of Italy cumul. Fit]]/Ko,mu_o,sigma_o)-(Tabella34[[#This Row],[Day]]-po)</f>
        <v>0.15938455739625468</v>
      </c>
      <c r="BH50" s="157">
        <f>Tabella34[[#This Row],[rest of Italy cumul. Fit]]/Ka</f>
        <v>6.2415149593381372E-14</v>
      </c>
      <c r="BI50" s="157">
        <f>IFERROR(Ko*_xlfn.LOGNORM.DIST((Tabella34[[#This Row],[Day]]-po),mu_o,sigma_o,FALSE),0)</f>
        <v>4.1023020044640386E-8</v>
      </c>
      <c r="BJ50" s="199">
        <f>Tabella34[[#This Row],[rest of Italy velocity]]/Tabella34[[#This Row],[rest of Italy cumul. Fit]]</f>
        <v>4.440950665699094</v>
      </c>
      <c r="BK50" s="254">
        <f>(LN(Tabella34[[#This Row],[Day]]-po)-mu_o)/sigma_o</f>
        <v>-7.4115515049621266</v>
      </c>
      <c r="BL50" s="262">
        <f>EXP(mu_o+sigma_o*Tabella34[[#This Row],[x_o_alpha©+plus]])-(Tabella34[[#This Row],[Day]]-po)</f>
        <v>514.98758766762194</v>
      </c>
      <c r="BM50" s="262">
        <f>EXP(mu_o+sigma_o*Tabella34[[#This Row],[x_o_alpha©-minus]])-(Tabella34[[#This Row],[Day]]-po)</f>
        <v>-0.16235250145924063</v>
      </c>
      <c r="BN50" s="262">
        <f>-sigma_o+SQRT(sigma_o^2-2*Tabella34[[#This Row],[c_o]])</f>
        <v>6.8656770097068156</v>
      </c>
      <c r="BO50" s="262">
        <f>-sigma_o-SQRT(sigma_o^2-2*Tabella34[[#This Row],[c_o]])</f>
        <v>-7.5086497870058411</v>
      </c>
      <c r="BP50" s="262">
        <f>mu_o-LN(alpha*Ko/(Tabella34[[#This Row],[rest of Italy velocity]]*sigma_o*SQRTPI(2)))</f>
        <v>-25.775982108292993</v>
      </c>
      <c r="BQ50" s="262">
        <f>Tabella34[[#This Row],[t_alpha_o+plus]]</f>
        <v>514.98758766762194</v>
      </c>
      <c r="BR50" s="90">
        <f>IFERROR(-Ka*_xlfn.LOGNORM.DIST((Tabella34[[#This Row],[Day]]-pa),mu_a,sigma_a,FALSE)*(1+(LN((Tabella34[[#This Row],[Day]]-pa))-mu_a)/sigma_a^2)/(Tabella34[[#This Row],[Day]]-pa),0)</f>
        <v>1.7126539780957474E-7</v>
      </c>
      <c r="BS50" s="157">
        <f>Tabella34[[#This Row],[rest of Italy acc. fit]]/y_a_peak</f>
        <v>5.0682995143232776E-11</v>
      </c>
      <c r="BT50" s="156">
        <f>Tabella34[[#This Row],[rest of Italy acc. fit]]*NOT(ISBLANK(Tabella34[[#This Row],[rest of Italy data]]))</f>
        <v>0</v>
      </c>
      <c r="BU50" s="95">
        <f>Tabella34[[#This Row],[rest of Italy acc. fit]]+CIa</f>
        <v>5338.8394353312824</v>
      </c>
      <c r="BV50" s="95">
        <f>MAX(Tabella34[[#This Row],[rest of Italy acc. fit]]-CIa,0)</f>
        <v>0</v>
      </c>
      <c r="BX50" s="231" t="s">
        <v>2</v>
      </c>
      <c r="BY50" s="233">
        <f>COUNT(Tabella34[Spain daily cases])-COUNT(BY46:BY48)</f>
        <v>94</v>
      </c>
      <c r="BZ50" s="6"/>
      <c r="CA50" s="6"/>
    </row>
    <row r="51" spans="2:79" x14ac:dyDescent="0.3">
      <c r="B51" s="281">
        <v>43874</v>
      </c>
      <c r="C51" s="4">
        <v>44</v>
      </c>
      <c r="D51" s="10">
        <f>Tabella8[[#This Row],[Spain cum. Cases]]</f>
        <v>2</v>
      </c>
      <c r="E51" s="90">
        <f>(Tabella34[[#This Row],[Spain cumul. Cases]]-D50)</f>
        <v>0</v>
      </c>
      <c r="F51" s="90">
        <f>Tabella34[[#This Row],[Spain daily cases]]-E50</f>
        <v>0</v>
      </c>
      <c r="G51" s="156">
        <f>Tabella34[[#This Row],[Spain daily cases]]*NOT(ISBLANK(Tabella34[[#This Row],[Spain daily cases]]))</f>
        <v>0</v>
      </c>
      <c r="H51" s="157">
        <f>Tabella8[[#This Row],[Spain cum. fit]]</f>
        <v>2.2163279682573175E-7</v>
      </c>
      <c r="I51" s="157">
        <f>_xlfn.LOGNORM.INV(alpha*Tabella34[[#This Row],[Spain cumul. Fit]]/Kt,mu_t,sigma_t)-(Tabella34[[#This Row],[Day]]-pt)</f>
        <v>0.254921775371173</v>
      </c>
      <c r="J51" s="157">
        <f>Tabella34[[#This Row],[Spain fitted d.t.]]/Spain_dt_at_lockdown</f>
        <v>6.802495418876256E-2</v>
      </c>
      <c r="K51" s="157">
        <f>Tabella34[[#This Row],[Spain cumul. Fit]]/Kf</f>
        <v>7.9154599760396443E-13</v>
      </c>
      <c r="L51" s="160"/>
      <c r="M51" s="157"/>
      <c r="N51" s="157">
        <f>IFERROR(Kt*_xlfn.LOGNORM.DIST((Tabella34[[#This Row],[Day]]-pt),mu_t,sigma_t,FALSE),0)</f>
        <v>6.1460170659573527E-7</v>
      </c>
      <c r="O51" s="157" t="e">
        <f>Kt*EXP(-0.5*Tabella34[[#This Row],[x_t]]^2)/(sigma_t*SQRTPI(2)*(Tabella34[[#This Row],[Day]]-D_bk))</f>
        <v>#NAME?</v>
      </c>
      <c r="P51" s="199">
        <f>Tabella34[[#This Row],[Spain fitted velocity]]/Tabella34[[#This Row],[Spain cumul. Fit]]</f>
        <v>2.7730629915706571</v>
      </c>
      <c r="Q51" s="262">
        <f>(LN(Tabella34[[#This Row],[Day]]-pt)-mu_t)/sigma_t</f>
        <v>-7.067008552037418</v>
      </c>
      <c r="R51" s="262">
        <f>EXP(mu_t+sigma_t*Tabella34[[#This Row],[x_t_alpha©+plus]])-(Tabella34[[#This Row],[Day]]-pt)</f>
        <v>373.91135120328062</v>
      </c>
      <c r="S51" s="262">
        <f>EXP(mu_t+sigma_t*Tabella34[[#This Row],[x_t_alpha©-minus]])-(Tabella34[[#This Row],[Day]]-pt)</f>
        <v>-0.25935059312029729</v>
      </c>
      <c r="T51" s="262">
        <f>-sigma_t+SQRT(sigma_t^2-2*Tabella34[[#This Row],[c_t]])</f>
        <v>6.6307749455442355</v>
      </c>
      <c r="U51" s="262">
        <f>-sigma_t-SQRT(sigma_t^2-2*Tabella34[[#This Row],[c_t]])</f>
        <v>-7.1682142953874024</v>
      </c>
      <c r="V51" s="262">
        <f>mu_t-LN(alpha*Kt/(Tabella34[[#This Row],[Spain fitted velocity]]*sigma_t*SQRTPI(2)))</f>
        <v>-23.765407877073407</v>
      </c>
      <c r="W51" s="262">
        <f>Tabella34[[#This Row],[Spain fitted g.r.]]/Spain_gr_at_lockdown</f>
        <v>13.382535407257318</v>
      </c>
      <c r="X51" s="262">
        <f>Tabella34[[#This Row],[t_alpha_t+plus]]</f>
        <v>373.91135120328062</v>
      </c>
      <c r="Y51" s="262">
        <f>Tabella34[[#This Row],[Spain fitted h.t.]]/Spain_ht_at_lockdown</f>
        <v>6.0738773697945287</v>
      </c>
      <c r="Z51" s="90">
        <f>IFERROR(-Kf*_xlfn.LOGNORM.DIST((Tabella34[[#This Row],[Day]]-pf),mu_f,sigma_f,FALSE)*(1+(LN((Tabella34[[#This Row],[Day]]-pf))-mu_f)/sigma_f^2)/(Tabella34[[#This Row],[Day]]-pf),0)</f>
        <v>1.6084928818651373E-6</v>
      </c>
      <c r="AA51" s="90">
        <f>Tabella34[[#This Row],[Spain acc. fit]]/Spain_acc_at_lockdown</f>
        <v>5.4812120051080596E-9</v>
      </c>
      <c r="AB51" s="157">
        <f>Tabella34[[#This Row],[Spain acc. fit]]/y_f_peak</f>
        <v>2.4098478108304869E-10</v>
      </c>
      <c r="AC51" s="157">
        <f>Tabella34[[#This Row],[Colonna4]]*NOT(ISBLANK(Tabella34[[#This Row],[Spain daily cases]]))</f>
        <v>0</v>
      </c>
      <c r="AD51" s="157">
        <f>Tabella34[[#This Row],[Spain acc. fit]]*NOT(ISBLANK(Tabella34[[#This Row],[Spain daily cases]]))</f>
        <v>1.6084928818651373E-6</v>
      </c>
      <c r="AE51" s="95">
        <f>Tabella34[[#This Row],[Spain acc. fit]]+CIf</f>
        <v>2342.6884192895855</v>
      </c>
      <c r="AF51" s="95">
        <f>MAX(Tabella34[[#This Row],[Spain acc. fit]]-CIf,0)</f>
        <v>0</v>
      </c>
      <c r="AG51" s="155"/>
      <c r="AH51" s="33"/>
      <c r="AI51" s="33"/>
      <c r="AJ51" s="156">
        <f>Tabella34[[#This Row],[Lombardy data]]*NOT(ISBLANK(Tabella34[[#This Row],[Lombardy data]]))</f>
        <v>0</v>
      </c>
      <c r="AK51" s="161">
        <f>Tabella8[[#This Row],[Lombardy fit]]</f>
        <v>0.17211805434560609</v>
      </c>
      <c r="AL51" s="157">
        <f>_xlfn.LOGNORM.INV(alpha*Tabella34[[#This Row],[Lombardy cumul. Fit]]/Kr,mu_r,sigma_r)-(Tabella34[[#This Row],[Day]]-pr)</f>
        <v>0.6517301900560355</v>
      </c>
      <c r="AM51" s="156">
        <f>Tabella34[[#This Row],[Lombardy cumul. Fit]]/Kl</f>
        <v>1.978368440754093E-6</v>
      </c>
      <c r="AN51" s="157">
        <f>IFERROR(Kr*_xlfn.LOGNORM.DIST((Tabella34[[#This Row],[Day]]-pr),mu_r,sigma_r,FALSE),0)</f>
        <v>0.19046709521624131</v>
      </c>
      <c r="AO51" s="199">
        <f>Tabella34[[#This Row],[Lombardy velocity]]/Tabella34[[#This Row],[Lombardy cumul. Fit]]</f>
        <v>1.1066072989286242</v>
      </c>
      <c r="AP51" s="254">
        <f>(LN(Tabella34[[#This Row],[Day]]-pr)-mu_r)/sigma_r</f>
        <v>-4.6136420154627276</v>
      </c>
      <c r="AQ51" s="262">
        <f>EXP(mu_r+sigma_r*Tabella34[[#This Row],[x_r_alpha©+plus]])-(Tabella34[[#This Row],[Day]]-pr)</f>
        <v>234.70863856603356</v>
      </c>
      <c r="AR51" s="262">
        <f>EXP(mu_r+sigma_r*Tabella34[[#This Row],[x_r_alpha©-minus]])-(Tabella34[[#This Row],[Day]]-pr)</f>
        <v>-0.67424054719382909</v>
      </c>
      <c r="AS51" s="262">
        <f>-sigma_r+SQRT(sigma_r^2-2*Tabella34[[#This Row],[c_r]])</f>
        <v>4.0920278199078783</v>
      </c>
      <c r="AT51" s="262">
        <f>-sigma_r-SQRT(sigma_r^2-2*Tabella34[[#This Row],[c_r]])</f>
        <v>-4.7728824171016075</v>
      </c>
      <c r="AU51" s="262">
        <f>mu_r-LN(alpha*Kr/(Tabella34[[#This Row],[Lombardy velocity]]*sigma_r*SQRTPI(2)))</f>
        <v>-9.7653838159644692</v>
      </c>
      <c r="AV51" s="262">
        <f>Tabella34[[#This Row],[t_alpha_r+plus]]</f>
        <v>234.70863856603356</v>
      </c>
      <c r="AW51" s="90">
        <f>IFERROR(-Kl*_xlfn.LOGNORM.DIST((Tabella34[[#This Row],[Day]]-pl),mu_l,sigma_l,FALSE)*(1+(LN((Tabella34[[#This Row],[Day]]-pl))-mu_l)/sigma_l^2)/(Tabella34[[#This Row],[Day]]-pl),0)</f>
        <v>0.1871090285506507</v>
      </c>
      <c r="AX51" s="157">
        <f>Tabella34[[#This Row],[Lombardy acc. fit]]/y_l_peak</f>
        <v>1.0643565093362193E-4</v>
      </c>
      <c r="AY51" s="157">
        <f>Tabella34[[#This Row],[Lombardy acc. fit]]*NOT(ISBLANK(Tabella34[[#This Row],[Lombardy data]]))</f>
        <v>0</v>
      </c>
      <c r="AZ51" s="95">
        <f>Tabella34[[#This Row],[Lombardy acc. fit]]+CIl</f>
        <v>2570.5694319449594</v>
      </c>
      <c r="BA51" s="95">
        <f>MAX(Tabella34[[#This Row],[Lombardy acc. fit]]-CIl,0)</f>
        <v>0</v>
      </c>
      <c r="BB51" s="155"/>
      <c r="BC51" s="33"/>
      <c r="BD51" s="33"/>
      <c r="BE51" s="156">
        <f>Tabella34[[#This Row],[rest of Italy data]]*NOT(ISBLANK(Tabella34[[#This Row],[rest of Italy data]]))</f>
        <v>0</v>
      </c>
      <c r="BF51" s="204">
        <f>Tabella8[[#This Row],[rest of Italy fit]]</f>
        <v>4.6753772985919447E-7</v>
      </c>
      <c r="BG51" s="157">
        <f>_xlfn.LOGNORM.INV(alpha*Tabella34[[#This Row],[rest of Italy cumul. Fit]]/Ko,mu_o,sigma_o)-(Tabella34[[#This Row],[Day]]-po)</f>
        <v>0.20430223599705588</v>
      </c>
      <c r="BH51" s="157">
        <f>Tabella34[[#This Row],[rest of Italy cumul. Fit]]/Ka</f>
        <v>3.1590390830133224E-12</v>
      </c>
      <c r="BI51" s="157">
        <f>IFERROR(Ko*_xlfn.LOGNORM.DIST((Tabella34[[#This Row],[Day]]-po),mu_o,sigma_o,FALSE),0)</f>
        <v>1.6231958919947614E-6</v>
      </c>
      <c r="BJ51" s="199">
        <f>Tabella34[[#This Row],[rest of Italy velocity]]/Tabella34[[#This Row],[rest of Italy cumul. Fit]]</f>
        <v>3.4717965809595936</v>
      </c>
      <c r="BK51" s="254">
        <f>(LN(Tabella34[[#This Row],[Day]]-po)-mu_o)/sigma_o</f>
        <v>-6.8722867661179325</v>
      </c>
      <c r="BL51" s="262">
        <f>EXP(mu_o+sigma_o*Tabella34[[#This Row],[x_o_alpha©+plus]])-(Tabella34[[#This Row],[Day]]-po)</f>
        <v>432.28443316007321</v>
      </c>
      <c r="BM51" s="262">
        <f>EXP(mu_o+sigma_o*Tabella34[[#This Row],[x_o_alpha©-minus]])-(Tabella34[[#This Row],[Day]]-po)</f>
        <v>-0.20847707005788951</v>
      </c>
      <c r="BN51" s="262">
        <f>-sigma_o+SQRT(sigma_o^2-2*Tabella34[[#This Row],[c_o]])</f>
        <v>6.3342840360691968</v>
      </c>
      <c r="BO51" s="262">
        <f>-sigma_o-SQRT(sigma_o^2-2*Tabella34[[#This Row],[c_o]])</f>
        <v>-6.9772568133682222</v>
      </c>
      <c r="BP51" s="262">
        <f>mu_o-LN(alpha*Ko/(Tabella34[[#This Row],[rest of Italy velocity]]*sigma_o*SQRTPI(2)))</f>
        <v>-22.097963224236683</v>
      </c>
      <c r="BQ51" s="262">
        <f>Tabella34[[#This Row],[t_alpha_o+plus]]</f>
        <v>432.28443316007321</v>
      </c>
      <c r="BR51" s="90">
        <f>IFERROR(-Ka*_xlfn.LOGNORM.DIST((Tabella34[[#This Row],[Day]]-pa),mu_a,sigma_a,FALSE)*(1+(LN((Tabella34[[#This Row],[Day]]-pa))-mu_a)/sigma_a^2)/(Tabella34[[#This Row],[Day]]-pa),0)</f>
        <v>5.2645961155145335E-6</v>
      </c>
      <c r="BS51" s="157">
        <f>Tabella34[[#This Row],[rest of Italy acc. fit]]/y_a_peak</f>
        <v>1.5579650225107416E-9</v>
      </c>
      <c r="BT51" s="156">
        <f>Tabella34[[#This Row],[rest of Italy acc. fit]]*NOT(ISBLANK(Tabella34[[#This Row],[rest of Italy data]]))</f>
        <v>0</v>
      </c>
      <c r="BU51" s="95">
        <f>Tabella34[[#This Row],[rest of Italy acc. fit]]+CIa</f>
        <v>5338.8394404246137</v>
      </c>
      <c r="BV51" s="95">
        <f>MAX(Tabella34[[#This Row],[rest of Italy acc. fit]]-CIa,0)</f>
        <v>0</v>
      </c>
      <c r="BX51" s="231" t="s">
        <v>3</v>
      </c>
      <c r="BY51" s="232" cm="1">
        <f t="array" ref="BY51">SQRT(SUM((Tabella34[Colonna1]-Tabella34[Colonna22])^2)/dff)</f>
        <v>3791.1197046275825</v>
      </c>
    </row>
    <row r="52" spans="2:79" ht="16.2" x14ac:dyDescent="0.3">
      <c r="B52" s="281">
        <v>43875</v>
      </c>
      <c r="C52" s="4">
        <v>45</v>
      </c>
      <c r="D52" s="10">
        <f>Tabella8[[#This Row],[Spain cum. Cases]]</f>
        <v>2</v>
      </c>
      <c r="E52" s="90">
        <f>(Tabella34[[#This Row],[Spain cumul. Cases]]-D51)</f>
        <v>0</v>
      </c>
      <c r="F52" s="90">
        <f>Tabella34[[#This Row],[Spain daily cases]]-E51</f>
        <v>0</v>
      </c>
      <c r="G52" s="156">
        <f>Tabella34[[#This Row],[Spain daily cases]]*NOT(ISBLANK(Tabella34[[#This Row],[Spain daily cases]]))</f>
        <v>0</v>
      </c>
      <c r="H52" s="157">
        <f>Tabella8[[#This Row],[Spain cum. fit]]</f>
        <v>2.9043852103089976E-6</v>
      </c>
      <c r="I52" s="157">
        <f>_xlfn.LOGNORM.INV(alpha*Tabella34[[#This Row],[Spain cumul. Fit]]/Kt,mu_t,sigma_t)-(Tabella34[[#This Row],[Day]]-pt)</f>
        <v>0.29648240293743555</v>
      </c>
      <c r="J52" s="157">
        <f>Tabella34[[#This Row],[Spain fitted d.t.]]/Spain_dt_at_lockdown</f>
        <v>7.9115257408779019E-2</v>
      </c>
      <c r="K52" s="157">
        <f>Tabella34[[#This Row],[Spain cumul. Fit]]/Kf</f>
        <v>1.0372808183835205E-11</v>
      </c>
      <c r="L52" s="160"/>
      <c r="M52" s="157"/>
      <c r="N52" s="157">
        <f>IFERROR(Kt*_xlfn.LOGNORM.DIST((Tabella34[[#This Row],[Day]]-pt),mu_t,sigma_t,FALSE),0)</f>
        <v>6.9347676308816645E-6</v>
      </c>
      <c r="O52" s="157" t="e">
        <f>Kt*EXP(-0.5*Tabella34[[#This Row],[x_t]]^2)/(sigma_t*SQRTPI(2)*(Tabella34[[#This Row],[Day]]-D_bk))</f>
        <v>#NAME?</v>
      </c>
      <c r="P52" s="199">
        <f>Tabella34[[#This Row],[Spain fitted velocity]]/Tabella34[[#This Row],[Spain cumul. Fit]]</f>
        <v>2.3876886599845597</v>
      </c>
      <c r="Q52" s="262">
        <f>(LN(Tabella34[[#This Row],[Day]]-pt)-mu_t)/sigma_t</f>
        <v>-6.7006769865560472</v>
      </c>
      <c r="R52" s="262">
        <f>EXP(mu_t+sigma_t*Tabella34[[#This Row],[x_t_alpha©+plus]])-(Tabella34[[#This Row],[Day]]-pt)</f>
        <v>337.48104092108088</v>
      </c>
      <c r="S52" s="262">
        <f>EXP(mu_t+sigma_t*Tabella34[[#This Row],[x_t_alpha©-minus]])-(Tabella34[[#This Row],[Day]]-pt)</f>
        <v>-0.30199081571258901</v>
      </c>
      <c r="T52" s="262">
        <f>-sigma_t+SQRT(sigma_t^2-2*Tabella34[[#This Row],[c_t]])</f>
        <v>6.2701157886612044</v>
      </c>
      <c r="U52" s="262">
        <f>-sigma_t-SQRT(sigma_t^2-2*Tabella34[[#This Row],[c_t]])</f>
        <v>-6.8075551385043713</v>
      </c>
      <c r="V52" s="262">
        <f>mu_t-LN(alpha*Kt/(Tabella34[[#This Row],[Spain fitted velocity]]*sigma_t*SQRTPI(2)))</f>
        <v>-21.342079478058988</v>
      </c>
      <c r="W52" s="262">
        <f>Tabella34[[#This Row],[Spain fitted g.r.]]/Spain_gr_at_lockdown</f>
        <v>11.522755931213757</v>
      </c>
      <c r="X52" s="262">
        <f>Tabella34[[#This Row],[t_alpha_t+plus]]</f>
        <v>337.48104092108088</v>
      </c>
      <c r="Y52" s="262">
        <f>Tabella34[[#This Row],[Spain fitted h.t.]]/Spain_ht_at_lockdown</f>
        <v>5.4820974292135096</v>
      </c>
      <c r="Z52" s="90">
        <f>IFERROR(-Kf*_xlfn.LOGNORM.DIST((Tabella34[[#This Row],[Day]]-pf),mu_f,sigma_f,FALSE)*(1+(LN((Tabella34[[#This Row],[Day]]-pf))-mu_f)/sigma_f^2)/(Tabella34[[#This Row],[Day]]-pf),0)</f>
        <v>1.5561400052519099E-5</v>
      </c>
      <c r="AA52" s="90">
        <f>Tabella34[[#This Row],[Spain acc. fit]]/Spain_acc_at_lockdown</f>
        <v>5.3028107084472876E-8</v>
      </c>
      <c r="AB52" s="157">
        <f>Tabella34[[#This Row],[Spain acc. fit]]/y_f_peak</f>
        <v>2.3314126082135051E-9</v>
      </c>
      <c r="AC52" s="157">
        <f>Tabella34[[#This Row],[Colonna4]]*NOT(ISBLANK(Tabella34[[#This Row],[Spain daily cases]]))</f>
        <v>0</v>
      </c>
      <c r="AD52" s="157">
        <f>Tabella34[[#This Row],[Spain acc. fit]]*NOT(ISBLANK(Tabella34[[#This Row],[Spain daily cases]]))</f>
        <v>1.5561400052519099E-5</v>
      </c>
      <c r="AE52" s="95">
        <f>Tabella34[[#This Row],[Spain acc. fit]]+CIf</f>
        <v>2342.6884332424929</v>
      </c>
      <c r="AF52" s="95">
        <f>MAX(Tabella34[[#This Row],[Spain acc. fit]]-CIf,0)</f>
        <v>0</v>
      </c>
      <c r="AG52" s="155"/>
      <c r="AH52" s="33"/>
      <c r="AI52" s="33"/>
      <c r="AJ52" s="156">
        <f>Tabella34[[#This Row],[Lombardy data]]*NOT(ISBLANK(Tabella34[[#This Row],[Lombardy data]]))</f>
        <v>0</v>
      </c>
      <c r="AK52" s="161">
        <f>Tabella8[[#This Row],[Lombardy fit]]</f>
        <v>0.48787673256248693</v>
      </c>
      <c r="AL52" s="157">
        <f>_xlfn.LOGNORM.INV(alpha*Tabella34[[#This Row],[Lombardy cumul. Fit]]/Kr,mu_r,sigma_r)-(Tabella34[[#This Row],[Day]]-pr)</f>
        <v>0.73712131308413475</v>
      </c>
      <c r="AM52" s="156">
        <f>Tabella34[[#This Row],[Lombardy cumul. Fit]]/Kl</f>
        <v>5.6077785352009989E-6</v>
      </c>
      <c r="AN52" s="157">
        <f>IFERROR(Kr*_xlfn.LOGNORM.DIST((Tabella34[[#This Row],[Day]]-pr),mu_r,sigma_r,FALSE),0)</f>
        <v>0.47857256012040816</v>
      </c>
      <c r="AO52" s="199">
        <f>Tabella34[[#This Row],[Lombardy velocity]]/Tabella34[[#This Row],[Lombardy cumul. Fit]]</f>
        <v>0.98092925564781452</v>
      </c>
      <c r="AP52" s="254">
        <f>(LN(Tabella34[[#This Row],[Day]]-pr)-mu_r)/sigma_r</f>
        <v>-4.3923043004693545</v>
      </c>
      <c r="AQ52" s="262">
        <f>EXP(mu_r+sigma_r*Tabella34[[#This Row],[x_r_alpha©+plus]])-(Tabella34[[#This Row],[Day]]-pr)</f>
        <v>216.40018308413929</v>
      </c>
      <c r="AR52" s="262">
        <f>EXP(mu_r+sigma_r*Tabella34[[#This Row],[x_r_alpha©-minus]])-(Tabella34[[#This Row],[Day]]-pr)</f>
        <v>-0.7641028392896736</v>
      </c>
      <c r="AS52" s="262">
        <f>-sigma_r+SQRT(sigma_r^2-2*Tabella34[[#This Row],[c_r]])</f>
        <v>3.8790515317118119</v>
      </c>
      <c r="AT52" s="262">
        <f>-sigma_r-SQRT(sigma_r^2-2*Tabella34[[#This Row],[c_r]])</f>
        <v>-4.5599061289055411</v>
      </c>
      <c r="AU52" s="262">
        <f>mu_r-LN(alpha*Kr/(Tabella34[[#This Row],[Lombardy velocity]]*sigma_r*SQRTPI(2)))</f>
        <v>-8.8440554268965599</v>
      </c>
      <c r="AV52" s="262">
        <f>Tabella34[[#This Row],[t_alpha_r+plus]]</f>
        <v>216.40018308413929</v>
      </c>
      <c r="AW52" s="90">
        <f>IFERROR(-Kl*_xlfn.LOGNORM.DIST((Tabella34[[#This Row],[Day]]-pl),mu_l,sigma_l,FALSE)*(1+(LN((Tabella34[[#This Row],[Day]]-pl))-mu_l)/sigma_l^2)/(Tabella34[[#This Row],[Day]]-pl),0)</f>
        <v>0.413428382823192</v>
      </c>
      <c r="AX52" s="157">
        <f>Tabella34[[#This Row],[Lombardy acc. fit]]/y_l_peak</f>
        <v>2.3517581904557456E-4</v>
      </c>
      <c r="AY52" s="157">
        <f>Tabella34[[#This Row],[Lombardy acc. fit]]*NOT(ISBLANK(Tabella34[[#This Row],[Lombardy data]]))</f>
        <v>0</v>
      </c>
      <c r="AZ52" s="95">
        <f>Tabella34[[#This Row],[Lombardy acc. fit]]+CIl</f>
        <v>2570.7957512992316</v>
      </c>
      <c r="BA52" s="95">
        <f>MAX(Tabella34[[#This Row],[Lombardy acc. fit]]-CIl,0)</f>
        <v>0</v>
      </c>
      <c r="BB52" s="155"/>
      <c r="BC52" s="33"/>
      <c r="BD52" s="33"/>
      <c r="BE52" s="156">
        <f>Tabella34[[#This Row],[rest of Italy data]]*NOT(ISBLANK(Tabella34[[#This Row],[rest of Italy data]]))</f>
        <v>0</v>
      </c>
      <c r="BF52" s="204">
        <f>Tabella8[[#This Row],[rest of Italy fit]]</f>
        <v>1.0569392149442228E-5</v>
      </c>
      <c r="BG52" s="157">
        <f>_xlfn.LOGNORM.INV(alpha*Tabella34[[#This Row],[rest of Italy cumul. Fit]]/Ko,mu_o,sigma_o)-(Tabella34[[#This Row],[Day]]-po)</f>
        <v>0.25360241307231313</v>
      </c>
      <c r="BH52" s="157">
        <f>Tabella34[[#This Row],[rest of Italy cumul. Fit]]/Ka</f>
        <v>7.1414820134062305E-11</v>
      </c>
      <c r="BI52" s="157">
        <f>IFERROR(Ko*_xlfn.LOGNORM.DIST((Tabella34[[#This Row],[Day]]-po),mu_o,sigma_o,FALSE),0)</f>
        <v>2.9623586544402733E-5</v>
      </c>
      <c r="BJ52" s="199">
        <f>Tabella34[[#This Row],[rest of Italy velocity]]/Tabella34[[#This Row],[rest of Italy cumul. Fit]]</f>
        <v>2.8027710700436108</v>
      </c>
      <c r="BK52" s="254">
        <f>(LN(Tabella34[[#This Row],[Day]]-po)-mu_o)/sigma_o</f>
        <v>-6.4128440180625423</v>
      </c>
      <c r="BL52" s="262">
        <f>EXP(mu_o+sigma_o*Tabella34[[#This Row],[x_o_alpha©+plus]])-(Tabella34[[#This Row],[Day]]-po)</f>
        <v>372.01030242529862</v>
      </c>
      <c r="BM52" s="262">
        <f>EXP(mu_o+sigma_o*Tabella34[[#This Row],[x_o_alpha©-minus]])-(Tabella34[[#This Row],[Day]]-po)</f>
        <v>-0.25924530125179501</v>
      </c>
      <c r="BN52" s="262">
        <f>-sigma_o+SQRT(sigma_o^2-2*Tabella34[[#This Row],[c_o]])</f>
        <v>5.8826196815694836</v>
      </c>
      <c r="BO52" s="262">
        <f>-sigma_o-SQRT(sigma_o^2-2*Tabella34[[#This Row],[c_o]])</f>
        <v>-6.525592458868509</v>
      </c>
      <c r="BP52" s="262">
        <f>mu_o-LN(alpha*Ko/(Tabella34[[#This Row],[rest of Italy velocity]]*sigma_o*SQRTPI(2)))</f>
        <v>-19.193789316220649</v>
      </c>
      <c r="BQ52" s="262">
        <f>Tabella34[[#This Row],[t_alpha_o+plus]]</f>
        <v>372.01030242529862</v>
      </c>
      <c r="BR52" s="90">
        <f>IFERROR(-Ka*_xlfn.LOGNORM.DIST((Tabella34[[#This Row],[Day]]-pa),mu_a,sigma_a,FALSE)*(1+(LN((Tabella34[[#This Row],[Day]]-pa))-mu_a)/sigma_a^2)/(Tabella34[[#This Row],[Day]]-pa),0)</f>
        <v>7.707334468850613E-5</v>
      </c>
      <c r="BS52" s="157">
        <f>Tabella34[[#This Row],[rest of Italy acc. fit]]/y_a_peak</f>
        <v>2.2808506589659035E-8</v>
      </c>
      <c r="BT52" s="156">
        <f>Tabella34[[#This Row],[rest of Italy acc. fit]]*NOT(ISBLANK(Tabella34[[#This Row],[rest of Italy data]]))</f>
        <v>0</v>
      </c>
      <c r="BU52" s="95">
        <f>Tabella34[[#This Row],[rest of Italy acc. fit]]+CIa</f>
        <v>5338.8395122333623</v>
      </c>
      <c r="BV52" s="95">
        <f>MAX(Tabella34[[#This Row],[rest of Italy acc. fit]]-CIa,0)</f>
        <v>0</v>
      </c>
      <c r="BX52" s="231" t="s">
        <v>4023</v>
      </c>
      <c r="BY52" s="234" cm="1">
        <f t="array" ref="BY52">1-SUM((Tabella34[Colonna1]-Tabella34[Colonna22])^2)/SUM((Tabella34[Colonna1]-Mean_of_yf)^2)</f>
        <v>-6.8483075090107093E-2</v>
      </c>
    </row>
    <row r="53" spans="2:79" x14ac:dyDescent="0.3">
      <c r="B53" s="281">
        <v>43876</v>
      </c>
      <c r="C53" s="4">
        <v>46</v>
      </c>
      <c r="D53" s="10">
        <f>Tabella8[[#This Row],[Spain cum. Cases]]</f>
        <v>2</v>
      </c>
      <c r="E53" s="90">
        <f>(Tabella34[[#This Row],[Spain cumul. Cases]]-D52)</f>
        <v>0</v>
      </c>
      <c r="F53" s="90">
        <f>Tabella34[[#This Row],[Spain daily cases]]-E52</f>
        <v>0</v>
      </c>
      <c r="G53" s="156">
        <f>Tabella34[[#This Row],[Spain daily cases]]*NOT(ISBLANK(Tabella34[[#This Row],[Spain daily cases]]))</f>
        <v>0</v>
      </c>
      <c r="H53" s="157">
        <f>Tabella8[[#This Row],[Spain cum. fit]]</f>
        <v>2.695184938652669E-5</v>
      </c>
      <c r="I53" s="157">
        <f>_xlfn.LOGNORM.INV(alpha*Tabella34[[#This Row],[Spain cumul. Fit]]/Kt,mu_t,sigma_t)-(Tabella34[[#This Row],[Day]]-pt)</f>
        <v>0.34102088186380541</v>
      </c>
      <c r="J53" s="157">
        <f>Tabella34[[#This Row],[Spain fitted d.t.]]/Spain_dt_at_lockdown</f>
        <v>9.1000189498994175E-2</v>
      </c>
      <c r="K53" s="157">
        <f>Tabella34[[#This Row],[Spain cumul. Fit]]/Kf</f>
        <v>9.6256640783649649E-11</v>
      </c>
      <c r="L53" s="160"/>
      <c r="M53" s="157"/>
      <c r="N53" s="157">
        <f>IFERROR(Kt*_xlfn.LOGNORM.DIST((Tabella34[[#This Row],[Day]]-pt),mu_t,sigma_t,FALSE),0)</f>
        <v>5.6028997754196503E-5</v>
      </c>
      <c r="O53" s="157" t="e">
        <f>Kt*EXP(-0.5*Tabella34[[#This Row],[x_t]]^2)/(sigma_t*SQRTPI(2)*(Tabella34[[#This Row],[Day]]-D_bk))</f>
        <v>#NAME?</v>
      </c>
      <c r="P53" s="199">
        <f>Tabella34[[#This Row],[Spain fitted velocity]]/Tabella34[[#This Row],[Spain cumul. Fit]]</f>
        <v>2.0788554043421437</v>
      </c>
      <c r="Q53" s="262">
        <f>(LN(Tabella34[[#This Row],[Day]]-pt)-mu_t)/sigma_t</f>
        <v>-6.3671974525434507</v>
      </c>
      <c r="R53" s="262">
        <f>EXP(mu_t+sigma_t*Tabella34[[#This Row],[x_t_alpha©+plus]])-(Tabella34[[#This Row],[Day]]-pt)</f>
        <v>307.1311399809382</v>
      </c>
      <c r="S53" s="262">
        <f>EXP(mu_t+sigma_t*Tabella34[[#This Row],[x_t_alpha©-minus]])-(Tabella34[[#This Row],[Day]]-pt)</f>
        <v>-0.347777973678566</v>
      </c>
      <c r="T53" s="262">
        <f>-sigma_t+SQRT(sigma_t^2-2*Tabella34[[#This Row],[c_t]])</f>
        <v>5.9423772946376303</v>
      </c>
      <c r="U53" s="262">
        <f>-sigma_t-SQRT(sigma_t^2-2*Tabella34[[#This Row],[c_t]])</f>
        <v>-6.4798166444807972</v>
      </c>
      <c r="V53" s="262">
        <f>mu_t-LN(alpha*Kt/(Tabella34[[#This Row],[Spain fitted velocity]]*sigma_t*SQRTPI(2)))</f>
        <v>-19.252757650788844</v>
      </c>
      <c r="W53" s="262">
        <f>Tabella34[[#This Row],[Spain fitted g.r.]]/Spain_gr_at_lockdown</f>
        <v>10.032356329352467</v>
      </c>
      <c r="X53" s="262">
        <f>Tabella34[[#This Row],[t_alpha_t+plus]]</f>
        <v>307.1311399809382</v>
      </c>
      <c r="Y53" s="262">
        <f>Tabella34[[#This Row],[Spain fitted h.t.]]/Spain_ht_at_lockdown</f>
        <v>4.9890886561377252</v>
      </c>
      <c r="Z53" s="90">
        <f>IFERROR(-Kf*_xlfn.LOGNORM.DIST((Tabella34[[#This Row],[Day]]-pf),mu_f,sigma_f,FALSE)*(1+(LN((Tabella34[[#This Row],[Day]]-pf))-mu_f)/sigma_f^2)/(Tabella34[[#This Row],[Day]]-pf),0)</f>
        <v>1.0899076000851929E-4</v>
      </c>
      <c r="AA53" s="90">
        <f>Tabella34[[#This Row],[Spain acc. fit]]/Spain_acc_at_lockdown</f>
        <v>3.7140447989538323E-7</v>
      </c>
      <c r="AB53" s="157">
        <f>Tabella34[[#This Row],[Spain acc. fit]]/y_f_peak</f>
        <v>1.6329021245199578E-8</v>
      </c>
      <c r="AC53" s="157">
        <f>Tabella34[[#This Row],[Colonna4]]*NOT(ISBLANK(Tabella34[[#This Row],[Spain daily cases]]))</f>
        <v>0</v>
      </c>
      <c r="AD53" s="157">
        <f>Tabella34[[#This Row],[Spain acc. fit]]*NOT(ISBLANK(Tabella34[[#This Row],[Spain daily cases]]))</f>
        <v>1.0899076000851929E-4</v>
      </c>
      <c r="AE53" s="95">
        <f>Tabella34[[#This Row],[Spain acc. fit]]+CIf</f>
        <v>2342.6885266718527</v>
      </c>
      <c r="AF53" s="95">
        <f>MAX(Tabella34[[#This Row],[Spain acc. fit]]-CIf,0)</f>
        <v>0</v>
      </c>
      <c r="AG53" s="155"/>
      <c r="AH53" s="33"/>
      <c r="AI53" s="33"/>
      <c r="AJ53" s="156">
        <f>Tabella34[[#This Row],[Lombardy data]]*NOT(ISBLANK(Tabella34[[#This Row],[Lombardy data]]))</f>
        <v>0</v>
      </c>
      <c r="AK53" s="161">
        <f>Tabella8[[#This Row],[Lombardy fit]]</f>
        <v>1.232404561241581</v>
      </c>
      <c r="AL53" s="157">
        <f>_xlfn.LOGNORM.INV(alpha*Tabella34[[#This Row],[Lombardy cumul. Fit]]/Kr,mu_r,sigma_r)-(Tabella34[[#This Row],[Day]]-pr)</f>
        <v>0.82823313203361693</v>
      </c>
      <c r="AM53" s="156">
        <f>Tabella34[[#This Row],[Lombardy cumul. Fit]]/Kl</f>
        <v>1.4165569669443461E-5</v>
      </c>
      <c r="AN53" s="157">
        <f>IFERROR(Kr*_xlfn.LOGNORM.DIST((Tabella34[[#This Row],[Day]]-pr),mu_r,sigma_r,FALSE),0)</f>
        <v>1.0787875900445603</v>
      </c>
      <c r="AO53" s="199">
        <f>Tabella34[[#This Row],[Lombardy velocity]]/Tabella34[[#This Row],[Lombardy cumul. Fit]]</f>
        <v>0.87535183167266117</v>
      </c>
      <c r="AP53" s="254">
        <f>(LN(Tabella34[[#This Row],[Day]]-pr)-mu_r)/sigma_r</f>
        <v>-4.1864819970183573</v>
      </c>
      <c r="AQ53" s="262">
        <f>EXP(mu_r+sigma_r*Tabella34[[#This Row],[x_r_alpha©+plus]])-(Tabella34[[#This Row],[Day]]-pr)</f>
        <v>200.45238200721408</v>
      </c>
      <c r="AR53" s="262">
        <f>EXP(mu_r+sigma_r*Tabella34[[#This Row],[x_r_alpha©-minus]])-(Tabella34[[#This Row],[Day]]-pr)</f>
        <v>-0.86029867187436793</v>
      </c>
      <c r="AS53" s="262">
        <f>-sigma_r+SQRT(sigma_r^2-2*Tabella34[[#This Row],[c_r]])</f>
        <v>3.6818147508539045</v>
      </c>
      <c r="AT53" s="262">
        <f>-sigma_r-SQRT(sigma_r^2-2*Tabella34[[#This Row],[c_r]])</f>
        <v>-4.3626693480476337</v>
      </c>
      <c r="AU53" s="262">
        <f>mu_r-LN(alpha*Kr/(Tabella34[[#This Row],[Lombardy velocity]]*sigma_r*SQRTPI(2)))</f>
        <v>-8.031270179369983</v>
      </c>
      <c r="AV53" s="262">
        <f>Tabella34[[#This Row],[t_alpha_r+plus]]</f>
        <v>200.45238200721408</v>
      </c>
      <c r="AW53" s="90">
        <f>IFERROR(-Kl*_xlfn.LOGNORM.DIST((Tabella34[[#This Row],[Day]]-pl),mu_l,sigma_l,FALSE)*(1+(LN((Tabella34[[#This Row],[Day]]-pl))-mu_l)/sigma_l^2)/(Tabella34[[#This Row],[Day]]-pl),0)</f>
        <v>0.82474121383413956</v>
      </c>
      <c r="AX53" s="157">
        <f>Tabella34[[#This Row],[Lombardy acc. fit]]/y_l_peak</f>
        <v>4.691482213668777E-4</v>
      </c>
      <c r="AY53" s="157">
        <f>Tabella34[[#This Row],[Lombardy acc. fit]]*NOT(ISBLANK(Tabella34[[#This Row],[Lombardy data]]))</f>
        <v>0</v>
      </c>
      <c r="AZ53" s="95">
        <f>Tabella34[[#This Row],[Lombardy acc. fit]]+CIl</f>
        <v>2571.2070641302425</v>
      </c>
      <c r="BA53" s="95">
        <f>MAX(Tabella34[[#This Row],[Lombardy acc. fit]]-CIl,0)</f>
        <v>0</v>
      </c>
      <c r="BB53" s="155"/>
      <c r="BC53" s="33"/>
      <c r="BD53" s="33"/>
      <c r="BE53" s="156">
        <f>Tabella34[[#This Row],[rest of Italy data]]*NOT(ISBLANK(Tabella34[[#This Row],[rest of Italy data]]))</f>
        <v>0</v>
      </c>
      <c r="BF53" s="204">
        <f>Tabella8[[#This Row],[rest of Italy fit]]</f>
        <v>1.3509330492944511E-4</v>
      </c>
      <c r="BG53" s="157">
        <f>_xlfn.LOGNORM.INV(alpha*Tabella34[[#This Row],[rest of Italy cumul. Fit]]/Ko,mu_o,sigma_o)-(Tabella34[[#This Row],[Day]]-po)</f>
        <v>0.30736798859685699</v>
      </c>
      <c r="BH53" s="157">
        <f>Tabella34[[#This Row],[rest of Italy cumul. Fit]]/Ka</f>
        <v>9.1279270713420225E-10</v>
      </c>
      <c r="BI53" s="157">
        <f>IFERROR(Ko*_xlfn.LOGNORM.DIST((Tabella34[[#This Row],[Day]]-po),mu_o,sigma_o,FALSE),0)</f>
        <v>3.1307383839666164E-4</v>
      </c>
      <c r="BJ53" s="199">
        <f>Tabella34[[#This Row],[rest of Italy velocity]]/Tabella34[[#This Row],[rest of Italy cumul. Fit]]</f>
        <v>2.3174637600299293</v>
      </c>
      <c r="BK53" s="254">
        <f>(LN(Tabella34[[#This Row],[Day]]-po)-mu_o)/sigma_o</f>
        <v>-6.0126111813948606</v>
      </c>
      <c r="BL53" s="262">
        <f>EXP(mu_o+sigma_o*Tabella34[[#This Row],[x_o_alpha©+plus]])-(Tabella34[[#This Row],[Day]]-po)</f>
        <v>326.05031534228596</v>
      </c>
      <c r="BM53" s="262">
        <f>EXP(mu_o+sigma_o*Tabella34[[#This Row],[x_o_alpha©-minus]])-(Tabella34[[#This Row],[Day]]-po)</f>
        <v>-0.31477108964877853</v>
      </c>
      <c r="BN53" s="262">
        <f>-sigma_o+SQRT(sigma_o^2-2*Tabella34[[#This Row],[c_o]])</f>
        <v>5.4901567325099982</v>
      </c>
      <c r="BO53" s="262">
        <f>-sigma_o-SQRT(sigma_o^2-2*Tabella34[[#This Row],[c_o]])</f>
        <v>-6.1331295098090237</v>
      </c>
      <c r="BP53" s="262">
        <f>mu_o-LN(alpha*Ko/(Tabella34[[#This Row],[rest of Italy velocity]]*sigma_o*SQRTPI(2)))</f>
        <v>-16.835921134816878</v>
      </c>
      <c r="BQ53" s="262">
        <f>Tabella34[[#This Row],[t_alpha_o+plus]]</f>
        <v>326.05031534228596</v>
      </c>
      <c r="BR53" s="90">
        <f>IFERROR(-Ka*_xlfn.LOGNORM.DIST((Tabella34[[#This Row],[Day]]-pa),mu_a,sigma_a,FALSE)*(1+(LN((Tabella34[[#This Row],[Day]]-pa))-mu_a)/sigma_a^2)/(Tabella34[[#This Row],[Day]]-pa),0)</f>
        <v>6.6913992383279923E-4</v>
      </c>
      <c r="BS53" s="157">
        <f>Tabella34[[#This Row],[rest of Italy acc. fit]]/y_a_peak</f>
        <v>1.9802024193742258E-7</v>
      </c>
      <c r="BT53" s="156">
        <f>Tabella34[[#This Row],[rest of Italy acc. fit]]*NOT(ISBLANK(Tabella34[[#This Row],[rest of Italy data]]))</f>
        <v>0</v>
      </c>
      <c r="BU53" s="95">
        <f>Tabella34[[#This Row],[rest of Italy acc. fit]]+CIa</f>
        <v>5338.8401042999412</v>
      </c>
      <c r="BV53" s="95">
        <f>MAX(Tabella34[[#This Row],[rest of Italy acc. fit]]-CIa,0)</f>
        <v>0</v>
      </c>
      <c r="BX53" s="231" t="s">
        <v>5</v>
      </c>
      <c r="BY53" s="234">
        <f>TINV(0.05,dff)</f>
        <v>1.9855234418666059</v>
      </c>
    </row>
    <row r="54" spans="2:79" x14ac:dyDescent="0.3">
      <c r="B54" s="281">
        <v>43877</v>
      </c>
      <c r="C54" s="4">
        <v>47</v>
      </c>
      <c r="D54" s="10">
        <f>Tabella8[[#This Row],[Spain cum. Cases]]</f>
        <v>2</v>
      </c>
      <c r="E54" s="90">
        <f>(Tabella34[[#This Row],[Spain cumul. Cases]]-D53)</f>
        <v>0</v>
      </c>
      <c r="F54" s="90">
        <f>Tabella34[[#This Row],[Spain daily cases]]-E53</f>
        <v>0</v>
      </c>
      <c r="G54" s="156">
        <f>Tabella34[[#This Row],[Spain daily cases]]*NOT(ISBLANK(Tabella34[[#This Row],[Spain daily cases]]))</f>
        <v>0</v>
      </c>
      <c r="H54" s="157">
        <f>Tabella8[[#This Row],[Spain cum. fit]]</f>
        <v>1.8920105202496204E-4</v>
      </c>
      <c r="I54" s="157">
        <f>_xlfn.LOGNORM.INV(alpha*Tabella34[[#This Row],[Spain cumul. Fit]]/Kt,mu_t,sigma_t)-(Tabella34[[#This Row],[Day]]-pt)</f>
        <v>0.38864378296659297</v>
      </c>
      <c r="J54" s="157">
        <f>Tabella34[[#This Row],[Spain fitted d.t.]]/Spain_dt_at_lockdown</f>
        <v>0.10370818849647577</v>
      </c>
      <c r="K54" s="157">
        <f>Tabella34[[#This Row],[Spain cumul. Fit]]/Kf</f>
        <v>6.7571829448407129E-10</v>
      </c>
      <c r="L54" s="160"/>
      <c r="M54" s="157"/>
      <c r="N54" s="157">
        <f>IFERROR(Kt*_xlfn.LOGNORM.DIST((Tabella34[[#This Row],[Day]]-pt),mu_t,sigma_t,FALSE),0)</f>
        <v>3.4564246692707845E-4</v>
      </c>
      <c r="O54" s="157" t="e">
        <f>Kt*EXP(-0.5*Tabella34[[#This Row],[x_t]]^2)/(sigma_t*SQRTPI(2)*(Tabella34[[#This Row],[Day]]-D_bk))</f>
        <v>#NAME?</v>
      </c>
      <c r="P54" s="199">
        <f>Tabella34[[#This Row],[Spain fitted velocity]]/Tabella34[[#This Row],[Spain cumul. Fit]]</f>
        <v>1.8268527750124586</v>
      </c>
      <c r="Q54" s="262">
        <f>(LN(Tabella34[[#This Row],[Day]]-pt)-mu_t)/sigma_t</f>
        <v>-6.0611595870150055</v>
      </c>
      <c r="R54" s="262">
        <f>EXP(mu_t+sigma_t*Tabella34[[#This Row],[x_t_alpha©+plus]])-(Tabella34[[#This Row],[Day]]-pt)</f>
        <v>281.42347653008738</v>
      </c>
      <c r="S54" s="262">
        <f>EXP(mu_t+sigma_t*Tabella34[[#This Row],[x_t_alpha©-minus]])-(Tabella34[[#This Row],[Day]]-pt)</f>
        <v>-0.39683740496531605</v>
      </c>
      <c r="T54" s="262">
        <f>-sigma_t+SQRT(sigma_t^2-2*Tabella34[[#This Row],[c_t]])</f>
        <v>5.6421731930242363</v>
      </c>
      <c r="U54" s="262">
        <f>-sigma_t-SQRT(sigma_t^2-2*Tabella34[[#This Row],[c_t]])</f>
        <v>-6.1796125428674031</v>
      </c>
      <c r="V54" s="262">
        <f>mu_t-LN(alpha*Kt/(Tabella34[[#This Row],[Spain fitted velocity]]*sigma_t*SQRTPI(2)))</f>
        <v>-17.433222116321396</v>
      </c>
      <c r="W54" s="262">
        <f>Tabella34[[#This Row],[Spain fitted g.r.]]/Spain_gr_at_lockdown</f>
        <v>8.8162158666303014</v>
      </c>
      <c r="X54" s="262">
        <f>Tabella34[[#This Row],[t_alpha_t+plus]]</f>
        <v>281.42347653008738</v>
      </c>
      <c r="Y54" s="262">
        <f>Tabella34[[#This Row],[Spain fitted h.t.]]/Spain_ht_at_lockdown</f>
        <v>4.5714891509022531</v>
      </c>
      <c r="Z54" s="90">
        <f>IFERROR(-Kf*_xlfn.LOGNORM.DIST((Tabella34[[#This Row],[Day]]-pf),mu_f,sigma_f,FALSE)*(1+(LN((Tabella34[[#This Row],[Day]]-pf))-mu_f)/sigma_f^2)/(Tabella34[[#This Row],[Day]]-pf),0)</f>
        <v>5.88204487493784E-4</v>
      </c>
      <c r="AA54" s="90">
        <f>Tabella34[[#This Row],[Spain acc. fit]]/Spain_acc_at_lockdown</f>
        <v>2.0044064444791758E-6</v>
      </c>
      <c r="AB54" s="157">
        <f>Tabella34[[#This Row],[Spain acc. fit]]/y_f_peak</f>
        <v>8.8124934371106008E-8</v>
      </c>
      <c r="AC54" s="157">
        <f>Tabella34[[#This Row],[Colonna4]]*NOT(ISBLANK(Tabella34[[#This Row],[Spain daily cases]]))</f>
        <v>0</v>
      </c>
      <c r="AD54" s="157">
        <f>Tabella34[[#This Row],[Spain acc. fit]]*NOT(ISBLANK(Tabella34[[#This Row],[Spain daily cases]]))</f>
        <v>5.88204487493784E-4</v>
      </c>
      <c r="AE54" s="95">
        <f>Tabella34[[#This Row],[Spain acc. fit]]+CIf</f>
        <v>2342.6890058855802</v>
      </c>
      <c r="AF54" s="95">
        <f>MAX(Tabella34[[#This Row],[Spain acc. fit]]-CIf,0)</f>
        <v>0</v>
      </c>
      <c r="AG54" s="155"/>
      <c r="AH54" s="33"/>
      <c r="AI54" s="33"/>
      <c r="AJ54" s="156">
        <f>Tabella34[[#This Row],[Lombardy data]]*NOT(ISBLANK(Tabella34[[#This Row],[Lombardy data]]))</f>
        <v>0</v>
      </c>
      <c r="AK54" s="161">
        <f>Tabella8[[#This Row],[Lombardy fit]]</f>
        <v>2.8244131218996005</v>
      </c>
      <c r="AL54" s="157">
        <f>_xlfn.LOGNORM.INV(alpha*Tabella34[[#This Row],[Lombardy cumul. Fit]]/Kr,mu_r,sigma_r)-(Tabella34[[#This Row],[Day]]-pr)</f>
        <v>0.92533031113461206</v>
      </c>
      <c r="AM54" s="156">
        <f>Tabella34[[#This Row],[Lombardy cumul. Fit]]/Kl</f>
        <v>3.2464518642524143E-5</v>
      </c>
      <c r="AN54" s="157">
        <f>IFERROR(Kr*_xlfn.LOGNORM.DIST((Tabella34[[#This Row],[Day]]-pr),mu_r,sigma_r,FALSE),0)</f>
        <v>2.2190781575440344</v>
      </c>
      <c r="AO54" s="199">
        <f>Tabella34[[#This Row],[Lombardy velocity]]/Tabella34[[#This Row],[Lombardy cumul. Fit]]</f>
        <v>0.78567761222252108</v>
      </c>
      <c r="AP54" s="254">
        <f>(LN(Tabella34[[#This Row],[Day]]-pr)-mu_r)/sigma_r</f>
        <v>-3.9941416593712029</v>
      </c>
      <c r="AQ54" s="262">
        <f>EXP(mu_r+sigma_r*Tabella34[[#This Row],[x_r_alpha©+plus]])-(Tabella34[[#This Row],[Day]]-pr)</f>
        <v>186.41847569409305</v>
      </c>
      <c r="AR54" s="262">
        <f>EXP(mu_r+sigma_r*Tabella34[[#This Row],[x_r_alpha©-minus]])-(Tabella34[[#This Row],[Day]]-pr)</f>
        <v>-0.9631544646966983</v>
      </c>
      <c r="AS54" s="262">
        <f>-sigma_r+SQRT(sigma_r^2-2*Tabella34[[#This Row],[c_r]])</f>
        <v>3.4983124674264232</v>
      </c>
      <c r="AT54" s="262">
        <f>-sigma_r-SQRT(sigma_r^2-2*Tabella34[[#This Row],[c_r]])</f>
        <v>-4.1791670646201524</v>
      </c>
      <c r="AU54" s="262">
        <f>mu_r-LN(alpha*Kr/(Tabella34[[#This Row],[Lombardy velocity]]*sigma_r*SQRTPI(2)))</f>
        <v>-7.3100161228092846</v>
      </c>
      <c r="AV54" s="262">
        <f>Tabella34[[#This Row],[t_alpha_r+plus]]</f>
        <v>186.41847569409305</v>
      </c>
      <c r="AW54" s="90">
        <f>IFERROR(-Kl*_xlfn.LOGNORM.DIST((Tabella34[[#This Row],[Day]]-pl),mu_l,sigma_l,FALSE)*(1+(LN((Tabella34[[#This Row],[Day]]-pl))-mu_l)/sigma_l^2)/(Tabella34[[#This Row],[Day]]-pl),0)</f>
        <v>1.5095127957912009</v>
      </c>
      <c r="AX54" s="157">
        <f>Tabella34[[#This Row],[Lombardy acc. fit]]/y_l_peak</f>
        <v>8.5867570505383415E-4</v>
      </c>
      <c r="AY54" s="157">
        <f>Tabella34[[#This Row],[Lombardy acc. fit]]*NOT(ISBLANK(Tabella34[[#This Row],[Lombardy data]]))</f>
        <v>0</v>
      </c>
      <c r="AZ54" s="95">
        <f>Tabella34[[#This Row],[Lombardy acc. fit]]+CIl</f>
        <v>2571.8918357121997</v>
      </c>
      <c r="BA54" s="95">
        <f>MAX(Tabella34[[#This Row],[Lombardy acc. fit]]-CIl,0)</f>
        <v>0</v>
      </c>
      <c r="BB54" s="155"/>
      <c r="BC54" s="33"/>
      <c r="BD54" s="33"/>
      <c r="BE54" s="156">
        <f>Tabella34[[#This Row],[rest of Italy data]]*NOT(ISBLANK(Tabella34[[#This Row],[rest of Italy data]]))</f>
        <v>0</v>
      </c>
      <c r="BF54" s="204">
        <f>Tabella8[[#This Row],[rest of Italy fit]]</f>
        <v>1.1329276107491756E-3</v>
      </c>
      <c r="BG54" s="157">
        <f>_xlfn.LOGNORM.INV(alpha*Tabella34[[#This Row],[rest of Italy cumul. Fit]]/Ko,mu_o,sigma_o)-(Tabella34[[#This Row],[Day]]-po)</f>
        <v>0.36571986249290056</v>
      </c>
      <c r="BH54" s="157">
        <f>Tabella34[[#This Row],[rest of Italy cumul. Fit]]/Ka</f>
        <v>7.6549171799662131E-9</v>
      </c>
      <c r="BI54" s="157">
        <f>IFERROR(Ko*_xlfn.LOGNORM.DIST((Tabella34[[#This Row],[Day]]-po),mu_o,sigma_o,FALSE),0)</f>
        <v>2.2114619462692015E-3</v>
      </c>
      <c r="BJ54" s="199">
        <f>Tabella34[[#This Row],[rest of Italy velocity]]/Tabella34[[#This Row],[rest of Italy cumul. Fit]]</f>
        <v>1.9519887460477896</v>
      </c>
      <c r="BK54" s="254">
        <f>(LN(Tabella34[[#This Row],[Day]]-po)-mu_o)/sigma_o</f>
        <v>-5.6580547019915546</v>
      </c>
      <c r="BL54" s="262">
        <f>EXP(mu_o+sigma_o*Tabella34[[#This Row],[x_o_alpha©+plus]])-(Tabella34[[#This Row],[Day]]-po)</f>
        <v>289.784422301159</v>
      </c>
      <c r="BM54" s="262">
        <f>EXP(mu_o+sigma_o*Tabella34[[#This Row],[x_o_alpha©-minus]])-(Tabella34[[#This Row],[Day]]-po)</f>
        <v>-0.37521002878094833</v>
      </c>
      <c r="BN54" s="262">
        <f>-sigma_o+SQRT(sigma_o^2-2*Tabella34[[#This Row],[c_o]])</f>
        <v>5.1434249303094886</v>
      </c>
      <c r="BO54" s="262">
        <f>-sigma_o-SQRT(sigma_o^2-2*Tabella34[[#This Row],[c_o]])</f>
        <v>-5.786397707608514</v>
      </c>
      <c r="BP54" s="262">
        <f>mu_o-LN(alpha*Ko/(Tabella34[[#This Row],[rest of Italy velocity]]*sigma_o*SQRTPI(2)))</f>
        <v>-14.88095111299965</v>
      </c>
      <c r="BQ54" s="262">
        <f>Tabella34[[#This Row],[t_alpha_o+plus]]</f>
        <v>289.784422301159</v>
      </c>
      <c r="BR54" s="90">
        <f>IFERROR(-Ka*_xlfn.LOGNORM.DIST((Tabella34[[#This Row],[Day]]-pa),mu_a,sigma_a,FALSE)*(1+(LN((Tabella34[[#This Row],[Day]]-pa))-mu_a)/sigma_a^2)/(Tabella34[[#This Row],[Day]]-pa),0)</f>
        <v>3.9546723514040458E-3</v>
      </c>
      <c r="BS54" s="157">
        <f>Tabella34[[#This Row],[rest of Italy acc. fit]]/y_a_peak</f>
        <v>1.1703160249693048E-6</v>
      </c>
      <c r="BT54" s="156">
        <f>Tabella34[[#This Row],[rest of Italy acc. fit]]*NOT(ISBLANK(Tabella34[[#This Row],[rest of Italy data]]))</f>
        <v>0</v>
      </c>
      <c r="BU54" s="95">
        <f>Tabella34[[#This Row],[rest of Italy acc. fit]]+CIa</f>
        <v>5338.8433898323683</v>
      </c>
      <c r="BV54" s="95">
        <f>MAX(Tabella34[[#This Row],[rest of Italy acc. fit]]-CIa,0)</f>
        <v>0</v>
      </c>
      <c r="BX54" s="231" t="s">
        <v>6</v>
      </c>
      <c r="BY54" s="232">
        <f>Critical_tf*SE_of_yf</f>
        <v>2342.6884176810927</v>
      </c>
    </row>
    <row r="55" spans="2:79" x14ac:dyDescent="0.3">
      <c r="B55" s="281">
        <v>43878</v>
      </c>
      <c r="C55" s="4">
        <v>48</v>
      </c>
      <c r="D55" s="10">
        <f>Tabella8[[#This Row],[Spain cum. Cases]]</f>
        <v>2</v>
      </c>
      <c r="E55" s="90">
        <f>(Tabella34[[#This Row],[Spain cumul. Cases]]-D54)</f>
        <v>0</v>
      </c>
      <c r="F55" s="90">
        <f>Tabella34[[#This Row],[Spain daily cases]]-E54</f>
        <v>0</v>
      </c>
      <c r="G55" s="156">
        <f>Tabella34[[#This Row],[Spain daily cases]]*NOT(ISBLANK(Tabella34[[#This Row],[Spain daily cases]]))</f>
        <v>0</v>
      </c>
      <c r="H55" s="157">
        <f>Tabella8[[#This Row],[Spain cum. fit]]</f>
        <v>1.0558727403052776E-3</v>
      </c>
      <c r="I55" s="157">
        <f>_xlfn.LOGNORM.INV(alpha*Tabella34[[#This Row],[Spain cumul. Fit]]/Kt,mu_t,sigma_t)-(Tabella34[[#This Row],[Day]]-pt)</f>
        <v>0.43947152527332634</v>
      </c>
      <c r="J55" s="157">
        <f>Tabella34[[#This Row],[Spain fitted d.t.]]/Spain_dt_at_lockdown</f>
        <v>0.1172713877833922</v>
      </c>
      <c r="K55" s="157">
        <f>Tabella34[[#This Row],[Spain cumul. Fit]]/Kf</f>
        <v>3.7709754762736401E-9</v>
      </c>
      <c r="L55" s="160"/>
      <c r="M55" s="157"/>
      <c r="N55" s="157">
        <f>IFERROR(Kt*_xlfn.LOGNORM.DIST((Tabella34[[#This Row],[Day]]-pt),mu_t,sigma_t,FALSE),0)</f>
        <v>1.7084807858180932E-3</v>
      </c>
      <c r="O55" s="157" t="e">
        <f>Kt*EXP(-0.5*Tabella34[[#This Row],[x_t]]^2)/(sigma_t*SQRTPI(2)*(Tabella34[[#This Row],[Day]]-D_bk))</f>
        <v>#NAME?</v>
      </c>
      <c r="P55" s="199">
        <f>Tabella34[[#This Row],[Spain fitted velocity]]/Tabella34[[#This Row],[Spain cumul. Fit]]</f>
        <v>1.6180745279247679</v>
      </c>
      <c r="Q55" s="262">
        <f>(LN(Tabella34[[#This Row],[Day]]-pt)-mu_t)/sigma_t</f>
        <v>-5.7783884763222559</v>
      </c>
      <c r="R55" s="262">
        <f>EXP(mu_t+sigma_t*Tabella34[[#This Row],[x_t_alpha©+plus]])-(Tabella34[[#This Row],[Day]]-pt)</f>
        <v>259.34064783364443</v>
      </c>
      <c r="S55" s="262">
        <f>EXP(mu_t+sigma_t*Tabella34[[#This Row],[x_t_alpha©-minus]])-(Tabella34[[#This Row],[Day]]-pt)</f>
        <v>-0.44931032604796428</v>
      </c>
      <c r="T55" s="262">
        <f>-sigma_t+SQRT(sigma_t^2-2*Tabella34[[#This Row],[c_t]])</f>
        <v>5.3653503159684677</v>
      </c>
      <c r="U55" s="262">
        <f>-sigma_t-SQRT(sigma_t^2-2*Tabella34[[#This Row],[c_t]])</f>
        <v>-5.9027896658116346</v>
      </c>
      <c r="V55" s="262">
        <f>mu_t-LN(alpha*Kt/(Tabella34[[#This Row],[Spain fitted velocity]]*sigma_t*SQRTPI(2)))</f>
        <v>-15.835267199278931</v>
      </c>
      <c r="W55" s="262">
        <f>Tabella34[[#This Row],[Spain fitted g.r.]]/Spain_gr_at_lockdown</f>
        <v>7.8086721172062639</v>
      </c>
      <c r="X55" s="262">
        <f>Tabella34[[#This Row],[t_alpha_t+plus]]</f>
        <v>259.34064783364443</v>
      </c>
      <c r="Y55" s="262">
        <f>Tabella34[[#This Row],[Spain fitted h.t.]]/Spain_ht_at_lockdown</f>
        <v>4.2127720564660001</v>
      </c>
      <c r="Z55" s="90">
        <f>IFERROR(-Kf*_xlfn.LOGNORM.DIST((Tabella34[[#This Row],[Day]]-pf),mu_f,sigma_f,FALSE)*(1+(LN((Tabella34[[#This Row],[Day]]-pf))-mu_f)/sigma_f^2)/(Tabella34[[#This Row],[Day]]-pf),0)</f>
        <v>2.5631553067953384E-3</v>
      </c>
      <c r="AA55" s="90">
        <f>Tabella34[[#This Row],[Spain acc. fit]]/Spain_acc_at_lockdown</f>
        <v>8.7343859565435021E-6</v>
      </c>
      <c r="AB55" s="157">
        <f>Tabella34[[#This Row],[Spain acc. fit]]/y_f_peak</f>
        <v>3.8401252965054653E-7</v>
      </c>
      <c r="AC55" s="157">
        <f>Tabella34[[#This Row],[Colonna4]]*NOT(ISBLANK(Tabella34[[#This Row],[Spain daily cases]]))</f>
        <v>0</v>
      </c>
      <c r="AD55" s="157">
        <f>Tabella34[[#This Row],[Spain acc. fit]]*NOT(ISBLANK(Tabella34[[#This Row],[Spain daily cases]]))</f>
        <v>2.5631553067953384E-3</v>
      </c>
      <c r="AE55" s="95">
        <f>Tabella34[[#This Row],[Spain acc. fit]]+CIf</f>
        <v>2342.6909808363994</v>
      </c>
      <c r="AF55" s="95">
        <f>MAX(Tabella34[[#This Row],[Spain acc. fit]]-CIf,0)</f>
        <v>0</v>
      </c>
      <c r="AG55" s="155"/>
      <c r="AH55" s="33"/>
      <c r="AI55" s="33"/>
      <c r="AJ55" s="156">
        <f>Tabella34[[#This Row],[Lombardy data]]*NOT(ISBLANK(Tabella34[[#This Row],[Lombardy data]]))</f>
        <v>0</v>
      </c>
      <c r="AK55" s="161">
        <f>Tabella8[[#This Row],[Lombardy fit]]</f>
        <v>5.9570265831536959</v>
      </c>
      <c r="AL55" s="157">
        <f>_xlfn.LOGNORM.INV(alpha*Tabella34[[#This Row],[Lombardy cumul. Fit]]/Kr,mu_r,sigma_r)-(Tabella34[[#This Row],[Day]]-pr)</f>
        <v>1.0287030392691037</v>
      </c>
      <c r="AM55" s="156">
        <f>Tabella34[[#This Row],[Lombardy cumul. Fit]]/Kl</f>
        <v>6.8471569921306846E-5</v>
      </c>
      <c r="AN55" s="157">
        <f>IFERROR(Kr*_xlfn.LOGNORM.DIST((Tabella34[[#This Row],[Day]]-pr),mu_r,sigma_r,FALSE),0)</f>
        <v>4.2221927199926466</v>
      </c>
      <c r="AO55" s="199">
        <f>Tabella34[[#This Row],[Lombardy velocity]]/Tabella34[[#This Row],[Lombardy cumul. Fit]]</f>
        <v>0.70877520203332467</v>
      </c>
      <c r="AP55" s="254">
        <f>(LN(Tabella34[[#This Row],[Day]]-pr)-mu_r)/sigma_r</f>
        <v>-3.8136251292323644</v>
      </c>
      <c r="AQ55" s="262">
        <f>EXP(mu_r+sigma_r*Tabella34[[#This Row],[x_r_alpha©+plus]])-(Tabella34[[#This Row],[Day]]-pr)</f>
        <v>173.95822849532843</v>
      </c>
      <c r="AR55" s="262">
        <f>EXP(mu_r+sigma_r*Tabella34[[#This Row],[x_r_alpha©-minus]])-(Tabella34[[#This Row],[Day]]-pr)</f>
        <v>-1.0730272296095293</v>
      </c>
      <c r="AS55" s="262">
        <f>-sigma_r+SQRT(sigma_r^2-2*Tabella34[[#This Row],[c_r]])</f>
        <v>3.3269147268830377</v>
      </c>
      <c r="AT55" s="262">
        <f>-sigma_r-SQRT(sigma_r^2-2*Tabella34[[#This Row],[c_r]])</f>
        <v>-4.0077693240767669</v>
      </c>
      <c r="AU55" s="262">
        <f>mu_r-LN(alpha*Kr/(Tabella34[[#This Row],[Lombardy velocity]]*sigma_r*SQRTPI(2)))</f>
        <v>-6.6667533931105369</v>
      </c>
      <c r="AV55" s="262">
        <f>Tabella34[[#This Row],[t_alpha_r+plus]]</f>
        <v>173.95822849532843</v>
      </c>
      <c r="AW55" s="90">
        <f>IFERROR(-Kl*_xlfn.LOGNORM.DIST((Tabella34[[#This Row],[Day]]-pl),mu_l,sigma_l,FALSE)*(1+(LN((Tabella34[[#This Row],[Day]]-pl))-mu_l)/sigma_l^2)/(Tabella34[[#This Row],[Day]]-pl),0)</f>
        <v>2.5674889867270139</v>
      </c>
      <c r="AX55" s="157">
        <f>Tabella34[[#This Row],[Lombardy acc. fit]]/y_l_peak</f>
        <v>1.4604979977928742E-3</v>
      </c>
      <c r="AY55" s="157">
        <f>Tabella34[[#This Row],[Lombardy acc. fit]]*NOT(ISBLANK(Tabella34[[#This Row],[Lombardy data]]))</f>
        <v>0</v>
      </c>
      <c r="AZ55" s="95">
        <f>Tabella34[[#This Row],[Lombardy acc. fit]]+CIl</f>
        <v>2572.9498119031355</v>
      </c>
      <c r="BA55" s="95">
        <f>MAX(Tabella34[[#This Row],[Lombardy acc. fit]]-CIl,0)</f>
        <v>0</v>
      </c>
      <c r="BB55" s="155"/>
      <c r="BC55" s="33"/>
      <c r="BD55" s="33"/>
      <c r="BE55" s="156">
        <f>Tabella34[[#This Row],[rest of Italy data]]*NOT(ISBLANK(Tabella34[[#This Row],[rest of Italy data]]))</f>
        <v>0</v>
      </c>
      <c r="BF55" s="204">
        <f>Tabella8[[#This Row],[rest of Italy fit]]</f>
        <v>6.8853047554286546E-3</v>
      </c>
      <c r="BG55" s="157">
        <f>_xlfn.LOGNORM.INV(alpha*Tabella34[[#This Row],[rest of Italy cumul. Fit]]/Ko,mu_o,sigma_o)-(Tabella34[[#This Row],[Day]]-po)</f>
        <v>0.4288108979041354</v>
      </c>
      <c r="BH55" s="157">
        <f>Tabella34[[#This Row],[rest of Italy cumul. Fit]]/Ka</f>
        <v>4.6522334844307022E-8</v>
      </c>
      <c r="BI55" s="157">
        <f>IFERROR(Ko*_xlfn.LOGNORM.DIST((Tabella34[[#This Row],[Day]]-po),mu_o,sigma_o,FALSE),0)</f>
        <v>1.1488593719390787E-2</v>
      </c>
      <c r="BJ55" s="199">
        <f>Tabella34[[#This Row],[rest of Italy velocity]]/Tabella34[[#This Row],[rest of Italy cumul. Fit]]</f>
        <v>1.6685672061694454</v>
      </c>
      <c r="BK55" s="254">
        <f>(LN(Tabella34[[#This Row],[Day]]-po)-mu_o)/sigma_o</f>
        <v>-5.3398087776128769</v>
      </c>
      <c r="BL55" s="262">
        <f>EXP(mu_o+sigma_o*Tabella34[[#This Row],[x_o_alpha©+plus]])-(Tabella34[[#This Row],[Day]]-po)</f>
        <v>260.38875556986693</v>
      </c>
      <c r="BM55" s="262">
        <f>EXP(mu_o+sigma_o*Tabella34[[#This Row],[x_o_alpha©-minus]])-(Tabella34[[#This Row],[Day]]-po)</f>
        <v>-0.44075363671345613</v>
      </c>
      <c r="BN55" s="262">
        <f>-sigma_o+SQRT(sigma_o^2-2*Tabella34[[#This Row],[c_o]])</f>
        <v>4.833109032980671</v>
      </c>
      <c r="BO55" s="262">
        <f>-sigma_o-SQRT(sigma_o^2-2*Tabella34[[#This Row],[c_o]])</f>
        <v>-5.4760818102796964</v>
      </c>
      <c r="BP55" s="262">
        <f>mu_o-LN(alpha*Ko/(Tabella34[[#This Row],[rest of Italy velocity]]*sigma_o*SQRTPI(2)))</f>
        <v>-13.233250231301973</v>
      </c>
      <c r="BQ55" s="262">
        <f>Tabella34[[#This Row],[t_alpha_o+plus]]</f>
        <v>260.38875556986693</v>
      </c>
      <c r="BR55" s="90">
        <f>IFERROR(-Ka*_xlfn.LOGNORM.DIST((Tabella34[[#This Row],[Day]]-pa),mu_a,sigma_a,FALSE)*(1+(LN((Tabella34[[#This Row],[Day]]-pa))-mu_a)/sigma_a^2)/(Tabella34[[#This Row],[Day]]-pa),0)</f>
        <v>1.7440581945414365E-2</v>
      </c>
      <c r="BS55" s="157">
        <f>Tabella34[[#This Row],[rest of Italy acc. fit]]/y_a_peak</f>
        <v>5.1612347931332808E-6</v>
      </c>
      <c r="BT55" s="156">
        <f>Tabella34[[#This Row],[rest of Italy acc. fit]]*NOT(ISBLANK(Tabella34[[#This Row],[rest of Italy data]]))</f>
        <v>0</v>
      </c>
      <c r="BU55" s="95">
        <f>Tabella34[[#This Row],[rest of Italy acc. fit]]+CIa</f>
        <v>5338.8568757419625</v>
      </c>
      <c r="BV55" s="95">
        <f>MAX(Tabella34[[#This Row],[rest of Italy acc. fit]]-CIa,0)</f>
        <v>0</v>
      </c>
      <c r="BX55" s="249" t="s">
        <v>62</v>
      </c>
      <c r="BY55" s="250">
        <f>Kf*_xlfn.LOGNORM.DIST(EXP(mu_f-sigma_f^2),mu_f,sigma_f,FALSE)</f>
        <v>6674.6658217840532</v>
      </c>
    </row>
    <row r="56" spans="2:79" x14ac:dyDescent="0.3">
      <c r="B56" s="281">
        <v>43879</v>
      </c>
      <c r="C56" s="4">
        <v>49</v>
      </c>
      <c r="D56" s="10">
        <f>Tabella8[[#This Row],[Spain cum. Cases]]</f>
        <v>2</v>
      </c>
      <c r="E56" s="90">
        <f>(Tabella34[[#This Row],[Spain cumul. Cases]]-D55)</f>
        <v>0</v>
      </c>
      <c r="F56" s="90">
        <f>Tabella34[[#This Row],[Spain daily cases]]-E55</f>
        <v>0</v>
      </c>
      <c r="G56" s="156">
        <f>Tabella34[[#This Row],[Spain daily cases]]*NOT(ISBLANK(Tabella34[[#This Row],[Spain daily cases]]))</f>
        <v>0</v>
      </c>
      <c r="H56" s="157">
        <f>Tabella8[[#This Row],[Spain cum. fit]]</f>
        <v>4.8664258884566283E-3</v>
      </c>
      <c r="I56" s="157">
        <f>_xlfn.LOGNORM.INV(alpha*Tabella34[[#This Row],[Spain cumul. Fit]]/Kt,mu_t,sigma_t)-(Tabella34[[#This Row],[Day]]-pt)</f>
        <v>0.49363828402868215</v>
      </c>
      <c r="J56" s="157">
        <f>Tabella34[[#This Row],[Spain fitted d.t.]]/Spain_dt_at_lockdown</f>
        <v>0.13172559153872782</v>
      </c>
      <c r="K56" s="157">
        <f>Tabella34[[#This Row],[Spain cumul. Fit]]/Kf</f>
        <v>1.7380098928557763E-8</v>
      </c>
      <c r="L56" s="160"/>
      <c r="M56" s="157"/>
      <c r="N56" s="157">
        <f>IFERROR(Kt*_xlfn.LOGNORM.DIST((Tabella34[[#This Row],[Day]]-pt),mu_t,sigma_t,FALSE),0)</f>
        <v>7.0215187056150118E-3</v>
      </c>
      <c r="O56" s="157" t="e">
        <f>Kt*EXP(-0.5*Tabella34[[#This Row],[x_t]]^2)/(sigma_t*SQRTPI(2)*(Tabella34[[#This Row],[Day]]-D_bk))</f>
        <v>#NAME?</v>
      </c>
      <c r="P56" s="199">
        <f>Tabella34[[#This Row],[Spain fitted velocity]]/Tabella34[[#This Row],[Spain cumul. Fit]]</f>
        <v>1.4428492011499356</v>
      </c>
      <c r="Q56" s="262">
        <f>(LN(Tabella34[[#This Row],[Day]]-pt)-mu_t)/sigma_t</f>
        <v>-5.5155949664402035</v>
      </c>
      <c r="R56" s="262">
        <f>EXP(mu_t+sigma_t*Tabella34[[#This Row],[x_t_alpha©+plus]])-(Tabella34[[#This Row],[Day]]-pt)</f>
        <v>240.14263455848334</v>
      </c>
      <c r="S56" s="262">
        <f>EXP(mu_t+sigma_t*Tabella34[[#This Row],[x_t_alpha©-minus]])-(Tabella34[[#This Row],[Day]]-pt)</f>
        <v>-0.50535393812948115</v>
      </c>
      <c r="T56" s="262">
        <f>-sigma_t+SQRT(sigma_t^2-2*Tabella34[[#This Row],[c_t]])</f>
        <v>5.1086397779947363</v>
      </c>
      <c r="U56" s="262">
        <f>-sigma_t-SQRT(sigma_t^2-2*Tabella34[[#This Row],[c_t]])</f>
        <v>-5.6460791278379032</v>
      </c>
      <c r="V56" s="262">
        <f>mu_t-LN(alpha*Kt/(Tabella34[[#This Row],[Spain fitted velocity]]*sigma_t*SQRTPI(2)))</f>
        <v>-14.421892211089268</v>
      </c>
      <c r="W56" s="262">
        <f>Tabella34[[#This Row],[Spain fitted g.r.]]/Spain_gr_at_lockdown</f>
        <v>6.9630515355820988</v>
      </c>
      <c r="X56" s="262">
        <f>Tabella34[[#This Row],[t_alpha_t+plus]]</f>
        <v>240.14263455848334</v>
      </c>
      <c r="Y56" s="262">
        <f>Tabella34[[#This Row],[Spain fitted h.t.]]/Spain_ht_at_lockdown</f>
        <v>3.900916377300963</v>
      </c>
      <c r="Z56" s="90">
        <f>IFERROR(-Kf*_xlfn.LOGNORM.DIST((Tabella34[[#This Row],[Day]]-pf),mu_f,sigma_f,FALSE)*(1+(LN((Tabella34[[#This Row],[Day]]-pf))-mu_f)/sigma_f^2)/(Tabella34[[#This Row],[Day]]-pf),0)</f>
        <v>9.3476450663861899E-3</v>
      </c>
      <c r="AA56" s="90">
        <f>Tabella34[[#This Row],[Spain acc. fit]]/Spain_acc_at_lockdown</f>
        <v>3.1853684237603603E-5</v>
      </c>
      <c r="AB56" s="157">
        <f>Tabella34[[#This Row],[Spain acc. fit]]/y_f_peak</f>
        <v>1.4004663777890356E-6</v>
      </c>
      <c r="AC56" s="157">
        <f>Tabella34[[#This Row],[Colonna4]]*NOT(ISBLANK(Tabella34[[#This Row],[Spain daily cases]]))</f>
        <v>0</v>
      </c>
      <c r="AD56" s="157">
        <f>Tabella34[[#This Row],[Spain acc. fit]]*NOT(ISBLANK(Tabella34[[#This Row],[Spain daily cases]]))</f>
        <v>9.3476450663861899E-3</v>
      </c>
      <c r="AE56" s="95">
        <f>Tabella34[[#This Row],[Spain acc. fit]]+CIf</f>
        <v>2342.6977653261592</v>
      </c>
      <c r="AF56" s="95">
        <f>MAX(Tabella34[[#This Row],[Spain acc. fit]]-CIf,0)</f>
        <v>0</v>
      </c>
      <c r="AG56" s="155"/>
      <c r="AH56" s="33"/>
      <c r="AI56" s="33"/>
      <c r="AJ56" s="156">
        <f>Tabella34[[#This Row],[Lombardy data]]*NOT(ISBLANK(Tabella34[[#This Row],[Lombardy data]]))</f>
        <v>0</v>
      </c>
      <c r="AK56" s="161">
        <f>Tabella8[[#This Row],[Lombardy fit]]</f>
        <v>11.696728324452055</v>
      </c>
      <c r="AL56" s="157">
        <f>_xlfn.LOGNORM.INV(alpha*Tabella34[[#This Row],[Lombardy cumul. Fit]]/Kr,mu_r,sigma_r)-(Tabella34[[#This Row],[Day]]-pr)</f>
        <v>1.1386684285148263</v>
      </c>
      <c r="AM56" s="156">
        <f>Tabella34[[#This Row],[Lombardy cumul. Fit]]/Kl</f>
        <v>1.3444515315462133E-4</v>
      </c>
      <c r="AN56" s="157">
        <f>IFERROR(Kr*_xlfn.LOGNORM.DIST((Tabella34[[#This Row],[Day]]-pr),mu_r,sigma_r,FALSE),0)</f>
        <v>7.5124004947819838</v>
      </c>
      <c r="AO56" s="199">
        <f>Tabella34[[#This Row],[Lombardy velocity]]/Tabella34[[#This Row],[Lombardy cumul. Fit]]</f>
        <v>0.64226510921667579</v>
      </c>
      <c r="AP56" s="254">
        <f>(LN(Tabella34[[#This Row],[Day]]-pr)-mu_r)/sigma_r</f>
        <v>-3.6435625140775998</v>
      </c>
      <c r="AQ56" s="262">
        <f>EXP(mu_r+sigma_r*Tabella34[[#This Row],[x_r_alpha©+plus]])-(Tabella34[[#This Row],[Day]]-pr)</f>
        <v>162.80799923145486</v>
      </c>
      <c r="AR56" s="262">
        <f>EXP(mu_r+sigma_r*Tabella34[[#This Row],[x_r_alpha©-minus]])-(Tabella34[[#This Row],[Day]]-pr)</f>
        <v>-1.1903061130495054</v>
      </c>
      <c r="AS56" s="262">
        <f>-sigma_r+SQRT(sigma_r^2-2*Tabella34[[#This Row],[c_r]])</f>
        <v>3.1662800762590488</v>
      </c>
      <c r="AT56" s="262">
        <f>-sigma_r-SQRT(sigma_r^2-2*Tabella34[[#This Row],[c_r]])</f>
        <v>-3.847134673452778</v>
      </c>
      <c r="AU56" s="262">
        <f>mu_r-LN(alpha*Kr/(Tabella34[[#This Row],[Lombardy velocity]]*sigma_r*SQRTPI(2)))</f>
        <v>-6.0905529336194464</v>
      </c>
      <c r="AV56" s="262">
        <f>Tabella34[[#This Row],[t_alpha_r+plus]]</f>
        <v>162.80799923145486</v>
      </c>
      <c r="AW56" s="90">
        <f>IFERROR(-Kl*_xlfn.LOGNORM.DIST((Tabella34[[#This Row],[Day]]-pl),mu_l,sigma_l,FALSE)*(1+(LN((Tabella34[[#This Row],[Day]]-pl))-mu_l)/sigma_l^2)/(Tabella34[[#This Row],[Day]]-pl),0)</f>
        <v>4.1001814313513281</v>
      </c>
      <c r="AX56" s="157">
        <f>Tabella34[[#This Row],[Lombardy acc. fit]]/y_l_peak</f>
        <v>2.3323592825649918E-3</v>
      </c>
      <c r="AY56" s="157">
        <f>Tabella34[[#This Row],[Lombardy acc. fit]]*NOT(ISBLANK(Tabella34[[#This Row],[Lombardy data]]))</f>
        <v>0</v>
      </c>
      <c r="AZ56" s="95">
        <f>Tabella34[[#This Row],[Lombardy acc. fit]]+CIl</f>
        <v>2574.4825043477599</v>
      </c>
      <c r="BA56" s="95">
        <f>MAX(Tabella34[[#This Row],[Lombardy acc. fit]]-CIl,0)</f>
        <v>0</v>
      </c>
      <c r="BB56" s="155"/>
      <c r="BC56" s="33"/>
      <c r="BD56" s="33"/>
      <c r="BE56" s="156">
        <f>Tabella34[[#This Row],[rest of Italy data]]*NOT(ISBLANK(Tabella34[[#This Row],[rest of Italy data]]))</f>
        <v>0</v>
      </c>
      <c r="BF56" s="204">
        <f>Tabella8[[#This Row],[rest of Italy fit]]</f>
        <v>3.250241220883384E-2</v>
      </c>
      <c r="BG56" s="157">
        <f>_xlfn.LOGNORM.INV(alpha*Tabella34[[#This Row],[rest of Italy cumul. Fit]]/Ko,mu_o,sigma_o)-(Tabella34[[#This Row],[Day]]-po)</f>
        <v>0.4968227067427371</v>
      </c>
      <c r="BH56" s="157">
        <f>Tabella34[[#This Row],[rest of Italy cumul. Fit]]/Ka</f>
        <v>2.19610918868169E-7</v>
      </c>
      <c r="BI56" s="157">
        <f>IFERROR(Ko*_xlfn.LOGNORM.DIST((Tabella34[[#This Row],[Day]]-po),mu_o,sigma_o,FALSE),0)</f>
        <v>4.6918253395776648E-2</v>
      </c>
      <c r="BJ56" s="199">
        <f>Tabella34[[#This Row],[rest of Italy velocity]]/Tabella34[[#This Row],[rest of Italy cumul. Fit]]</f>
        <v>1.4435314245083852</v>
      </c>
      <c r="BK56" s="254">
        <f>(LN(Tabella34[[#This Row],[Day]]-po)-mu_o)/sigma_o</f>
        <v>-5.0511222508527096</v>
      </c>
      <c r="BL56" s="262">
        <f>EXP(mu_o+sigma_o*Tabella34[[#This Row],[x_o_alpha©+plus]])-(Tabella34[[#This Row],[Day]]-po)</f>
        <v>236.0400133450637</v>
      </c>
      <c r="BM56" s="262">
        <f>EXP(mu_o+sigma_o*Tabella34[[#This Row],[x_o_alpha©-minus]])-(Tabella34[[#This Row],[Day]]-po)</f>
        <v>-0.51162645253373285</v>
      </c>
      <c r="BN56" s="262">
        <f>-sigma_o+SQRT(sigma_o^2-2*Tabella34[[#This Row],[c_o]])</f>
        <v>4.5525006599748954</v>
      </c>
      <c r="BO56" s="262">
        <f>-sigma_o-SQRT(sigma_o^2-2*Tabella34[[#This Row],[c_o]])</f>
        <v>-5.1954734372739209</v>
      </c>
      <c r="BP56" s="262">
        <f>mu_o-LN(alpha*Ko/(Tabella34[[#This Row],[rest of Italy velocity]]*sigma_o*SQRTPI(2)))</f>
        <v>-11.826198126035781</v>
      </c>
      <c r="BQ56" s="262">
        <f>Tabella34[[#This Row],[t_alpha_o+plus]]</f>
        <v>236.0400133450637</v>
      </c>
      <c r="BR56" s="90">
        <f>IFERROR(-Ka*_xlfn.LOGNORM.DIST((Tabella34[[#This Row],[Day]]-pa),mu_a,sigma_a,FALSE)*(1+(LN((Tabella34[[#This Row],[Day]]-pa))-mu_a)/sigma_a^2)/(Tabella34[[#This Row],[Day]]-pa),0)</f>
        <v>6.1178488039223364E-2</v>
      </c>
      <c r="BS56" s="157">
        <f>Tabella34[[#This Row],[rest of Italy acc. fit]]/y_a_peak</f>
        <v>1.8104702127921221E-5</v>
      </c>
      <c r="BT56" s="156">
        <f>Tabella34[[#This Row],[rest of Italy acc. fit]]*NOT(ISBLANK(Tabella34[[#This Row],[rest of Italy data]]))</f>
        <v>0</v>
      </c>
      <c r="BU56" s="95">
        <f>Tabella34[[#This Row],[rest of Italy acc. fit]]+CIa</f>
        <v>5338.9006136480566</v>
      </c>
      <c r="BV56" s="95">
        <f>MAX(Tabella34[[#This Row],[rest of Italy acc. fit]]-CIa,0)</f>
        <v>0</v>
      </c>
      <c r="BX56" s="249" t="s">
        <v>43</v>
      </c>
      <c r="BY56" s="251">
        <f>_xlfn.XLOOKUP(ROUND(EXP(mu_f-sigma_f^2),0),Tabella34[Day],Tabella34[Date])</f>
        <v>43890</v>
      </c>
    </row>
    <row r="57" spans="2:79" x14ac:dyDescent="0.3">
      <c r="B57" s="281">
        <v>43880</v>
      </c>
      <c r="C57" s="4">
        <v>50</v>
      </c>
      <c r="D57" s="10">
        <f>Tabella8[[#This Row],[Spain cum. Cases]]</f>
        <v>2</v>
      </c>
      <c r="E57" s="90">
        <f>(Tabella34[[#This Row],[Spain cumul. Cases]]-D56)</f>
        <v>0</v>
      </c>
      <c r="F57" s="90">
        <f>Tabella34[[#This Row],[Spain daily cases]]-E56</f>
        <v>0</v>
      </c>
      <c r="G57" s="156">
        <f>Tabella34[[#This Row],[Spain daily cases]]*NOT(ISBLANK(Tabella34[[#This Row],[Spain daily cases]]))</f>
        <v>0</v>
      </c>
      <c r="H57" s="157">
        <f>Tabella8[[#This Row],[Spain cum. fit]]</f>
        <v>1.9084594537011553E-2</v>
      </c>
      <c r="I57" s="157">
        <f>_xlfn.LOGNORM.INV(alpha*Tabella34[[#This Row],[Spain cumul. Fit]]/Kt,mu_t,sigma_t)-(Tabella34[[#This Row],[Day]]-pt)</f>
        <v>0.55129221264528994</v>
      </c>
      <c r="J57" s="157">
        <f>Tabella34[[#This Row],[Spain fitted d.t.]]/Spain_dt_at_lockdown</f>
        <v>0.14711033396505266</v>
      </c>
      <c r="K57" s="157">
        <f>Tabella34[[#This Row],[Spain cumul. Fit]]/Kf</f>
        <v>6.8159291576074736E-8</v>
      </c>
      <c r="L57" s="160"/>
      <c r="M57" s="157"/>
      <c r="N57" s="157">
        <f>IFERROR(Kt*_xlfn.LOGNORM.DIST((Tabella34[[#This Row],[Day]]-pt),mu_t,sigma_t,FALSE),0)</f>
        <v>2.4697925493090144E-2</v>
      </c>
      <c r="O57" s="157" t="e">
        <f>Kt*EXP(-0.5*Tabella34[[#This Row],[x_t]]^2)/(sigma_t*SQRTPI(2)*(Tabella34[[#This Row],[Day]]-D_bk))</f>
        <v>#NAME?</v>
      </c>
      <c r="P57" s="199">
        <f>Tabella34[[#This Row],[Spain fitted velocity]]/Tabella34[[#This Row],[Spain cumul. Fit]]</f>
        <v>1.294128908276905</v>
      </c>
      <c r="Q57" s="262">
        <f>(LN(Tabella34[[#This Row],[Day]]-pt)-mu_t)/sigma_t</f>
        <v>-5.2701415617198579</v>
      </c>
      <c r="R57" s="262">
        <f>EXP(mu_t+sigma_t*Tabella34[[#This Row],[x_t_alpha©+plus]])-(Tabella34[[#This Row],[Day]]-pt)</f>
        <v>223.27831355048539</v>
      </c>
      <c r="S57" s="262">
        <f>EXP(mu_t+sigma_t*Tabella34[[#This Row],[x_t_alpha©-minus]])-(Tabella34[[#This Row],[Day]]-pt)</f>
        <v>-0.56514186632479202</v>
      </c>
      <c r="T57" s="262">
        <f>-sigma_t+SQRT(sigma_t^2-2*Tabella34[[#This Row],[c_t]])</f>
        <v>4.8694234965815912</v>
      </c>
      <c r="U57" s="262">
        <f>-sigma_t-SQRT(sigma_t^2-2*Tabella34[[#This Row],[c_t]])</f>
        <v>-5.4068628464247581</v>
      </c>
      <c r="V57" s="262">
        <f>mu_t-LN(alpha*Kt/(Tabella34[[#This Row],[Spain fitted velocity]]*sigma_t*SQRTPI(2)))</f>
        <v>-13.16415249358737</v>
      </c>
      <c r="W57" s="262">
        <f>Tabella34[[#This Row],[Spain fitted g.r.]]/Spain_gr_at_lockdown</f>
        <v>6.2453416994908038</v>
      </c>
      <c r="X57" s="262">
        <f>Tabella34[[#This Row],[t_alpha_t+plus]]</f>
        <v>223.27831355048539</v>
      </c>
      <c r="Y57" s="262">
        <f>Tabella34[[#This Row],[Spain fitted h.t.]]/Spain_ht_at_lockdown</f>
        <v>3.6269695784199065</v>
      </c>
      <c r="Z57" s="90">
        <f>IFERROR(-Kf*_xlfn.LOGNORM.DIST((Tabella34[[#This Row],[Day]]-pf),mu_f,sigma_f,FALSE)*(1+(LN((Tabella34[[#This Row],[Day]]-pf))-mu_f)/sigma_f^2)/(Tabella34[[#This Row],[Day]]-pf),0)</f>
        <v>2.9341284099183466E-2</v>
      </c>
      <c r="AA57" s="90">
        <f>Tabella34[[#This Row],[Spain acc. fit]]/Spain_acc_at_lockdown</f>
        <v>9.9985396555342016E-5</v>
      </c>
      <c r="AB57" s="157">
        <f>Tabella34[[#This Row],[Spain acc. fit]]/y_f_peak</f>
        <v>4.3959180702983744E-6</v>
      </c>
      <c r="AC57" s="157">
        <f>Tabella34[[#This Row],[Colonna4]]*NOT(ISBLANK(Tabella34[[#This Row],[Spain daily cases]]))</f>
        <v>0</v>
      </c>
      <c r="AD57" s="157">
        <f>Tabella34[[#This Row],[Spain acc. fit]]*NOT(ISBLANK(Tabella34[[#This Row],[Spain daily cases]]))</f>
        <v>2.9341284099183466E-2</v>
      </c>
      <c r="AE57" s="95">
        <f>Tabella34[[#This Row],[Spain acc. fit]]+CIf</f>
        <v>2342.7177589651919</v>
      </c>
      <c r="AF57" s="95">
        <f>MAX(Tabella34[[#This Row],[Spain acc. fit]]-CIf,0)</f>
        <v>0</v>
      </c>
      <c r="AG57" s="155"/>
      <c r="AH57" s="33"/>
      <c r="AI57" s="33"/>
      <c r="AJ57" s="156">
        <f>Tabella34[[#This Row],[Lombardy data]]*NOT(ISBLANK(Tabella34[[#This Row],[Lombardy data]]))</f>
        <v>0</v>
      </c>
      <c r="AK57" s="161">
        <f>Tabella8[[#This Row],[Lombardy fit]]</f>
        <v>21.583926129223123</v>
      </c>
      <c r="AL57" s="157">
        <f>_xlfn.LOGNORM.INV(alpha*Tabella34[[#This Row],[Lombardy cumul. Fit]]/Kr,mu_r,sigma_r)-(Tabella34[[#This Row],[Day]]-pr)</f>
        <v>1.2555722773193381</v>
      </c>
      <c r="AM57" s="156">
        <f>Tabella34[[#This Row],[Lombardy cumul. Fit]]/Kl</f>
        <v>2.4809110493359912E-4</v>
      </c>
      <c r="AN57" s="157">
        <f>IFERROR(Kr*_xlfn.LOGNORM.DIST((Tabella34[[#This Row],[Day]]-pr),mu_r,sigma_r,FALSE),0)</f>
        <v>12.611697574226687</v>
      </c>
      <c r="AO57" s="199">
        <f>Tabella34[[#This Row],[Lombardy velocity]]/Tabella34[[#This Row],[Lombardy cumul. Fit]]</f>
        <v>0.58430970800772586</v>
      </c>
      <c r="AP57" s="254">
        <f>(LN(Tabella34[[#This Row],[Day]]-pr)-mu_r)/sigma_r</f>
        <v>-3.4828090125756153</v>
      </c>
      <c r="AQ57" s="262">
        <f>EXP(mu_r+sigma_r*Tabella34[[#This Row],[x_r_alpha©+plus]])-(Tabella34[[#This Row],[Day]]-pr)</f>
        <v>152.76037071152518</v>
      </c>
      <c r="AR57" s="262">
        <f>EXP(mu_r+sigma_r*Tabella34[[#This Row],[x_r_alpha©-minus]])-(Tabella34[[#This Row],[Day]]-pr)</f>
        <v>-1.3154142242914482</v>
      </c>
      <c r="AS57" s="262">
        <f>-sigma_r+SQRT(sigma_r^2-2*Tabella34[[#This Row],[c_r]])</f>
        <v>3.0152927727839289</v>
      </c>
      <c r="AT57" s="262">
        <f>-sigma_r-SQRT(sigma_r^2-2*Tabella34[[#This Row],[c_r]])</f>
        <v>-3.6961473699776581</v>
      </c>
      <c r="AU57" s="262">
        <f>mu_r-LN(alpha*Kr/(Tabella34[[#This Row],[Lombardy velocity]]*sigma_r*SQRTPI(2)))</f>
        <v>-5.5724832259189805</v>
      </c>
      <c r="AV57" s="262">
        <f>Tabella34[[#This Row],[t_alpha_r+plus]]</f>
        <v>152.76037071152518</v>
      </c>
      <c r="AW57" s="90">
        <f>IFERROR(-Kl*_xlfn.LOGNORM.DIST((Tabella34[[#This Row],[Day]]-pl),mu_l,sigma_l,FALSE)*(1+(LN((Tabella34[[#This Row],[Day]]-pl))-mu_l)/sigma_l^2)/(Tabella34[[#This Row],[Day]]-pl),0)</f>
        <v>6.1996013340029643</v>
      </c>
      <c r="AX57" s="157">
        <f>Tabella34[[#This Row],[Lombardy acc. fit]]/y_l_peak</f>
        <v>3.5265994838668707E-3</v>
      </c>
      <c r="AY57" s="157">
        <f>Tabella34[[#This Row],[Lombardy acc. fit]]*NOT(ISBLANK(Tabella34[[#This Row],[Lombardy data]]))</f>
        <v>0</v>
      </c>
      <c r="AZ57" s="95">
        <f>Tabella34[[#This Row],[Lombardy acc. fit]]+CIl</f>
        <v>2576.5819242504117</v>
      </c>
      <c r="BA57" s="95">
        <f>MAX(Tabella34[[#This Row],[Lombardy acc. fit]]-CIl,0)</f>
        <v>0</v>
      </c>
      <c r="BB57" s="155"/>
      <c r="BC57" s="33"/>
      <c r="BD57" s="33"/>
      <c r="BE57" s="156">
        <f>Tabella34[[#This Row],[rest of Italy data]]*NOT(ISBLANK(Tabella34[[#This Row],[rest of Italy data]]))</f>
        <v>0</v>
      </c>
      <c r="BF57" s="204">
        <f>Tabella8[[#This Row],[rest of Italy fit]]</f>
        <v>0.12529684172525352</v>
      </c>
      <c r="BG57" s="157">
        <f>_xlfn.LOGNORM.INV(alpha*Tabella34[[#This Row],[rest of Italy cumul. Fit]]/Ko,mu_o,sigma_o)-(Tabella34[[#This Row],[Day]]-po)</f>
        <v>0.56996412613837144</v>
      </c>
      <c r="BH57" s="157">
        <f>Tabella34[[#This Row],[rest of Italy cumul. Fit]]/Ka</f>
        <v>8.4660038048141327E-7</v>
      </c>
      <c r="BI57" s="157">
        <f>IFERROR(Ko*_xlfn.LOGNORM.DIST((Tabella34[[#This Row],[Day]]-po),mu_o,sigma_o,FALSE),0)</f>
        <v>0.15804390046841324</v>
      </c>
      <c r="BJ57" s="199">
        <f>Tabella34[[#This Row],[rest of Italy velocity]]/Tabella34[[#This Row],[rest of Italy cumul. Fit]]</f>
        <v>1.2613558194464816</v>
      </c>
      <c r="BK57" s="254">
        <f>(LN(Tabella34[[#This Row],[Day]]-po)-mu_o)/sigma_o</f>
        <v>-4.7869676946138151</v>
      </c>
      <c r="BL57" s="262">
        <f>EXP(mu_o+sigma_o*Tabella34[[#This Row],[x_o_alpha©+plus]])-(Tabella34[[#This Row],[Day]]-po)</f>
        <v>215.50836182329516</v>
      </c>
      <c r="BM57" s="262">
        <f>EXP(mu_o+sigma_o*Tabella34[[#This Row],[x_o_alpha©-minus]])-(Tabella34[[#This Row],[Day]]-po)</f>
        <v>-0.58808485658177467</v>
      </c>
      <c r="BN57" s="262">
        <f>-sigma_o+SQRT(sigma_o^2-2*Tabella34[[#This Row],[c_o]])</f>
        <v>4.2966103681363981</v>
      </c>
      <c r="BO57" s="262">
        <f>-sigma_o-SQRT(sigma_o^2-2*Tabella34[[#This Row],[c_o]])</f>
        <v>-4.9395831454354235</v>
      </c>
      <c r="BP57" s="262">
        <f>mu_o-LN(alpha*Ko/(Tabella34[[#This Row],[rest of Italy velocity]]*sigma_o*SQRTPI(2)))</f>
        <v>-10.611732078474819</v>
      </c>
      <c r="BQ57" s="262">
        <f>Tabella34[[#This Row],[t_alpha_o+plus]]</f>
        <v>215.50836182329516</v>
      </c>
      <c r="BR57" s="90">
        <f>IFERROR(-Ka*_xlfn.LOGNORM.DIST((Tabella34[[#This Row],[Day]]-pa),mu_a,sigma_a,FALSE)*(1+(LN((Tabella34[[#This Row],[Day]]-pa))-mu_a)/sigma_a^2)/(Tabella34[[#This Row],[Day]]-pa),0)</f>
        <v>0.17872858448727882</v>
      </c>
      <c r="BS57" s="157">
        <f>Tabella34[[#This Row],[rest of Italy acc. fit]]/y_a_peak</f>
        <v>5.2891594539122943E-5</v>
      </c>
      <c r="BT57" s="156">
        <f>Tabella34[[#This Row],[rest of Italy acc. fit]]*NOT(ISBLANK(Tabella34[[#This Row],[rest of Italy data]]))</f>
        <v>0</v>
      </c>
      <c r="BU57" s="95">
        <f>Tabella34[[#This Row],[rest of Italy acc. fit]]+CIa</f>
        <v>5339.0181637445048</v>
      </c>
      <c r="BV57" s="95">
        <f>MAX(Tabella34[[#This Row],[rest of Italy acc. fit]]-CIa,0)</f>
        <v>0</v>
      </c>
      <c r="BX57" s="245" t="s">
        <v>4012</v>
      </c>
      <c r="BY57" s="246">
        <f>pt</f>
        <v>34.333377297288806</v>
      </c>
    </row>
    <row r="58" spans="2:79" x14ac:dyDescent="0.3">
      <c r="B58" s="281">
        <v>43881</v>
      </c>
      <c r="C58" s="4">
        <v>51</v>
      </c>
      <c r="D58" s="10">
        <f>Tabella8[[#This Row],[Spain cum. Cases]]</f>
        <v>2</v>
      </c>
      <c r="E58" s="90">
        <f>(Tabella34[[#This Row],[Spain cumul. Cases]]-D57)</f>
        <v>0</v>
      </c>
      <c r="F58" s="90">
        <f>Tabella34[[#This Row],[Spain daily cases]]-E57</f>
        <v>0</v>
      </c>
      <c r="G58" s="156">
        <f>Tabella34[[#This Row],[Spain daily cases]]*NOT(ISBLANK(Tabella34[[#This Row],[Spain daily cases]]))</f>
        <v>0</v>
      </c>
      <c r="H58" s="157">
        <f>Tabella8[[#This Row],[Spain cum. fit]]</f>
        <v>6.5215008287316051E-2</v>
      </c>
      <c r="I58" s="157">
        <f>_xlfn.LOGNORM.INV(alpha*Tabella34[[#This Row],[Spain cumul. Fit]]/Kt,mu_t,sigma_t)-(Tabella34[[#This Row],[Day]]-pt)</f>
        <v>0.61259591831886695</v>
      </c>
      <c r="J58" s="157">
        <f>Tabella34[[#This Row],[Spain fitted d.t.]]/Spain_dt_at_lockdown</f>
        <v>0.1634690062047017</v>
      </c>
      <c r="K58" s="157">
        <f>Tabella34[[#This Row],[Spain cumul. Fit]]/Kf</f>
        <v>2.3291083058489471E-7</v>
      </c>
      <c r="L58" s="160"/>
      <c r="M58" s="157"/>
      <c r="N58" s="157">
        <f>IFERROR(Kt*_xlfn.LOGNORM.DIST((Tabella34[[#This Row],[Day]]-pt),mu_t,sigma_t,FALSE),0)</f>
        <v>7.6084153698577198E-2</v>
      </c>
      <c r="O58" s="157" t="e">
        <f>Kt*EXP(-0.5*Tabella34[[#This Row],[x_t]]^2)/(sigma_t*SQRTPI(2)*(Tabella34[[#This Row],[Day]]-D_bk))</f>
        <v>#NAME?</v>
      </c>
      <c r="P58" s="199">
        <f>Tabella34[[#This Row],[Spain fitted velocity]]/Tabella34[[#This Row],[Spain cumul. Fit]]</f>
        <v>1.166666319559069</v>
      </c>
      <c r="Q58" s="262">
        <f>(LN(Tabella34[[#This Row],[Day]]-pt)-mu_t)/sigma_t</f>
        <v>-5.0398808928306247</v>
      </c>
      <c r="R58" s="262">
        <f>EXP(mu_t+sigma_t*Tabella34[[#This Row],[x_t_alpha©+plus]])-(Tabella34[[#This Row],[Day]]-pt)</f>
        <v>208.32881704168983</v>
      </c>
      <c r="S58" s="262">
        <f>EXP(mu_t+sigma_t*Tabella34[[#This Row],[x_t_alpha©-minus]])-(Tabella34[[#This Row],[Day]]-pt)</f>
        <v>-0.62886487135934743</v>
      </c>
      <c r="T58" s="262">
        <f>-sigma_t+SQRT(sigma_t^2-2*Tabella34[[#This Row],[c_t]])</f>
        <v>4.645573125512592</v>
      </c>
      <c r="U58" s="262">
        <f>-sigma_t-SQRT(sigma_t^2-2*Tabella34[[#This Row],[c_t]])</f>
        <v>-5.1830124753557589</v>
      </c>
      <c r="V58" s="262">
        <f>mu_t-LN(alpha*Kt/(Tabella34[[#This Row],[Spain fitted velocity]]*sigma_t*SQRTPI(2)))</f>
        <v>-12.039031732354605</v>
      </c>
      <c r="W58" s="262">
        <f>Tabella34[[#This Row],[Spain fitted g.r.]]/Spain_gr_at_lockdown</f>
        <v>5.6302195000304263</v>
      </c>
      <c r="X58" s="262">
        <f>Tabella34[[#This Row],[t_alpha_t+plus]]</f>
        <v>208.32881704168983</v>
      </c>
      <c r="Y58" s="262">
        <f>Tabella34[[#This Row],[Spain fitted h.t.]]/Spain_ht_at_lockdown</f>
        <v>3.3841275030392355</v>
      </c>
      <c r="Z58" s="90">
        <f>IFERROR(-Kf*_xlfn.LOGNORM.DIST((Tabella34[[#This Row],[Day]]-pf),mu_f,sigma_f,FALSE)*(1+(LN((Tabella34[[#This Row],[Day]]-pf))-mu_f)/sigma_f^2)/(Tabella34[[#This Row],[Day]]-pf),0)</f>
        <v>8.1053399850958718E-2</v>
      </c>
      <c r="AA58" s="90">
        <f>Tabella34[[#This Row],[Spain acc. fit]]/Spain_acc_at_lockdown</f>
        <v>2.7620319202329444E-4</v>
      </c>
      <c r="AB58" s="157">
        <f>Tabella34[[#This Row],[Spain acc. fit]]/y_f_peak</f>
        <v>1.2143439389343717E-5</v>
      </c>
      <c r="AC58" s="157">
        <f>Tabella34[[#This Row],[Colonna4]]*NOT(ISBLANK(Tabella34[[#This Row],[Spain daily cases]]))</f>
        <v>0</v>
      </c>
      <c r="AD58" s="157">
        <f>Tabella34[[#This Row],[Spain acc. fit]]*NOT(ISBLANK(Tabella34[[#This Row],[Spain daily cases]]))</f>
        <v>8.1053399850958718E-2</v>
      </c>
      <c r="AE58" s="95">
        <f>Tabella34[[#This Row],[Spain acc. fit]]+CIf</f>
        <v>2342.7694710809437</v>
      </c>
      <c r="AF58" s="95">
        <f>MAX(Tabella34[[#This Row],[Spain acc. fit]]-CIf,0)</f>
        <v>0</v>
      </c>
      <c r="AG58" s="155"/>
      <c r="AH58" s="33"/>
      <c r="AI58" s="33"/>
      <c r="AJ58" s="156">
        <f>Tabella34[[#This Row],[Lombardy data]]*NOT(ISBLANK(Tabella34[[#This Row],[Lombardy data]]))</f>
        <v>0</v>
      </c>
      <c r="AK58" s="161">
        <f>Tabella8[[#This Row],[Lombardy fit]]</f>
        <v>37.724019062370473</v>
      </c>
      <c r="AL58" s="157">
        <f>_xlfn.LOGNORM.INV(alpha*Tabella34[[#This Row],[Lombardy cumul. Fit]]/Kr,mu_r,sigma_r)-(Tabella34[[#This Row],[Day]]-pr)</f>
        <v>1.3797911975991752</v>
      </c>
      <c r="AM58" s="156">
        <f>Tabella34[[#This Row],[Lombardy cumul. Fit]]/Kl</f>
        <v>4.3360941451000542E-4</v>
      </c>
      <c r="AN58" s="157">
        <f>IFERROR(Kr*_xlfn.LOGNORM.DIST((Tabella34[[#This Row],[Day]]-pr),mu_r,sigma_r,FALSE),0)</f>
        <v>20.124607729459562</v>
      </c>
      <c r="AO58" s="199">
        <f>Tabella34[[#This Row],[Lombardy velocity]]/Tabella34[[#This Row],[Lombardy cumul. Fit]]</f>
        <v>0.5334693447213783</v>
      </c>
      <c r="AP58" s="254">
        <f>(LN(Tabella34[[#This Row],[Day]]-pr)-mu_r)/sigma_r</f>
        <v>-3.3303981509465568</v>
      </c>
      <c r="AQ58" s="262">
        <f>EXP(mu_r+sigma_r*Tabella34[[#This Row],[x_r_alpha©+plus]])-(Tabella34[[#This Row],[Day]]-pr)</f>
        <v>143.64995653297254</v>
      </c>
      <c r="AR58" s="262">
        <f>EXP(mu_r+sigma_r*Tabella34[[#This Row],[x_r_alpha©-minus]])-(Tabella34[[#This Row],[Day]]-pr)</f>
        <v>-1.4488107157442691</v>
      </c>
      <c r="AS58" s="262">
        <f>-sigma_r+SQRT(sigma_r^2-2*Tabella34[[#This Row],[c_r]])</f>
        <v>2.8730163463144072</v>
      </c>
      <c r="AT58" s="262">
        <f>-sigma_r-SQRT(sigma_r^2-2*Tabella34[[#This Row],[c_r]])</f>
        <v>-3.5538709435081364</v>
      </c>
      <c r="AU58" s="262">
        <f>mu_r-LN(alpha*Kr/(Tabella34[[#This Row],[Lombardy velocity]]*sigma_r*SQRTPI(2)))</f>
        <v>-5.105164656695341</v>
      </c>
      <c r="AV58" s="262">
        <f>Tabella34[[#This Row],[t_alpha_r+plus]]</f>
        <v>143.64995653297254</v>
      </c>
      <c r="AW58" s="90">
        <f>IFERROR(-Kl*_xlfn.LOGNORM.DIST((Tabella34[[#This Row],[Day]]-pl),mu_l,sigma_l,FALSE)*(1+(LN((Tabella34[[#This Row],[Day]]-pl))-mu_l)/sigma_l^2)/(Tabella34[[#This Row],[Day]]-pl),0)</f>
        <v>8.9370124839382257</v>
      </c>
      <c r="AX58" s="157">
        <f>Tabella34[[#This Row],[Lombardy acc. fit]]/y_l_peak</f>
        <v>5.0837565054877862E-3</v>
      </c>
      <c r="AY58" s="157">
        <f>Tabella34[[#This Row],[Lombardy acc. fit]]*NOT(ISBLANK(Tabella34[[#This Row],[Lombardy data]]))</f>
        <v>0</v>
      </c>
      <c r="AZ58" s="95">
        <f>Tabella34[[#This Row],[Lombardy acc. fit]]+CIl</f>
        <v>2579.319335400347</v>
      </c>
      <c r="BA58" s="95">
        <f>MAX(Tabella34[[#This Row],[Lombardy acc. fit]]-CIl,0)</f>
        <v>0</v>
      </c>
      <c r="BB58" s="155"/>
      <c r="BC58" s="33"/>
      <c r="BD58" s="33"/>
      <c r="BE58" s="156">
        <f>Tabella34[[#This Row],[rest of Italy data]]*NOT(ISBLANK(Tabella34[[#This Row],[rest of Italy data]]))</f>
        <v>0</v>
      </c>
      <c r="BF58" s="204">
        <f>Tabella8[[#This Row],[rest of Italy fit]]</f>
        <v>0.40942503163152882</v>
      </c>
      <c r="BG58" s="157">
        <f>_xlfn.LOGNORM.INV(alpha*Tabella34[[#This Row],[rest of Italy cumul. Fit]]/Ko,mu_o,sigma_o)-(Tabella34[[#This Row],[Day]]-po)</f>
        <v>0.64847080309076155</v>
      </c>
      <c r="BH58" s="157">
        <f>Tabella34[[#This Row],[rest of Italy cumul. Fit]]/Ka</f>
        <v>2.7663856709008015E-6</v>
      </c>
      <c r="BI58" s="157">
        <f>IFERROR(Ko*_xlfn.LOGNORM.DIST((Tabella34[[#This Row],[Day]]-po),mu_o,sigma_o,FALSE),0)</f>
        <v>0.45506194217060519</v>
      </c>
      <c r="BJ58" s="199">
        <f>Tabella34[[#This Row],[rest of Italy velocity]]/Tabella34[[#This Row],[rest of Italy cumul. Fit]]</f>
        <v>1.1114658533632313</v>
      </c>
      <c r="BK58" s="254">
        <f>(LN(Tabella34[[#This Row],[Day]]-po)-mu_o)/sigma_o</f>
        <v>-4.5435003502876903</v>
      </c>
      <c r="BL58" s="262">
        <f>EXP(mu_o+sigma_o*Tabella34[[#This Row],[x_o_alpha©+plus]])-(Tabella34[[#This Row],[Day]]-po)</f>
        <v>197.93416227339196</v>
      </c>
      <c r="BM58" s="262">
        <f>EXP(mu_o+sigma_o*Tabella34[[#This Row],[x_o_alpha©-minus]])-(Tabella34[[#This Row],[Day]]-po)</f>
        <v>-0.67041702006745396</v>
      </c>
      <c r="BN58" s="262">
        <f>-sigma_o+SQRT(sigma_o^2-2*Tabella34[[#This Row],[c_o]])</f>
        <v>4.0616285144060287</v>
      </c>
      <c r="BO58" s="262">
        <f>-sigma_o-SQRT(sigma_o^2-2*Tabella34[[#This Row],[c_o]])</f>
        <v>-4.7046012917050541</v>
      </c>
      <c r="BP58" s="262">
        <f>mu_o-LN(alpha*Ko/(Tabella34[[#This Row],[rest of Italy velocity]]*sigma_o*SQRTPI(2)))</f>
        <v>-9.5541713776503414</v>
      </c>
      <c r="BQ58" s="262">
        <f>Tabella34[[#This Row],[t_alpha_o+plus]]</f>
        <v>197.93416227339196</v>
      </c>
      <c r="BR58" s="90">
        <f>IFERROR(-Ka*_xlfn.LOGNORM.DIST((Tabella34[[#This Row],[Day]]-pa),mu_a,sigma_a,FALSE)*(1+(LN((Tabella34[[#This Row],[Day]]-pa))-mu_a)/sigma_a^2)/(Tabella34[[#This Row],[Day]]-pa),0)</f>
        <v>0.44993039065524787</v>
      </c>
      <c r="BS58" s="157">
        <f>Tabella34[[#This Row],[rest of Italy acc. fit]]/y_a_peak</f>
        <v>1.3314901956860948E-4</v>
      </c>
      <c r="BT58" s="156">
        <f>Tabella34[[#This Row],[rest of Italy acc. fit]]*NOT(ISBLANK(Tabella34[[#This Row],[rest of Italy data]]))</f>
        <v>0</v>
      </c>
      <c r="BU58" s="95">
        <f>Tabella34[[#This Row],[rest of Italy acc. fit]]+CIa</f>
        <v>5339.2893655506723</v>
      </c>
      <c r="BV58" s="95">
        <f>MAX(Tabella34[[#This Row],[rest of Italy acc. fit]]-CIa,0)</f>
        <v>0</v>
      </c>
      <c r="BX58" s="252"/>
      <c r="BY58" s="252"/>
    </row>
    <row r="59" spans="2:79" x14ac:dyDescent="0.3">
      <c r="B59" s="281">
        <v>43882</v>
      </c>
      <c r="C59" s="4">
        <v>52</v>
      </c>
      <c r="D59" s="10">
        <f>Tabella8[[#This Row],[Spain cum. Cases]]</f>
        <v>2</v>
      </c>
      <c r="E59" s="90">
        <f>(Tabella34[[#This Row],[Spain cumul. Cases]]-D58)</f>
        <v>0</v>
      </c>
      <c r="F59" s="90">
        <f>Tabella34[[#This Row],[Spain daily cases]]-E58</f>
        <v>0</v>
      </c>
      <c r="G59" s="156">
        <f>Tabella34[[#This Row],[Spain daily cases]]*NOT(ISBLANK(Tabella34[[#This Row],[Spain daily cases]]))</f>
        <v>0</v>
      </c>
      <c r="H59" s="157">
        <f>Tabella8[[#This Row],[Spain cum. fit]]</f>
        <v>0.19793985251156093</v>
      </c>
      <c r="I59" s="157">
        <f>_xlfn.LOGNORM.INV(alpha*Tabella34[[#This Row],[Spain cumul. Fit]]/Kt,mu_t,sigma_t)-(Tabella34[[#This Row],[Day]]-pt)</f>
        <v>0.67772715700430197</v>
      </c>
      <c r="J59" s="157">
        <f>Tabella34[[#This Row],[Spain fitted d.t.]]/Spain_dt_at_lockdown</f>
        <v>0.18084904179163058</v>
      </c>
      <c r="K59" s="157">
        <f>Tabella34[[#This Row],[Spain cumul. Fit]]/Kf</f>
        <v>7.0692830783992787E-7</v>
      </c>
      <c r="L59" s="160"/>
      <c r="M59" s="157"/>
      <c r="N59" s="157">
        <f>IFERROR(Kt*_xlfn.LOGNORM.DIST((Tabella34[[#This Row],[Day]]-pt),mu_t,sigma_t,FALSE),0)</f>
        <v>0.20911970476723316</v>
      </c>
      <c r="O59" s="157" t="e">
        <f>Kt*EXP(-0.5*Tabella34[[#This Row],[x_t]]^2)/(sigma_t*SQRTPI(2)*(Tabella34[[#This Row],[Day]]-D_bk))</f>
        <v>#NAME?</v>
      </c>
      <c r="P59" s="199">
        <f>Tabella34[[#This Row],[Spain fitted velocity]]/Tabella34[[#This Row],[Spain cumul. Fit]]</f>
        <v>1.0564810578254789</v>
      </c>
      <c r="Q59" s="262">
        <f>(LN(Tabella34[[#This Row],[Day]]-pt)-mu_t)/sigma_t</f>
        <v>-4.8230413277600386</v>
      </c>
      <c r="R59" s="262">
        <f>EXP(mu_t+sigma_t*Tabella34[[#This Row],[x_t_alpha©+plus]])-(Tabella34[[#This Row],[Day]]-pt)</f>
        <v>194.97012294618901</v>
      </c>
      <c r="S59" s="262">
        <f>EXP(mu_t+sigma_t*Tabella34[[#This Row],[x_t_alpha©-minus]])-(Tabella34[[#This Row],[Day]]-pt)</f>
        <v>-0.69673179901317894</v>
      </c>
      <c r="T59" s="262">
        <f>-sigma_t+SQRT(sigma_t^2-2*Tabella34[[#This Row],[c_t]])</f>
        <v>4.435336030385602</v>
      </c>
      <c r="U59" s="262">
        <f>-sigma_t-SQRT(sigma_t^2-2*Tabella34[[#This Row],[c_t]])</f>
        <v>-4.9727753802287689</v>
      </c>
      <c r="V59" s="262">
        <f>mu_t-LN(alpha*Kt/(Tabella34[[#This Row],[Spain fitted velocity]]*sigma_t*SQRTPI(2)))</f>
        <v>-11.02796490747156</v>
      </c>
      <c r="W59" s="262">
        <f>Tabella34[[#This Row],[Spain fitted g.r.]]/Spain_gr_at_lockdown</f>
        <v>5.0984760196298966</v>
      </c>
      <c r="X59" s="262">
        <f>Tabella34[[#This Row],[t_alpha_t+plus]]</f>
        <v>194.97012294618901</v>
      </c>
      <c r="Y59" s="262">
        <f>Tabella34[[#This Row],[Spain fitted h.t.]]/Spain_ht_at_lockdown</f>
        <v>3.1671266832043807</v>
      </c>
      <c r="Z59" s="90">
        <f>IFERROR(-Kf*_xlfn.LOGNORM.DIST((Tabella34[[#This Row],[Day]]-pf),mu_f,sigma_f,FALSE)*(1+(LN((Tabella34[[#This Row],[Day]]-pf))-mu_f)/sigma_f^2)/(Tabella34[[#This Row],[Day]]-pf),0)</f>
        <v>0.20061604174061276</v>
      </c>
      <c r="AA59" s="90">
        <f>Tabella34[[#This Row],[Spain acc. fit]]/Spain_acc_at_lockdown</f>
        <v>6.8363315051219668E-4</v>
      </c>
      <c r="AB59" s="157">
        <f>Tabella34[[#This Row],[Spain acc. fit]]/y_f_peak</f>
        <v>3.0056342459252987E-5</v>
      </c>
      <c r="AC59" s="157">
        <f>Tabella34[[#This Row],[Colonna4]]*NOT(ISBLANK(Tabella34[[#This Row],[Spain daily cases]]))</f>
        <v>0</v>
      </c>
      <c r="AD59" s="157">
        <f>Tabella34[[#This Row],[Spain acc. fit]]*NOT(ISBLANK(Tabella34[[#This Row],[Spain daily cases]]))</f>
        <v>0.20061604174061276</v>
      </c>
      <c r="AE59" s="95">
        <f>Tabella34[[#This Row],[Spain acc. fit]]+CIf</f>
        <v>2342.8890337228331</v>
      </c>
      <c r="AF59" s="95">
        <f>MAX(Tabella34[[#This Row],[Spain acc. fit]]-CIf,0)</f>
        <v>0</v>
      </c>
      <c r="AG59" s="155"/>
      <c r="AH59" s="33"/>
      <c r="AI59" s="33"/>
      <c r="AJ59" s="156">
        <f>Tabella34[[#This Row],[Lombardy data]]*NOT(ISBLANK(Tabella34[[#This Row],[Lombardy data]]))</f>
        <v>0</v>
      </c>
      <c r="AK59" s="161">
        <f>Tabella8[[#This Row],[Lombardy fit]]</f>
        <v>62.857858736043291</v>
      </c>
      <c r="AL59" s="157">
        <f>_xlfn.LOGNORM.INV(alpha*Tabella34[[#This Row],[Lombardy cumul. Fit]]/Kr,mu_r,sigma_r)-(Tabella34[[#This Row],[Day]]-pr)</f>
        <v>1.5117351204258753</v>
      </c>
      <c r="AM59" s="156">
        <f>Tabella34[[#This Row],[Lombardy cumul. Fit]]/Kl</f>
        <v>7.2250412340279645E-4</v>
      </c>
      <c r="AN59" s="157">
        <f>IFERROR(Kr*_xlfn.LOGNORM.DIST((Tabella34[[#This Row],[Day]]-pr),mu_r,sigma_r,FALSE),0)</f>
        <v>30.712451565484525</v>
      </c>
      <c r="AO59" s="199">
        <f>Tabella34[[#This Row],[Lombardy velocity]]/Tabella34[[#This Row],[Lombardy cumul. Fit]]</f>
        <v>0.4886016193210494</v>
      </c>
      <c r="AP59" s="254">
        <f>(LN(Tabella34[[#This Row],[Day]]-pr)-mu_r)/sigma_r</f>
        <v>-3.1855065662252766</v>
      </c>
      <c r="AQ59" s="262">
        <f>EXP(mu_r+sigma_r*Tabella34[[#This Row],[x_r_alpha©+plus]])-(Tabella34[[#This Row],[Day]]-pr)</f>
        <v>135.34330500929866</v>
      </c>
      <c r="AR59" s="262">
        <f>EXP(mu_r+sigma_r*Tabella34[[#This Row],[x_r_alpha©-minus]])-(Tabella34[[#This Row],[Day]]-pr)</f>
        <v>-1.5909930875576102</v>
      </c>
      <c r="AS59" s="262">
        <f>-sigma_r+SQRT(sigma_r^2-2*Tabella34[[#This Row],[c_r]])</f>
        <v>2.7386586697075135</v>
      </c>
      <c r="AT59" s="262">
        <f>-sigma_r-SQRT(sigma_r^2-2*Tabella34[[#This Row],[c_r]])</f>
        <v>-3.4195132669012427</v>
      </c>
      <c r="AU59" s="262">
        <f>mu_r-LN(alpha*Kr/(Tabella34[[#This Row],[Lombardy velocity]]*sigma_r*SQRTPI(2)))</f>
        <v>-4.6824398272894756</v>
      </c>
      <c r="AV59" s="262">
        <f>Tabella34[[#This Row],[t_alpha_r+plus]]</f>
        <v>135.34330500929866</v>
      </c>
      <c r="AW59" s="90">
        <f>IFERROR(-Kl*_xlfn.LOGNORM.DIST((Tabella34[[#This Row],[Day]]-pl),mu_l,sigma_l,FALSE)*(1+(LN((Tabella34[[#This Row],[Day]]-pl))-mu_l)/sigma_l^2)/(Tabella34[[#This Row],[Day]]-pl),0)</f>
        <v>12.353364167517679</v>
      </c>
      <c r="AX59" s="157">
        <f>Tabella34[[#This Row],[Lombardy acc. fit]]/y_l_peak</f>
        <v>7.0271240600979119E-3</v>
      </c>
      <c r="AY59" s="157">
        <f>Tabella34[[#This Row],[Lombardy acc. fit]]*NOT(ISBLANK(Tabella34[[#This Row],[Lombardy data]]))</f>
        <v>0</v>
      </c>
      <c r="AZ59" s="95">
        <f>Tabella34[[#This Row],[Lombardy acc. fit]]+CIl</f>
        <v>2582.7356870839262</v>
      </c>
      <c r="BA59" s="95">
        <f>MAX(Tabella34[[#This Row],[Lombardy acc. fit]]-CIl,0)</f>
        <v>0</v>
      </c>
      <c r="BB59" s="155"/>
      <c r="BC59" s="33"/>
      <c r="BD59" s="33"/>
      <c r="BE59" s="156">
        <f>Tabella34[[#This Row],[rest of Italy data]]*NOT(ISBLANK(Tabella34[[#This Row],[rest of Italy data]]))</f>
        <v>0</v>
      </c>
      <c r="BF59" s="204">
        <f>Tabella8[[#This Row],[rest of Italy fit]]</f>
        <v>1.166635984039708</v>
      </c>
      <c r="BG59" s="157">
        <f>_xlfn.LOGNORM.INV(alpha*Tabella34[[#This Row],[rest of Italy cumul. Fit]]/Ko,mu_o,sigma_o)-(Tabella34[[#This Row],[Day]]-po)</f>
        <v>0.73260557204050158</v>
      </c>
      <c r="BH59" s="157">
        <f>Tabella34[[#This Row],[rest of Italy cumul. Fit]]/Ka</f>
        <v>7.8826764854701008E-6</v>
      </c>
      <c r="BI59" s="157">
        <f>IFERROR(Ko*_xlfn.LOGNORM.DIST((Tabella34[[#This Row],[Day]]-po),mu_o,sigma_o,FALSE),0)</f>
        <v>1.1508049613296201</v>
      </c>
      <c r="BJ59" s="199">
        <f>Tabella34[[#This Row],[rest of Italy velocity]]/Tabella34[[#This Row],[rest of Italy cumul. Fit]]</f>
        <v>0.98643019508512853</v>
      </c>
      <c r="BK59" s="254">
        <f>(LN(Tabella34[[#This Row],[Day]]-po)-mu_o)/sigma_o</f>
        <v>-4.317713997179605</v>
      </c>
      <c r="BL59" s="262">
        <f>EXP(mu_o+sigma_o*Tabella34[[#This Row],[x_o_alpha©+plus]])-(Tabella34[[#This Row],[Day]]-po)</f>
        <v>182.69845658098137</v>
      </c>
      <c r="BM59" s="262">
        <f>EXP(mu_o+sigma_o*Tabella34[[#This Row],[x_o_alpha©-minus]])-(Tabella34[[#This Row],[Day]]-po)</f>
        <v>-0.75894365738109748</v>
      </c>
      <c r="BN59" s="262">
        <f>-sigma_o+SQRT(sigma_o^2-2*Tabella34[[#This Row],[c_o]])</f>
        <v>3.844582437029922</v>
      </c>
      <c r="BO59" s="262">
        <f>-sigma_o-SQRT(sigma_o^2-2*Tabella34[[#This Row],[c_o]])</f>
        <v>-4.4875552143289479</v>
      </c>
      <c r="BP59" s="262">
        <f>mu_o-LN(alpha*Ko/(Tabella34[[#This Row],[rest of Italy velocity]]*sigma_o*SQRTPI(2)))</f>
        <v>-8.6263879811055588</v>
      </c>
      <c r="BQ59" s="262">
        <f>Tabella34[[#This Row],[t_alpha_o+plus]]</f>
        <v>182.69845658098137</v>
      </c>
      <c r="BR59" s="90">
        <f>IFERROR(-Ka*_xlfn.LOGNORM.DIST((Tabella34[[#This Row],[Day]]-pa),mu_a,sigma_a,FALSE)*(1+(LN((Tabella34[[#This Row],[Day]]-pa))-mu_a)/sigma_a^2)/(Tabella34[[#This Row],[Day]]-pa),0)</f>
        <v>1.0015735603680451</v>
      </c>
      <c r="BS59" s="157">
        <f>Tabella34[[#This Row],[rest of Italy acc. fit]]/y_a_peak</f>
        <v>2.9639815482264366E-4</v>
      </c>
      <c r="BT59" s="156">
        <f>Tabella34[[#This Row],[rest of Italy acc. fit]]*NOT(ISBLANK(Tabella34[[#This Row],[rest of Italy data]]))</f>
        <v>0</v>
      </c>
      <c r="BU59" s="95">
        <f>Tabella34[[#This Row],[rest of Italy acc. fit]]+CIa</f>
        <v>5339.8410087203856</v>
      </c>
      <c r="BV59" s="95">
        <f>MAX(Tabella34[[#This Row],[rest of Italy acc. fit]]-CIa,0)</f>
        <v>0</v>
      </c>
      <c r="BY59" s="72"/>
    </row>
    <row r="60" spans="2:79" x14ac:dyDescent="0.3">
      <c r="B60" s="281">
        <v>43883</v>
      </c>
      <c r="C60" s="4">
        <v>53</v>
      </c>
      <c r="D60" s="10">
        <f>Tabella8[[#This Row],[Spain cum. Cases]]</f>
        <v>2</v>
      </c>
      <c r="E60" s="90">
        <f>(Tabella34[[#This Row],[Spain cumul. Cases]]-D59)</f>
        <v>0</v>
      </c>
      <c r="F60" s="90">
        <f>Tabella34[[#This Row],[Spain daily cases]]-E59</f>
        <v>0</v>
      </c>
      <c r="G60" s="156">
        <f>Tabella34[[#This Row],[Spain daily cases]]*NOT(ISBLANK(Tabella34[[#This Row],[Spain daily cases]]))</f>
        <v>0</v>
      </c>
      <c r="H60" s="157">
        <f>Tabella8[[#This Row],[Spain cum. fit]]</f>
        <v>0.54206203254796037</v>
      </c>
      <c r="I60" s="157">
        <f>_xlfn.LOGNORM.INV(alpha*Tabella34[[#This Row],[Spain cumul. Fit]]/Kt,mu_t,sigma_t)-(Tabella34[[#This Row],[Day]]-pt)</f>
        <v>0.74687973025838517</v>
      </c>
      <c r="J60" s="157">
        <f>Tabella34[[#This Row],[Spain fitted d.t.]]/Spain_dt_at_lockdown</f>
        <v>0.19930215597065573</v>
      </c>
      <c r="K60" s="157">
        <f>Tabella34[[#This Row],[Spain cumul. Fit]]/Kf</f>
        <v>1.9359365511855189E-6</v>
      </c>
      <c r="L60" s="160"/>
      <c r="M60" s="157"/>
      <c r="N60" s="157">
        <f>IFERROR(Kt*_xlfn.LOGNORM.DIST((Tabella34[[#This Row],[Day]]-pt),mu_t,sigma_t,FALSE),0)</f>
        <v>0.52065268396359088</v>
      </c>
      <c r="O60" s="157" t="e">
        <f>Kt*EXP(-0.5*Tabella34[[#This Row],[x_t]]^2)/(sigma_t*SQRTPI(2)*(Tabella34[[#This Row],[Day]]-D_bk))</f>
        <v>#NAME?</v>
      </c>
      <c r="P60" s="199">
        <f>Tabella34[[#This Row],[Spain fitted velocity]]/Tabella34[[#This Row],[Spain cumul. Fit]]</f>
        <v>0.96050387723387498</v>
      </c>
      <c r="Q60" s="262">
        <f>(LN(Tabella34[[#This Row],[Day]]-pt)-mu_t)/sigma_t</f>
        <v>-4.6181441221002792</v>
      </c>
      <c r="R60" s="262">
        <f>EXP(mu_t+sigma_t*Tabella34[[#This Row],[x_t_alpha©+plus]])-(Tabella34[[#This Row],[Day]]-pt)</f>
        <v>182.94766642708407</v>
      </c>
      <c r="S60" s="262">
        <f>EXP(mu_t+sigma_t*Tabella34[[#This Row],[x_t_alpha©-minus]])-(Tabella34[[#This Row],[Day]]-pt)</f>
        <v>-0.76897074880534078</v>
      </c>
      <c r="T60" s="262">
        <f>-sigma_t+SQRT(sigma_t^2-2*Tabella34[[#This Row],[c_t]])</f>
        <v>4.2372527376477169</v>
      </c>
      <c r="U60" s="262">
        <f>-sigma_t-SQRT(sigma_t^2-2*Tabella34[[#This Row],[c_t]])</f>
        <v>-4.7746920874908838</v>
      </c>
      <c r="V60" s="262">
        <f>mu_t-LN(alpha*Kt/(Tabella34[[#This Row],[Spain fitted velocity]]*sigma_t*SQRTPI(2)))</f>
        <v>-10.115788559572819</v>
      </c>
      <c r="W60" s="262">
        <f>Tabella34[[#This Row],[Spain fitted g.r.]]/Spain_gr_at_lockdown</f>
        <v>4.6352993729182481</v>
      </c>
      <c r="X60" s="262">
        <f>Tabella34[[#This Row],[t_alpha_t+plus]]</f>
        <v>182.94766642708407</v>
      </c>
      <c r="Y60" s="262">
        <f>Tabella34[[#This Row],[Spain fitted h.t.]]/Spain_ht_at_lockdown</f>
        <v>2.9718319259156925</v>
      </c>
      <c r="Z60" s="90">
        <f>IFERROR(-Kf*_xlfn.LOGNORM.DIST((Tabella34[[#This Row],[Day]]-pf),mu_f,sigma_f,FALSE)*(1+(LN((Tabella34[[#This Row],[Day]]-pf))-mu_f)/sigma_f^2)/(Tabella34[[#This Row],[Day]]-pf),0)</f>
        <v>0.45145522924006792</v>
      </c>
      <c r="AA60" s="90">
        <f>Tabella34[[#This Row],[Spain acc. fit]]/Spain_acc_at_lockdown</f>
        <v>1.5384101789807894E-3</v>
      </c>
      <c r="AB60" s="157">
        <f>Tabella34[[#This Row],[Spain acc. fit]]/y_f_peak</f>
        <v>6.7637128403740768E-5</v>
      </c>
      <c r="AC60" s="157">
        <f>Tabella34[[#This Row],[Colonna4]]*NOT(ISBLANK(Tabella34[[#This Row],[Spain daily cases]]))</f>
        <v>0</v>
      </c>
      <c r="AD60" s="157">
        <f>Tabella34[[#This Row],[Spain acc. fit]]*NOT(ISBLANK(Tabella34[[#This Row],[Spain daily cases]]))</f>
        <v>0.45145522924006792</v>
      </c>
      <c r="AE60" s="95">
        <f>Tabella34[[#This Row],[Spain acc. fit]]+CIf</f>
        <v>2343.1398729103325</v>
      </c>
      <c r="AF60" s="95">
        <f>MAX(Tabella34[[#This Row],[Spain acc. fit]]-CIf,0)</f>
        <v>0</v>
      </c>
      <c r="AG60" s="155"/>
      <c r="AH60" s="33"/>
      <c r="AI60" s="33"/>
      <c r="AJ60" s="156">
        <f>Tabella34[[#This Row],[Lombardy data]]*NOT(ISBLANK(Tabella34[[#This Row],[Lombardy data]]))</f>
        <v>0</v>
      </c>
      <c r="AK60" s="161">
        <f>Tabella8[[#This Row],[Lombardy fit]]</f>
        <v>100.40214228955595</v>
      </c>
      <c r="AL60" s="157">
        <f>_xlfn.LOGNORM.INV(alpha*Tabella34[[#This Row],[Lombardy cumul. Fit]]/Kr,mu_r,sigma_r)-(Tabella34[[#This Row],[Day]]-pr)</f>
        <v>1.6518502082308046</v>
      </c>
      <c r="AM60" s="156">
        <f>Tabella34[[#This Row],[Lombardy cumul. Fit]]/Kl</f>
        <v>1.1540476125236317E-3</v>
      </c>
      <c r="AN60" s="157">
        <f>IFERROR(Kr*_xlfn.LOGNORM.DIST((Tabella34[[#This Row],[Day]]-pr),mu_r,sigma_r,FALSE),0)</f>
        <v>45.059429969357659</v>
      </c>
      <c r="AO60" s="199">
        <f>Tabella34[[#This Row],[Lombardy velocity]]/Tabella34[[#This Row],[Lombardy cumul. Fit]]</f>
        <v>0.44878952721355264</v>
      </c>
      <c r="AP60" s="254">
        <f>(LN(Tabella34[[#This Row],[Day]]-pr)-mu_r)/sigma_r</f>
        <v>-3.0474270754411052</v>
      </c>
      <c r="AQ60" s="262">
        <f>EXP(mu_r+sigma_r*Tabella34[[#This Row],[x_r_alpha©+plus]])-(Tabella34[[#This Row],[Day]]-pr)</f>
        <v>127.73158392598322</v>
      </c>
      <c r="AR60" s="262">
        <f>EXP(mu_r+sigma_r*Tabella34[[#This Row],[x_r_alpha©-minus]])-(Tabella34[[#This Row],[Day]]-pr)</f>
        <v>-1.7424996902264667</v>
      </c>
      <c r="AS60" s="262">
        <f>-sigma_r+SQRT(sigma_r^2-2*Tabella34[[#This Row],[c_r]])</f>
        <v>2.6115452881584149</v>
      </c>
      <c r="AT60" s="262">
        <f>-sigma_r-SQRT(sigma_r^2-2*Tabella34[[#This Row],[c_r]])</f>
        <v>-3.2923998853521441</v>
      </c>
      <c r="AU60" s="262">
        <f>mu_r-LN(alpha*Kr/(Tabella34[[#This Row],[Lombardy velocity]]*sigma_r*SQRTPI(2)))</f>
        <v>-4.2991257036623489</v>
      </c>
      <c r="AV60" s="262">
        <f>Tabella34[[#This Row],[t_alpha_r+plus]]</f>
        <v>127.73158392598322</v>
      </c>
      <c r="AW60" s="90">
        <f>IFERROR(-Kl*_xlfn.LOGNORM.DIST((Tabella34[[#This Row],[Day]]-pl),mu_l,sigma_l,FALSE)*(1+(LN((Tabella34[[#This Row],[Day]]-pl))-mu_l)/sigma_l^2)/(Tabella34[[#This Row],[Day]]-pl),0)</f>
        <v>16.452649411897646</v>
      </c>
      <c r="AX60" s="157">
        <f>Tabella34[[#This Row],[Lombardy acc. fit]]/y_l_peak</f>
        <v>9.3589735530263795E-3</v>
      </c>
      <c r="AY60" s="157">
        <f>Tabella34[[#This Row],[Lombardy acc. fit]]*NOT(ISBLANK(Tabella34[[#This Row],[Lombardy data]]))</f>
        <v>0</v>
      </c>
      <c r="AZ60" s="95">
        <f>Tabella34[[#This Row],[Lombardy acc. fit]]+CIl</f>
        <v>2586.8349723283063</v>
      </c>
      <c r="BA60" s="95">
        <f>MAX(Tabella34[[#This Row],[Lombardy acc. fit]]-CIl,0)</f>
        <v>0</v>
      </c>
      <c r="BB60" s="155"/>
      <c r="BC60" s="33"/>
      <c r="BD60" s="33"/>
      <c r="BE60" s="156">
        <f>Tabella34[[#This Row],[rest of Italy data]]*NOT(ISBLANK(Tabella34[[#This Row],[rest of Italy data]]))</f>
        <v>0</v>
      </c>
      <c r="BF60" s="204">
        <f>Tabella8[[#This Row],[rest of Italy fit]]</f>
        <v>2.9634107340692979</v>
      </c>
      <c r="BG60" s="157">
        <f>_xlfn.LOGNORM.INV(alpha*Tabella34[[#This Row],[rest of Italy cumul. Fit]]/Ko,mu_o,sigma_o)-(Tabella34[[#This Row],[Day]]-po)</f>
        <v>0.8226594516311394</v>
      </c>
      <c r="BH60" s="157">
        <f>Tabella34[[#This Row],[rest of Italy cumul. Fit]]/Ka</f>
        <v>2.0023047831381367E-5</v>
      </c>
      <c r="BI60" s="157">
        <f>IFERROR(Ko*_xlfn.LOGNORM.DIST((Tabella34[[#This Row],[Day]]-po),mu_o,sigma_o,FALSE),0)</f>
        <v>2.6104279071784542</v>
      </c>
      <c r="BJ60" s="199">
        <f>Tabella34[[#This Row],[rest of Italy velocity]]/Tabella34[[#This Row],[rest of Italy cumul. Fit]]</f>
        <v>0.88088629671455143</v>
      </c>
      <c r="BK60" s="254">
        <f>(LN(Tabella34[[#This Row],[Day]]-po)-mu_o)/sigma_o</f>
        <v>-4.1072135464010247</v>
      </c>
      <c r="BL60" s="262">
        <f>EXP(mu_o+sigma_o*Tabella34[[#This Row],[x_o_alpha©+plus]])-(Tabella34[[#This Row],[Day]]-po)</f>
        <v>169.34428026089842</v>
      </c>
      <c r="BM60" s="262">
        <f>EXP(mu_o+sigma_o*Tabella34[[#This Row],[x_o_alpha©-minus]])-(Tabella34[[#This Row],[Day]]-po)</f>
        <v>-0.85401939388852455</v>
      </c>
      <c r="BN60" s="262">
        <f>-sigma_o+SQRT(sigma_o^2-2*Tabella34[[#This Row],[c_o]])</f>
        <v>3.6431099935888134</v>
      </c>
      <c r="BO60" s="262">
        <f>-sigma_o-SQRT(sigma_o^2-2*Tabella34[[#This Row],[c_o]])</f>
        <v>-4.2860827708878393</v>
      </c>
      <c r="BP60" s="262">
        <f>mu_o-LN(alpha*Ko/(Tabella34[[#This Row],[rest of Italy velocity]]*sigma_o*SQRTPI(2)))</f>
        <v>-7.8073354879851609</v>
      </c>
      <c r="BQ60" s="262">
        <f>Tabella34[[#This Row],[t_alpha_o+plus]]</f>
        <v>169.34428026089842</v>
      </c>
      <c r="BR60" s="90">
        <f>IFERROR(-Ka*_xlfn.LOGNORM.DIST((Tabella34[[#This Row],[Day]]-pa),mu_a,sigma_a,FALSE)*(1+(LN((Tabella34[[#This Row],[Day]]-pa))-mu_a)/sigma_a^2)/(Tabella34[[#This Row],[Day]]-pa),0)</f>
        <v>2.011416002394891</v>
      </c>
      <c r="BS60" s="157">
        <f>Tabella34[[#This Row],[rest of Italy acc. fit]]/y_a_peak</f>
        <v>5.9524334036084928E-4</v>
      </c>
      <c r="BT60" s="156">
        <f>Tabella34[[#This Row],[rest of Italy acc. fit]]*NOT(ISBLANK(Tabella34[[#This Row],[rest of Italy data]]))</f>
        <v>0</v>
      </c>
      <c r="BU60" s="95">
        <f>Tabella34[[#This Row],[rest of Italy acc. fit]]+CIa</f>
        <v>5340.8508511624123</v>
      </c>
      <c r="BV60" s="95">
        <f>MAX(Tabella34[[#This Row],[rest of Italy acc. fit]]-CIa,0)</f>
        <v>0</v>
      </c>
    </row>
    <row r="61" spans="2:79" ht="15" thickBot="1" x14ac:dyDescent="0.35">
      <c r="B61" s="281">
        <v>43884</v>
      </c>
      <c r="C61" s="4">
        <v>54</v>
      </c>
      <c r="D61" s="10">
        <f>Tabella8[[#This Row],[Spain cum. Cases]]</f>
        <v>2</v>
      </c>
      <c r="E61" s="90">
        <f>(Tabella34[[#This Row],[Spain cumul. Cases]]-D60)</f>
        <v>0</v>
      </c>
      <c r="F61" s="90">
        <f>Tabella34[[#This Row],[Spain daily cases]]-E60</f>
        <v>0</v>
      </c>
      <c r="G61" s="156">
        <f>Tabella34[[#This Row],[Spain daily cases]]*NOT(ISBLANK(Tabella34[[#This Row],[Spain daily cases]]))</f>
        <v>0</v>
      </c>
      <c r="H61" s="157">
        <f>Tabella8[[#This Row],[Spain cum. fit]]</f>
        <v>1.3568228241408331</v>
      </c>
      <c r="I61" s="157">
        <f>_xlfn.LOGNORM.INV(alpha*Tabella34[[#This Row],[Spain cumul. Fit]]/Kt,mu_t,sigma_t)-(Tabella34[[#This Row],[Day]]-pt)</f>
        <v>0.82026457809050868</v>
      </c>
      <c r="J61" s="157">
        <f>Tabella34[[#This Row],[Spain fitted d.t.]]/Spain_dt_at_lockdown</f>
        <v>0.21888463732071312</v>
      </c>
      <c r="K61" s="157">
        <f>Tabella34[[#This Row],[Spain cumul. Fit]]/Kf</f>
        <v>4.8457976043629177E-6</v>
      </c>
      <c r="L61" s="160"/>
      <c r="M61" s="157"/>
      <c r="N61" s="157">
        <f>IFERROR(Kt*_xlfn.LOGNORM.DIST((Tabella34[[#This Row],[Day]]-pt),mu_t,sigma_t,FALSE),0)</f>
        <v>1.1890292674842853</v>
      </c>
      <c r="O61" s="157" t="e">
        <f>Kt*EXP(-0.5*Tabella34[[#This Row],[x_t]]^2)/(sigma_t*SQRTPI(2)*(Tabella34[[#This Row],[Day]]-D_bk))</f>
        <v>#NAME?</v>
      </c>
      <c r="P61" s="199">
        <f>Tabella34[[#This Row],[Spain fitted velocity]]/Tabella34[[#This Row],[Spain cumul. Fit]]</f>
        <v>0.87633348019274515</v>
      </c>
      <c r="Q61" s="262">
        <f>(LN(Tabella34[[#This Row],[Day]]-pt)-mu_t)/sigma_t</f>
        <v>-4.4239422165546163</v>
      </c>
      <c r="R61" s="262">
        <f>EXP(mu_t+sigma_t*Tabella34[[#This Row],[x_t_alpha©+plus]])-(Tabella34[[#This Row],[Day]]-pt)</f>
        <v>172.05869513366599</v>
      </c>
      <c r="S61" s="262">
        <f>EXP(mu_t+sigma_t*Tabella34[[#This Row],[x_t_alpha©-minus]])-(Tabella34[[#This Row],[Day]]-pt)</f>
        <v>-0.84583045419484648</v>
      </c>
      <c r="T61" s="262">
        <f>-sigma_t+SQRT(sigma_t^2-2*Tabella34[[#This Row],[c_t]])</f>
        <v>4.0500959881526315</v>
      </c>
      <c r="U61" s="262">
        <f>-sigma_t-SQRT(sigma_t^2-2*Tabella34[[#This Row],[c_t]])</f>
        <v>-4.5875353379957984</v>
      </c>
      <c r="V61" s="262">
        <f>mu_t-LN(alpha*Kt/(Tabella34[[#This Row],[Spain fitted velocity]]*sigma_t*SQRTPI(2)))</f>
        <v>-9.2899792339626064</v>
      </c>
      <c r="W61" s="262">
        <f>Tabella34[[#This Row],[Spain fitted g.r.]]/Spain_gr_at_lockdown</f>
        <v>4.2291011285690177</v>
      </c>
      <c r="X61" s="262">
        <f>Tabella34[[#This Row],[t_alpha_t+plus]]</f>
        <v>172.05869513366599</v>
      </c>
      <c r="Y61" s="262">
        <f>Tabella34[[#This Row],[Spain fitted h.t.]]/Spain_ht_at_lockdown</f>
        <v>2.7949496887046652</v>
      </c>
      <c r="Z61" s="90">
        <f>IFERROR(-Kf*_xlfn.LOGNORM.DIST((Tabella34[[#This Row],[Day]]-pf),mu_f,sigma_f,FALSE)*(1+(LN((Tabella34[[#This Row],[Day]]-pf))-mu_f)/sigma_f^2)/(Tabella34[[#This Row],[Day]]-pf),0)</f>
        <v>0.93488368647520215</v>
      </c>
      <c r="AA61" s="90">
        <f>Tabella34[[#This Row],[Spain acc. fit]]/Spain_acc_at_lockdown</f>
        <v>3.1857745492449123E-3</v>
      </c>
      <c r="AB61" s="157">
        <f>Tabella34[[#This Row],[Spain acc. fit]]/y_f_peak</f>
        <v>1.400644933299926E-4</v>
      </c>
      <c r="AC61" s="157">
        <f>Tabella34[[#This Row],[Colonna4]]*NOT(ISBLANK(Tabella34[[#This Row],[Spain daily cases]]))</f>
        <v>0</v>
      </c>
      <c r="AD61" s="157">
        <f>Tabella34[[#This Row],[Spain acc. fit]]*NOT(ISBLANK(Tabella34[[#This Row],[Spain daily cases]]))</f>
        <v>0.93488368647520215</v>
      </c>
      <c r="AE61" s="95">
        <f>Tabella34[[#This Row],[Spain acc. fit]]+CIf</f>
        <v>2343.6233013675678</v>
      </c>
      <c r="AF61" s="95">
        <f>MAX(Tabella34[[#This Row],[Spain acc. fit]]-CIf,0)</f>
        <v>0</v>
      </c>
      <c r="AG61" s="155"/>
      <c r="AH61" s="33"/>
      <c r="AI61" s="33"/>
      <c r="AJ61" s="156">
        <f>Tabella34[[#This Row],[Lombardy data]]*NOT(ISBLANK(Tabella34[[#This Row],[Lombardy data]]))</f>
        <v>0</v>
      </c>
      <c r="AK61" s="161">
        <f>Tabella8[[#This Row],[Lombardy fit]]</f>
        <v>154.45315185535208</v>
      </c>
      <c r="AL61" s="157">
        <f>_xlfn.LOGNORM.INV(alpha*Tabella34[[#This Row],[Lombardy cumul. Fit]]/Kr,mu_r,sigma_r)-(Tabella34[[#This Row],[Day]]-pr)</f>
        <v>1.8006222140349131</v>
      </c>
      <c r="AM61" s="156">
        <f>Tabella34[[#This Row],[Lombardy cumul. Fit]]/Kl</f>
        <v>1.7753235845442768E-3</v>
      </c>
      <c r="AN61" s="157">
        <f>IFERROR(Kr*_xlfn.LOGNORM.DIST((Tabella34[[#This Row],[Day]]-pr),mu_r,sigma_r,FALSE),0)</f>
        <v>63.833835847445826</v>
      </c>
      <c r="AO61" s="199">
        <f>Tabella34[[#This Row],[Lombardy velocity]]/Tabella34[[#This Row],[Lombardy cumul. Fit]]</f>
        <v>0.41328930540198539</v>
      </c>
      <c r="AP61" s="254">
        <f>(LN(Tabella34[[#This Row],[Day]]-pr)-mu_r)/sigma_r</f>
        <v>-2.9155477960322029</v>
      </c>
      <c r="AQ61" s="262">
        <f>EXP(mu_r+sigma_r*Tabella34[[#This Row],[x_r_alpha©+plus]])-(Tabella34[[#This Row],[Day]]-pr)</f>
        <v>120.72519195223074</v>
      </c>
      <c r="AR61" s="262">
        <f>EXP(mu_r+sigma_r*Tabella34[[#This Row],[x_r_alpha©-minus]])-(Tabella34[[#This Row],[Day]]-pr)</f>
        <v>-1.9039123965405302</v>
      </c>
      <c r="AS61" s="262">
        <f>-sigma_r+SQRT(sigma_r^2-2*Tabella34[[#This Row],[c_r]])</f>
        <v>2.4910987806458311</v>
      </c>
      <c r="AT61" s="262">
        <f>-sigma_r-SQRT(sigma_r^2-2*Tabella34[[#This Row],[c_r]])</f>
        <v>-3.1719533778395603</v>
      </c>
      <c r="AU61" s="262">
        <f>mu_r-LN(alpha*Kr/(Tabella34[[#This Row],[Lombardy velocity]]*sigma_r*SQRTPI(2)))</f>
        <v>-3.9508245959007775</v>
      </c>
      <c r="AV61" s="262">
        <f>Tabella34[[#This Row],[t_alpha_r+plus]]</f>
        <v>120.72519195223074</v>
      </c>
      <c r="AW61" s="90">
        <f>IFERROR(-Kl*_xlfn.LOGNORM.DIST((Tabella34[[#This Row],[Day]]-pl),mu_l,sigma_l,FALSE)*(1+(LN((Tabella34[[#This Row],[Day]]-pl))-mu_l)/sigma_l^2)/(Tabella34[[#This Row],[Day]]-pl),0)</f>
        <v>21.198866718914537</v>
      </c>
      <c r="AX61" s="157">
        <f>Tabella34[[#This Row],[Lombardy acc. fit]]/y_l_peak</f>
        <v>1.2058825786014781E-2</v>
      </c>
      <c r="AY61" s="157">
        <f>Tabella34[[#This Row],[Lombardy acc. fit]]*NOT(ISBLANK(Tabella34[[#This Row],[Lombardy data]]))</f>
        <v>0</v>
      </c>
      <c r="AZ61" s="95">
        <f>Tabella34[[#This Row],[Lombardy acc. fit]]+CIl</f>
        <v>2591.581189635323</v>
      </c>
      <c r="BA61" s="95">
        <f>MAX(Tabella34[[#This Row],[Lombardy acc. fit]]-CIl,0)</f>
        <v>0</v>
      </c>
      <c r="BB61" s="155"/>
      <c r="BC61" s="33"/>
      <c r="BD61" s="33"/>
      <c r="BE61" s="156">
        <f>Tabella34[[#This Row],[rest of Italy data]]*NOT(ISBLANK(Tabella34[[#This Row],[rest of Italy data]]))</f>
        <v>0</v>
      </c>
      <c r="BF61" s="204">
        <f>Tabella8[[#This Row],[rest of Italy fit]]</f>
        <v>6.8282200200796863</v>
      </c>
      <c r="BG61" s="157">
        <f>_xlfn.LOGNORM.INV(alpha*Tabella34[[#This Row],[rest of Italy cumul. Fit]]/Ko,mu_o,sigma_o)-(Tabella34[[#This Row],[Day]]-po)</f>
        <v>0.91895316773898017</v>
      </c>
      <c r="BH61" s="157">
        <f>Tabella34[[#This Row],[rest of Italy cumul. Fit]]/Ka</f>
        <v>4.6136627128129388E-5</v>
      </c>
      <c r="BI61" s="157">
        <f>IFERROR(Ko*_xlfn.LOGNORM.DIST((Tabella34[[#This Row],[Day]]-po),mu_o,sigma_o,FALSE),0)</f>
        <v>5.4002727358958271</v>
      </c>
      <c r="BJ61" s="199">
        <f>Tabella34[[#This Row],[rest of Italy velocity]]/Tabella34[[#This Row],[rest of Italy cumul. Fit]]</f>
        <v>0.79087561912406057</v>
      </c>
      <c r="BK61" s="254">
        <f>(LN(Tabella34[[#This Row],[Day]]-po)-mu_o)/sigma_o</f>
        <v>-3.9100598530036748</v>
      </c>
      <c r="BL61" s="262">
        <f>EXP(mu_o+sigma_o*Tabella34[[#This Row],[x_o_alpha©+plus]])-(Tabella34[[#This Row],[Day]]-po)</f>
        <v>157.52695933373116</v>
      </c>
      <c r="BM61" s="262">
        <f>EXP(mu_o+sigma_o*Tabella34[[#This Row],[x_o_alpha©-minus]])-(Tabella34[[#This Row],[Day]]-po)</f>
        <v>-0.95603463887003137</v>
      </c>
      <c r="BN61" s="262">
        <f>-sigma_o+SQRT(sigma_o^2-2*Tabella34[[#This Row],[c_o]])</f>
        <v>3.4553050896011359</v>
      </c>
      <c r="BO61" s="262">
        <f>-sigma_o-SQRT(sigma_o^2-2*Tabella34[[#This Row],[c_o]])</f>
        <v>-4.0982778669001618</v>
      </c>
      <c r="BP61" s="262">
        <f>mu_o-LN(alpha*Ko/(Tabella34[[#This Row],[rest of Italy velocity]]*sigma_o*SQRTPI(2)))</f>
        <v>-7.0804001860499097</v>
      </c>
      <c r="BQ61" s="262">
        <f>Tabella34[[#This Row],[t_alpha_o+plus]]</f>
        <v>157.52695933373116</v>
      </c>
      <c r="BR61" s="90">
        <f>IFERROR(-Ka*_xlfn.LOGNORM.DIST((Tabella34[[#This Row],[Day]]-pa),mu_a,sigma_a,FALSE)*(1+(LN((Tabella34[[#This Row],[Day]]-pa))-mu_a)/sigma_a^2)/(Tabella34[[#This Row],[Day]]-pa),0)</f>
        <v>3.7021317471923627</v>
      </c>
      <c r="BS61" s="157">
        <f>Tabella34[[#This Row],[rest of Italy acc. fit]]/y_a_peak</f>
        <v>1.0955810558486816E-3</v>
      </c>
      <c r="BT61" s="156">
        <f>Tabella34[[#This Row],[rest of Italy acc. fit]]*NOT(ISBLANK(Tabella34[[#This Row],[rest of Italy data]]))</f>
        <v>0</v>
      </c>
      <c r="BU61" s="95">
        <f>Tabella34[[#This Row],[rest of Italy acc. fit]]+CIa</f>
        <v>5342.5415669072099</v>
      </c>
      <c r="BV61" s="95">
        <f>MAX(Tabella34[[#This Row],[rest of Italy acc. fit]]-CIa,0)</f>
        <v>0</v>
      </c>
    </row>
    <row r="62" spans="2:79" ht="15" thickBot="1" x14ac:dyDescent="0.35">
      <c r="B62" s="281">
        <v>43885</v>
      </c>
      <c r="C62" s="190">
        <v>55</v>
      </c>
      <c r="D62" s="191">
        <f>Tabella8[[#This Row],[Spain cum. Cases]]</f>
        <v>2</v>
      </c>
      <c r="E62" s="192">
        <f>(Tabella34[[#This Row],[Spain cumul. Cases]]-D61)</f>
        <v>0</v>
      </c>
      <c r="F62" s="192">
        <f>Tabella34[[#This Row],[Spain daily cases]]-E61</f>
        <v>0</v>
      </c>
      <c r="G62" s="193">
        <f>Tabella34[[#This Row],[Spain daily cases]]*NOT(ISBLANK(Tabella34[[#This Row],[Spain daily cases]]))</f>
        <v>0</v>
      </c>
      <c r="H62" s="194">
        <f>Tabella8[[#This Row],[Spain cum. fit]]</f>
        <v>3.1380110425677619</v>
      </c>
      <c r="I62" s="194">
        <f>_xlfn.LOGNORM.INV(alpha*Tabella34[[#This Row],[Spain cumul. Fit]]/Kt,mu_t,sigma_t)-(Tabella34[[#This Row],[Day]]-pt)</f>
        <v>0.89811107065550644</v>
      </c>
      <c r="J62" s="194">
        <f>Tabella34[[#This Row],[Spain fitted d.t.]]/Spain_dt_at_lockdown</f>
        <v>0.23965769243842291</v>
      </c>
      <c r="K62" s="193">
        <f>Tabella34[[#This Row],[Spain cumul. Fit]]/Kf</f>
        <v>1.1207186466787281E-5</v>
      </c>
      <c r="L62" s="195"/>
      <c r="M62" s="193"/>
      <c r="N62" s="194">
        <f>IFERROR(Kt*_xlfn.LOGNORM.DIST((Tabella34[[#This Row],[Day]]-pt),mu_t,sigma_t,FALSE),0)</f>
        <v>2.5168940446355834</v>
      </c>
      <c r="O62" s="194" t="e">
        <f>Kt*EXP(-0.5*Tabella34[[#This Row],[x_t]]^2)/(sigma_t*SQRTPI(2)*(Tabella34[[#This Row],[Day]]-D_bk))</f>
        <v>#NAME?</v>
      </c>
      <c r="P62" s="200">
        <f>Tabella34[[#This Row],[Spain fitted velocity]]/Tabella34[[#This Row],[Spain cumul. Fit]]</f>
        <v>0.80206666276612815</v>
      </c>
      <c r="Q62" s="263">
        <f>(LN(Tabella34[[#This Row],[Day]]-pt)-mu_t)/sigma_t</f>
        <v>-4.2393742301528912</v>
      </c>
      <c r="R62" s="263">
        <f>EXP(mu_t+sigma_t*Tabella34[[#This Row],[x_t_alpha©+plus]])-(Tabella34[[#This Row],[Day]]-pt)</f>
        <v>162.13974601087614</v>
      </c>
      <c r="S62" s="263">
        <f>EXP(mu_t+sigma_t*Tabella34[[#This Row],[x_t_alpha©-minus]])-(Tabella34[[#This Row],[Day]]-pt)</f>
        <v>-0.92758187403671855</v>
      </c>
      <c r="T62" s="263">
        <f>-sigma_t+SQRT(sigma_t^2-2*Tabella34[[#This Row],[c_t]])</f>
        <v>3.8728249594025499</v>
      </c>
      <c r="U62" s="263">
        <f>-sigma_t-SQRT(sigma_t^2-2*Tabella34[[#This Row],[c_t]])</f>
        <v>-4.4102643092457168</v>
      </c>
      <c r="V62" s="263">
        <f>mu_t-LN(alpha*Kt/(Tabella34[[#This Row],[Spain fitted velocity]]*sigma_t*SQRTPI(2)))</f>
        <v>-8.5400908472045298</v>
      </c>
      <c r="W62" s="263">
        <f>Tabella34[[#This Row],[Spain fitted g.r.]]/Spain_gr_at_lockdown</f>
        <v>3.8706966073528997</v>
      </c>
      <c r="X62" s="263">
        <f>Tabella34[[#This Row],[t_alpha_t+plus]]</f>
        <v>162.13974601087614</v>
      </c>
      <c r="Y62" s="263">
        <f>Tabella34[[#This Row],[Spain fitted h.t.]]/Spain_ht_at_lockdown</f>
        <v>2.6338246508710239</v>
      </c>
      <c r="Z62" s="192">
        <f>IFERROR(-Kf*_xlfn.LOGNORM.DIST((Tabella34[[#This Row],[Day]]-pf),mu_f,sigma_f,FALSE)*(1+(LN((Tabella34[[#This Row],[Day]]-pf))-mu_f)/sigma_f^2)/(Tabella34[[#This Row],[Day]]-pf),0)</f>
        <v>1.7995257359846462</v>
      </c>
      <c r="AA62" s="192">
        <f>Tabella34[[#This Row],[Spain acc. fit]]/Spain_acc_at_lockdown</f>
        <v>6.1321888202219375E-3</v>
      </c>
      <c r="AB62" s="193">
        <f>Tabella34[[#This Row],[Spain acc. fit]]/y_f_peak</f>
        <v>2.6960536812368173E-4</v>
      </c>
      <c r="AC62" s="194">
        <f>Tabella34[[#This Row],[Colonna4]]*NOT(ISBLANK(Tabella34[[#This Row],[Spain daily cases]]))</f>
        <v>0</v>
      </c>
      <c r="AD62" s="194">
        <f>Tabella34[[#This Row],[Spain acc. fit]]*NOT(ISBLANK(Tabella34[[#This Row],[Spain daily cases]]))</f>
        <v>1.7995257359846462</v>
      </c>
      <c r="AE62" s="193">
        <f>Tabella34[[#This Row],[Spain acc. fit]]+CIf</f>
        <v>2344.4879434170775</v>
      </c>
      <c r="AF62" s="193">
        <f>MAX(Tabella34[[#This Row],[Spain acc. fit]]-CIf,0)</f>
        <v>0</v>
      </c>
      <c r="AG62" s="196">
        <f>Tabella8[[#This Row],[Lombardy]]</f>
        <v>0</v>
      </c>
      <c r="AH62" s="197"/>
      <c r="AI62" s="197"/>
      <c r="AJ62" s="193">
        <f>Tabella34[[#This Row],[Lombardy data]]*NOT(ISBLANK(Tabella34[[#This Row],[Lombardy data]]))</f>
        <v>0</v>
      </c>
      <c r="AK62" s="193">
        <f>Tabella8[[#This Row],[Lombardy fit]]</f>
        <v>229.75081032074394</v>
      </c>
      <c r="AL62" s="194">
        <f>_xlfn.LOGNORM.INV(alpha*Tabella34[[#This Row],[Lombardy cumul. Fit]]/Kr,mu_r,sigma_r)-(Tabella34[[#This Row],[Day]]-pr)</f>
        <v>1.9585803411095704</v>
      </c>
      <c r="AM62" s="193">
        <f>Tabella34[[#This Row],[Lombardy cumul. Fit]]/Kl</f>
        <v>2.640813911732689E-3</v>
      </c>
      <c r="AN62" s="193">
        <f>IFERROR(Kr*_xlfn.LOGNORM.DIST((Tabella34[[#This Row],[Day]]-pr),mu_r,sigma_r,FALSE),0)</f>
        <v>87.648093905472948</v>
      </c>
      <c r="AO62" s="201">
        <f>Tabella34[[#This Row],[Lombardy velocity]]/Tabella34[[#This Row],[Lombardy cumul. Fit]]</f>
        <v>0.38149199031381742</v>
      </c>
      <c r="AP62" s="258">
        <f>(LN(Tabella34[[#This Row],[Day]]-pr)-mu_r)/sigma_r</f>
        <v>-2.7893357558029925</v>
      </c>
      <c r="AQ62" s="263">
        <f>EXP(mu_r+sigma_r*Tabella34[[#This Row],[x_r_alpha©+plus]])-(Tabella34[[#This Row],[Day]]-pr)</f>
        <v>114.2497297966359</v>
      </c>
      <c r="AR62" s="263">
        <f>EXP(mu_r+sigma_r*Tabella34[[#This Row],[x_r_alpha©-minus]])-(Tabella34[[#This Row],[Day]]-pr)</f>
        <v>-2.0758594084561821</v>
      </c>
      <c r="AS62" s="263">
        <f>-sigma_r+SQRT(sigma_r^2-2*Tabella34[[#This Row],[c_r]])</f>
        <v>2.3768225965904715</v>
      </c>
      <c r="AT62" s="263">
        <f>-sigma_r-SQRT(sigma_r^2-2*Tabella34[[#This Row],[c_r]])</f>
        <v>-3.0576771937842007</v>
      </c>
      <c r="AU62" s="263">
        <f>mu_r-LN(alpha*Kr/(Tabella34[[#This Row],[Lombardy velocity]]*sigma_r*SQRTPI(2)))</f>
        <v>-3.6337781236328155</v>
      </c>
      <c r="AV62" s="263">
        <f>Tabella34[[#This Row],[t_alpha_r+plus]]</f>
        <v>114.2497297966359</v>
      </c>
      <c r="AW62" s="192">
        <f>IFERROR(-Kl*_xlfn.LOGNORM.DIST((Tabella34[[#This Row],[Day]]-pl),mu_l,sigma_l,FALSE)*(1+(LN((Tabella34[[#This Row],[Day]]-pl))-mu_l)/sigma_l^2)/(Tabella34[[#This Row],[Day]]-pl),0)</f>
        <v>26.516687225262309</v>
      </c>
      <c r="AX62" s="193">
        <f>Tabella34[[#This Row],[Lombardy acc. fit]]/y_l_peak</f>
        <v>1.5083830466577641E-2</v>
      </c>
      <c r="AY62" s="194">
        <f>Tabella34[[#This Row],[Lombardy acc. fit]]*NOT(ISBLANK(Tabella34[[#This Row],[Lombardy data]]))</f>
        <v>0</v>
      </c>
      <c r="AZ62" s="193">
        <f>Tabella34[[#This Row],[Lombardy acc. fit]]+CIl</f>
        <v>2596.8990101416707</v>
      </c>
      <c r="BA62" s="193">
        <f>MAX(Tabella34[[#This Row],[Lombardy acc. fit]]-CIl,0)</f>
        <v>0</v>
      </c>
      <c r="BB62" s="191">
        <f>Tabella8[[#This Row],[rest of Italy ]]</f>
        <v>2</v>
      </c>
      <c r="BC62" s="197"/>
      <c r="BD62" s="197"/>
      <c r="BE62" s="193">
        <f>Tabella34[[#This Row],[rest of Italy data]]*NOT(ISBLANK(Tabella34[[#This Row],[rest of Italy data]]))</f>
        <v>0</v>
      </c>
      <c r="BF62" s="193">
        <f>Tabella8[[#This Row],[rest of Italy fit]]</f>
        <v>14.472768060535266</v>
      </c>
      <c r="BG62" s="194">
        <f>_xlfn.LOGNORM.INV(alpha*Tabella34[[#This Row],[rest of Italy cumul. Fit]]/Ko,mu_o,sigma_o)-(Tabella34[[#This Row],[Day]]-po)</f>
        <v>1.0218391596502805</v>
      </c>
      <c r="BH62" s="193">
        <f>Tabella34[[#This Row],[rest of Italy cumul. Fit]]/Ka</f>
        <v>9.7788984765757959E-5</v>
      </c>
      <c r="BI62" s="194">
        <f>IFERROR(Ko*_xlfn.LOGNORM.DIST((Tabella34[[#This Row],[Day]]-po),mu_o,sigma_o,FALSE),0)</f>
        <v>10.325132476591177</v>
      </c>
      <c r="BJ62" s="200">
        <f>Tabella34[[#This Row],[rest of Italy velocity]]/Tabella34[[#This Row],[rest of Italy cumul. Fit]]</f>
        <v>0.71341794696109495</v>
      </c>
      <c r="BK62" s="255">
        <f>(LN(Tabella34[[#This Row],[Day]]-po)-mu_o)/sigma_o</f>
        <v>-3.7246608608293439</v>
      </c>
      <c r="BL62" s="263">
        <f>EXP(mu_o+sigma_o*Tabella34[[#This Row],[x_o_alpha©+plus]])-(Tabella34[[#This Row],[Day]]-po)</f>
        <v>146.9816559251986</v>
      </c>
      <c r="BM62" s="263">
        <f>EXP(mu_o+sigma_o*Tabella34[[#This Row],[x_o_alpha©-minus]])-(Tabella34[[#This Row],[Day]]-po)</f>
        <v>-1.0654178972420922</v>
      </c>
      <c r="BN62" s="263">
        <f>-sigma_o+SQRT(sigma_o^2-2*Tabella34[[#This Row],[c_o]])</f>
        <v>3.2796093958605796</v>
      </c>
      <c r="BO62" s="263">
        <f>-sigma_o-SQRT(sigma_o^2-2*Tabella34[[#This Row],[c_o]])</f>
        <v>-3.922582173159606</v>
      </c>
      <c r="BP62" s="263">
        <f>mu_o-LN(alpha*Ko/(Tabella34[[#This Row],[rest of Italy velocity]]*sigma_o*SQRTPI(2)))</f>
        <v>-6.4322686755647274</v>
      </c>
      <c r="BQ62" s="263">
        <f>Tabella34[[#This Row],[t_alpha_o+plus]]</f>
        <v>146.9816559251986</v>
      </c>
      <c r="BR62" s="192">
        <f>IFERROR(-Ka*_xlfn.LOGNORM.DIST((Tabella34[[#This Row],[Day]]-pa),mu_a,sigma_a,FALSE)*(1+(LN((Tabella34[[#This Row],[Day]]-pa))-mu_a)/sigma_a^2)/(Tabella34[[#This Row],[Day]]-pa),0)</f>
        <v>6.3242469240574071</v>
      </c>
      <c r="BS62" s="193">
        <f>Tabella34[[#This Row],[rest of Italy acc. fit]]/y_a_peak</f>
        <v>1.8715501218348658E-3</v>
      </c>
      <c r="BT62" s="193">
        <f>Tabella34[[#This Row],[rest of Italy acc. fit]]*NOT(ISBLANK(Tabella34[[#This Row],[rest of Italy data]]))</f>
        <v>0</v>
      </c>
      <c r="BU62" s="193">
        <f>Tabella34[[#This Row],[rest of Italy acc. fit]]+CIa</f>
        <v>5345.1636820840749</v>
      </c>
      <c r="BV62" s="198">
        <f>MAX(Tabella34[[#This Row],[rest of Italy acc. fit]]-CIa,0)</f>
        <v>0</v>
      </c>
    </row>
    <row r="63" spans="2:79" x14ac:dyDescent="0.3">
      <c r="B63" s="281">
        <v>43886</v>
      </c>
      <c r="C63" s="29">
        <v>56</v>
      </c>
      <c r="D63" s="10">
        <f>Tabella8[[#This Row],[Spain cum. Cases]]</f>
        <v>6</v>
      </c>
      <c r="E63" s="90">
        <f>(Tabella34[[#This Row],[Spain cumul. Cases]]-D62)</f>
        <v>4</v>
      </c>
      <c r="F63" s="90">
        <f>Tabella34[[#This Row],[Spain daily cases]]-E62</f>
        <v>4</v>
      </c>
      <c r="G63" s="95">
        <f>Tabella34[[#This Row],[Spain daily cases]]*NOT(ISBLANK(Tabella34[[#This Row],[Spain daily cases]]))</f>
        <v>4</v>
      </c>
      <c r="H63" s="157">
        <f>Tabella8[[#This Row],[Spain cum. fit]]</f>
        <v>6.7670716910929674</v>
      </c>
      <c r="I63" s="157">
        <f>_xlfn.LOGNORM.INV(alpha*Tabella34[[#This Row],[Spain cumul. Fit]]/Kt,mu_t,sigma_t)-(Tabella34[[#This Row],[Day]]-pt)</f>
        <v>0.98066850870038635</v>
      </c>
      <c r="J63" s="157">
        <f>Tabella34[[#This Row],[Spain fitted d.t.]]/Spain_dt_at_lockdown</f>
        <v>0.26168784632687581</v>
      </c>
      <c r="K63" s="95">
        <f>Tabella34[[#This Row],[Spain cumul. Fit]]/Kf</f>
        <v>2.4168122179117138E-5</v>
      </c>
      <c r="L63" s="160"/>
      <c r="M63" s="95"/>
      <c r="N63" s="157">
        <f>IFERROR(Kt*_xlfn.LOGNORM.DIST((Tabella34[[#This Row],[Day]]-pt),mu_t,sigma_t,FALSE),0)</f>
        <v>4.9817649672577309</v>
      </c>
      <c r="O63" s="157" t="e">
        <f>Kt*EXP(-0.5*Tabella34[[#This Row],[x_t]]^2)/(sigma_t*SQRTPI(2)*(Tabella34[[#This Row],[Day]]-D_bk))</f>
        <v>#NAME?</v>
      </c>
      <c r="P63" s="199">
        <f>Tabella34[[#This Row],[Spain fitted velocity]]/Tabella34[[#This Row],[Spain cumul. Fit]]</f>
        <v>0.73617735922834782</v>
      </c>
      <c r="Q63" s="262">
        <f>(LN(Tabella34[[#This Row],[Day]]-pt)-mu_t)/sigma_t</f>
        <v>-4.0635293351072654</v>
      </c>
      <c r="R63" s="262">
        <f>EXP(mu_t+sigma_t*Tabella34[[#This Row],[x_t_alpha©+plus]])-(Tabella34[[#This Row],[Day]]-pt)</f>
        <v>153.05758953812762</v>
      </c>
      <c r="S63" s="262">
        <f>EXP(mu_t+sigma_t*Tabella34[[#This Row],[x_t_alpha©-minus]])-(Tabella34[[#This Row],[Day]]-pt)</f>
        <v>-1.0145200003942918</v>
      </c>
      <c r="T63" s="262">
        <f>-sigma_t+SQRT(sigma_t^2-2*Tabella34[[#This Row],[c_t]])</f>
        <v>3.7045503534251512</v>
      </c>
      <c r="U63" s="262">
        <f>-sigma_t-SQRT(sigma_t^2-2*Tabella34[[#This Row],[c_t]])</f>
        <v>-4.2419897032683185</v>
      </c>
      <c r="V63" s="262">
        <f>mu_t-LN(alpha*Kt/(Tabella34[[#This Row],[Spain fitted velocity]]*sigma_t*SQRTPI(2)))</f>
        <v>-7.8573322272342487</v>
      </c>
      <c r="W63" s="262">
        <f>Tabella34[[#This Row],[Spain fitted g.r.]]/Spain_gr_at_lockdown</f>
        <v>3.5527211627870194</v>
      </c>
      <c r="X63" s="262">
        <f>Tabella34[[#This Row],[t_alpha_t+plus]]</f>
        <v>153.05758953812762</v>
      </c>
      <c r="Y63" s="262">
        <f>Tabella34[[#This Row],[Spain fitted h.t.]]/Spain_ht_at_lockdown</f>
        <v>2.4862926102115526</v>
      </c>
      <c r="Z63" s="90">
        <f>IFERROR(-Kf*_xlfn.LOGNORM.DIST((Tabella34[[#This Row],[Day]]-pf),mu_f,sigma_f,FALSE)*(1+(LN((Tabella34[[#This Row],[Day]]-pf))-mu_f)/sigma_f^2)/(Tabella34[[#This Row],[Day]]-pf),0)</f>
        <v>3.2470019211924361</v>
      </c>
      <c r="AA63" s="90">
        <f>Tabella34[[#This Row],[Spain acc. fit]]/Spain_acc_at_lockdown</f>
        <v>1.1064709152092556E-2</v>
      </c>
      <c r="AB63" s="95">
        <f>Tabella34[[#This Row],[Spain acc. fit]]/y_f_peak</f>
        <v>4.8646658992203355E-4</v>
      </c>
      <c r="AC63" s="157">
        <f>Tabella34[[#This Row],[Colonna4]]*NOT(ISBLANK(Tabella34[[#This Row],[Spain daily cases]]))</f>
        <v>0</v>
      </c>
      <c r="AD63" s="157">
        <f>Tabella34[[#This Row],[Spain acc. fit]]*NOT(ISBLANK(Tabella34[[#This Row],[Spain daily cases]]))</f>
        <v>3.2470019211924361</v>
      </c>
      <c r="AE63" s="95">
        <f>Tabella34[[#This Row],[Spain acc. fit]]+CIf</f>
        <v>2345.935419602285</v>
      </c>
      <c r="AF63" s="95">
        <f>MAX(Tabella34[[#This Row],[Spain acc. fit]]-CIf,0)</f>
        <v>0</v>
      </c>
      <c r="AG63" s="4">
        <f>Tabella8[[#This Row],[Lombardy]]</f>
        <v>0</v>
      </c>
      <c r="AH63" s="90">
        <f>(Tabella34[[#This Row],[Lombardy cumul. Data]]-AG62)</f>
        <v>0</v>
      </c>
      <c r="AI63" s="33"/>
      <c r="AJ63" s="95">
        <f>Tabella34[[#This Row],[Lombardy data]]*NOT(ISBLANK(Tabella34[[#This Row],[Lombardy data]]))</f>
        <v>0</v>
      </c>
      <c r="AK63" s="95">
        <f>Tabella8[[#This Row],[Lombardy fit]]</f>
        <v>331.60368823539022</v>
      </c>
      <c r="AL63" s="157">
        <f>_xlfn.LOGNORM.INV(alpha*Tabella34[[#This Row],[Lombardy cumul. Fit]]/Kr,mu_r,sigma_r)-(Tabella34[[#This Row],[Day]]-pr)</f>
        <v>2.1263016705482691</v>
      </c>
      <c r="AM63" s="95">
        <f>Tabella34[[#This Row],[Lombardy cumul. Fit]]/Kl</f>
        <v>3.8115366463837958E-3</v>
      </c>
      <c r="AN63" s="95">
        <f>IFERROR(Kr*_xlfn.LOGNORM.DIST((Tabella34[[#This Row],[Day]]-pr),mu_r,sigma_r,FALSE),0)</f>
        <v>117.02117832508443</v>
      </c>
      <c r="AO63" s="202">
        <f>Tabella34[[#This Row],[Lombardy velocity]]/Tabella34[[#This Row],[Lombardy cumul. Fit]]</f>
        <v>0.35289468264905571</v>
      </c>
      <c r="AP63" s="259">
        <f>(LN(Tabella34[[#This Row],[Day]]-pr)-mu_r)/sigma_r</f>
        <v>-2.6683238816170265</v>
      </c>
      <c r="AQ63" s="262">
        <f>EXP(mu_r+sigma_r*Tabella34[[#This Row],[x_r_alpha©+plus]])-(Tabella34[[#This Row],[Day]]-pr)</f>
        <v>108.24294714213062</v>
      </c>
      <c r="AR63" s="262">
        <f>EXP(mu_r+sigma_r*Tabella34[[#This Row],[x_r_alpha©-minus]])-(Tabella34[[#This Row],[Day]]-pr)</f>
        <v>-2.2590181552784756</v>
      </c>
      <c r="AS63" s="262">
        <f>-sigma_r+SQRT(sigma_r^2-2*Tabella34[[#This Row],[c_r]])</f>
        <v>2.2682882593658729</v>
      </c>
      <c r="AT63" s="262">
        <f>-sigma_r-SQRT(sigma_r^2-2*Tabella34[[#This Row],[c_r]])</f>
        <v>-2.9491428565596021</v>
      </c>
      <c r="AU63" s="262">
        <f>mu_r-LN(alpha*Kr/(Tabella34[[#This Row],[Lombardy velocity]]*sigma_r*SQRTPI(2)))</f>
        <v>-3.3447530583634384</v>
      </c>
      <c r="AV63" s="262">
        <f>Tabella34[[#This Row],[t_alpha_r+plus]]</f>
        <v>108.24294714213062</v>
      </c>
      <c r="AW63" s="90">
        <f>IFERROR(-Kl*_xlfn.LOGNORM.DIST((Tabella34[[#This Row],[Day]]-pl),mu_l,sigma_l,FALSE)*(1+(LN((Tabella34[[#This Row],[Day]]-pl))-mu_l)/sigma_l^2)/(Tabella34[[#This Row],[Day]]-pl),0)</f>
        <v>32.295447287359494</v>
      </c>
      <c r="AX63" s="95">
        <f>Tabella34[[#This Row],[Lombardy acc. fit]]/y_l_peak</f>
        <v>1.8371037361738406E-2</v>
      </c>
      <c r="AY63" s="157">
        <f>Tabella34[[#This Row],[Lombardy acc. fit]]*NOT(ISBLANK(Tabella34[[#This Row],[Lombardy data]]))</f>
        <v>32.295447287359494</v>
      </c>
      <c r="AZ63" s="95">
        <f>Tabella34[[#This Row],[Lombardy acc. fit]]+CIl</f>
        <v>2602.677770203768</v>
      </c>
      <c r="BA63" s="95">
        <f>MAX(Tabella34[[#This Row],[Lombardy acc. fit]]-CIl,0)</f>
        <v>0</v>
      </c>
      <c r="BB63" s="10">
        <f>Tabella8[[#This Row],[rest of Italy ]]</f>
        <v>6</v>
      </c>
      <c r="BC63" s="10">
        <f>(Tabella34[[#This Row],[rest of Italy cum. Data]]-BB62)</f>
        <v>4</v>
      </c>
      <c r="BD63" s="33"/>
      <c r="BE63" s="95">
        <f>Tabella34[[#This Row],[rest of Italy data]]*NOT(ISBLANK(Tabella34[[#This Row],[rest of Italy data]]))</f>
        <v>4</v>
      </c>
      <c r="BF63" s="95">
        <f>Tabella8[[#This Row],[rest of Italy fit]]</f>
        <v>28.540319273609629</v>
      </c>
      <c r="BG63" s="157">
        <f>_xlfn.LOGNORM.INV(alpha*Tabella34[[#This Row],[rest of Italy cumul. Fit]]/Ko,mu_o,sigma_o)-(Tabella34[[#This Row],[Day]]-po)</f>
        <v>1.13170405971265</v>
      </c>
      <c r="BH63" s="95">
        <f>Tabella34[[#This Row],[rest of Italy cumul. Fit]]/Ka</f>
        <v>1.9284001754075368E-4</v>
      </c>
      <c r="BI63" s="157">
        <f>IFERROR(Ko*_xlfn.LOGNORM.DIST((Tabella34[[#This Row],[Day]]-po),mu_o,sigma_o,FALSE),0)</f>
        <v>18.443627571700961</v>
      </c>
      <c r="BJ63" s="199">
        <f>Tabella34[[#This Row],[rest of Italy velocity]]/Tabella34[[#This Row],[rest of Italy cumul. Fit]]</f>
        <v>0.64623059731343746</v>
      </c>
      <c r="BK63" s="254">
        <f>(LN(Tabella34[[#This Row],[Day]]-po)-mu_o)/sigma_o</f>
        <v>-3.5496934116631564</v>
      </c>
      <c r="BL63" s="262">
        <f>EXP(mu_o+sigma_o*Tabella34[[#This Row],[x_o_alpha©+plus]])-(Tabella34[[#This Row],[Day]]-po)</f>
        <v>137.50156096206484</v>
      </c>
      <c r="BM63" s="262">
        <f>EXP(mu_o+sigma_o*Tabella34[[#This Row],[x_o_alpha©-minus]])-(Tabella34[[#This Row],[Day]]-po)</f>
        <v>-1.1826384791356972</v>
      </c>
      <c r="BN63" s="262">
        <f>-sigma_o+SQRT(sigma_o^2-2*Tabella34[[#This Row],[c_o]])</f>
        <v>3.1147346380823975</v>
      </c>
      <c r="BO63" s="262">
        <f>-sigma_o-SQRT(sigma_o^2-2*Tabella34[[#This Row],[c_o]])</f>
        <v>-3.7577074153814238</v>
      </c>
      <c r="BP63" s="262">
        <f>mu_o-LN(alpha*Ko/(Tabella34[[#This Row],[rest of Italy velocity]]*sigma_o*SQRTPI(2)))</f>
        <v>-5.8521307232337998</v>
      </c>
      <c r="BQ63" s="262">
        <f>Tabella34[[#This Row],[t_alpha_o+plus]]</f>
        <v>137.50156096206484</v>
      </c>
      <c r="BR63" s="90">
        <f>IFERROR(-Ka*_xlfn.LOGNORM.DIST((Tabella34[[#This Row],[Day]]-pa),mu_a,sigma_a,FALSE)*(1+(LN((Tabella34[[#This Row],[Day]]-pa))-mu_a)/sigma_a^2)/(Tabella34[[#This Row],[Day]]-pa),0)</f>
        <v>10.129961125217116</v>
      </c>
      <c r="BS63" s="95">
        <f>Tabella34[[#This Row],[rest of Italy acc. fit]]/y_a_peak</f>
        <v>2.9977845909152636E-3</v>
      </c>
      <c r="BT63" s="95">
        <f>Tabella34[[#This Row],[rest of Italy acc. fit]]*NOT(ISBLANK(Tabella34[[#This Row],[rest of Italy data]]))</f>
        <v>10.129961125217116</v>
      </c>
      <c r="BU63" s="95">
        <f>Tabella34[[#This Row],[rest of Italy acc. fit]]+CIa</f>
        <v>5348.9693962852343</v>
      </c>
      <c r="BV63" s="95">
        <f>MAX(Tabella34[[#This Row],[rest of Italy acc. fit]]-CIa,0)</f>
        <v>0</v>
      </c>
    </row>
    <row r="64" spans="2:79" x14ac:dyDescent="0.3">
      <c r="B64" s="281">
        <v>43887</v>
      </c>
      <c r="C64" s="29">
        <v>57</v>
      </c>
      <c r="D64" s="10">
        <f>Tabella8[[#This Row],[Spain cum. Cases]]</f>
        <v>13</v>
      </c>
      <c r="E64" s="90">
        <f>(Tabella34[[#This Row],[Spain cumul. Cases]]-D63)</f>
        <v>7</v>
      </c>
      <c r="F64" s="90">
        <f>Tabella34[[#This Row],[Spain daily cases]]-E63</f>
        <v>3</v>
      </c>
      <c r="G64" s="95">
        <f>Tabella34[[#This Row],[Spain daily cases]]*NOT(ISBLANK(Tabella34[[#This Row],[Spain daily cases]]))</f>
        <v>7</v>
      </c>
      <c r="H64" s="157">
        <f>Tabella8[[#This Row],[Spain cum. fit]]</f>
        <v>13.712690643239494</v>
      </c>
      <c r="I64" s="157">
        <f>_xlfn.LOGNORM.INV(alpha*Tabella34[[#This Row],[Spain cumul. Fit]]/Kt,mu_t,sigma_t)-(Tabella34[[#This Row],[Day]]-pt)</f>
        <v>1.0682078489668783</v>
      </c>
      <c r="J64" s="157">
        <f>Tabella34[[#This Row],[Spain fitted d.t.]]/Spain_dt_at_lockdown</f>
        <v>0.28504740281306523</v>
      </c>
      <c r="K64" s="95">
        <f>Tabella34[[#This Row],[Spain cumul. Fit]]/Kf</f>
        <v>4.8973913385085116E-5</v>
      </c>
      <c r="L64" s="160"/>
      <c r="M64" s="95"/>
      <c r="N64" s="157">
        <f>IFERROR(Kt*_xlfn.LOGNORM.DIST((Tabella34[[#This Row],[Day]]-pt),mu_t,sigma_t,FALSE),0)</f>
        <v>9.2893743357339726</v>
      </c>
      <c r="O64" s="157" t="e">
        <f>Kt*EXP(-0.5*Tabella34[[#This Row],[x_t]]^2)/(sigma_t*SQRTPI(2)*(Tabella34[[#This Row],[Day]]-D_bk))</f>
        <v>#NAME?</v>
      </c>
      <c r="P64" s="199">
        <f>Tabella34[[#This Row],[Spain fitted velocity]]/Tabella34[[#This Row],[Spain cumul. Fit]]</f>
        <v>0.67742900189422239</v>
      </c>
      <c r="Q64" s="262">
        <f>(LN(Tabella34[[#This Row],[Day]]-pt)-mu_t)/sigma_t</f>
        <v>-3.8956200638074239</v>
      </c>
      <c r="R64" s="262">
        <f>EXP(mu_t+sigma_t*Tabella34[[#This Row],[x_t_alpha©+plus]])-(Tabella34[[#This Row],[Day]]-pt)</f>
        <v>144.70257094542421</v>
      </c>
      <c r="S64" s="262">
        <f>EXP(mu_t+sigma_t*Tabella34[[#This Row],[x_t_alpha©-minus]])-(Tabella34[[#This Row],[Day]]-pt)</f>
        <v>-1.1069658917612557</v>
      </c>
      <c r="T64" s="262">
        <f>-sigma_t+SQRT(sigma_t^2-2*Tabella34[[#This Row],[c_t]])</f>
        <v>3.544507408798995</v>
      </c>
      <c r="U64" s="262">
        <f>-sigma_t-SQRT(sigma_t^2-2*Tabella34[[#This Row],[c_t]])</f>
        <v>-4.0819467586421618</v>
      </c>
      <c r="V64" s="262">
        <f>mu_t-LN(alpha*Kt/(Tabella34[[#This Row],[Spain fitted velocity]]*sigma_t*SQRTPI(2)))</f>
        <v>-7.2342452641650929</v>
      </c>
      <c r="W64" s="262">
        <f>Tabella34[[#This Row],[Spain fitted g.r.]]/Spain_gr_at_lockdown</f>
        <v>3.2692072381008601</v>
      </c>
      <c r="X64" s="262">
        <f>Tabella34[[#This Row],[t_alpha_t+plus]]</f>
        <v>144.70257094542421</v>
      </c>
      <c r="Y64" s="262">
        <f>Tabella34[[#This Row],[Spain fitted h.t.]]/Spain_ht_at_lockdown</f>
        <v>2.3505723166416352</v>
      </c>
      <c r="Z64" s="90">
        <f>IFERROR(-Kf*_xlfn.LOGNORM.DIST((Tabella34[[#This Row],[Day]]-pf),mu_f,sigma_f,FALSE)*(1+(LN((Tabella34[[#This Row],[Day]]-pf))-mu_f)/sigma_f^2)/(Tabella34[[#This Row],[Day]]-pf),0)</f>
        <v>5.5314094974139243</v>
      </c>
      <c r="AA64" s="90">
        <f>Tabella34[[#This Row],[Spain acc. fit]]/Spain_acc_at_lockdown</f>
        <v>1.8849214991388443E-2</v>
      </c>
      <c r="AB64" s="95">
        <f>Tabella34[[#This Row],[Spain acc. fit]]/y_f_peak</f>
        <v>8.2871706915439985E-4</v>
      </c>
      <c r="AC64" s="157">
        <f>Tabella34[[#This Row],[Colonna4]]*NOT(ISBLANK(Tabella34[[#This Row],[Spain daily cases]]))</f>
        <v>0</v>
      </c>
      <c r="AD64" s="157">
        <f>Tabella34[[#This Row],[Spain acc. fit]]*NOT(ISBLANK(Tabella34[[#This Row],[Spain daily cases]]))</f>
        <v>5.5314094974139243</v>
      </c>
      <c r="AE64" s="95">
        <f>Tabella34[[#This Row],[Spain acc. fit]]+CIf</f>
        <v>2348.2198271785064</v>
      </c>
      <c r="AF64" s="95">
        <f>MAX(Tabella34[[#This Row],[Spain acc. fit]]-CIf,0)</f>
        <v>0</v>
      </c>
      <c r="AG64" s="4">
        <f>Tabella8[[#This Row],[Lombardy]]</f>
        <v>0</v>
      </c>
      <c r="AH64" s="90">
        <f>(Tabella34[[#This Row],[Lombardy cumul. Data]]-AG63)</f>
        <v>0</v>
      </c>
      <c r="AI64" s="90">
        <f>Tabella34[[#This Row],[Lombardy data]]-AH63</f>
        <v>0</v>
      </c>
      <c r="AJ64" s="95">
        <f>Tabella34[[#This Row],[Lombardy data]]*NOT(ISBLANK(Tabella34[[#This Row],[Lombardy data]]))</f>
        <v>0</v>
      </c>
      <c r="AK64" s="95">
        <f>Tabella8[[#This Row],[Lombardy fit]]</f>
        <v>465.77889435556489</v>
      </c>
      <c r="AL64" s="157">
        <f>_xlfn.LOGNORM.INV(alpha*Tabella34[[#This Row],[Lombardy cumul. Fit]]/Kr,mu_r,sigma_r)-(Tabella34[[#This Row],[Day]]-pr)</f>
        <v>2.3044162402813448</v>
      </c>
      <c r="AM64" s="95">
        <f>Tabella34[[#This Row],[Lombardy cumul. Fit]]/Kl</f>
        <v>5.3537803948915507E-3</v>
      </c>
      <c r="AN64" s="95">
        <f>IFERROR(Kr*_xlfn.LOGNORM.DIST((Tabella34[[#This Row],[Day]]-pr),mu_r,sigma_r,FALSE),0)</f>
        <v>152.34639825617381</v>
      </c>
      <c r="AO64" s="202">
        <f>Tabella34[[#This Row],[Lombardy velocity]]/Tabella34[[#This Row],[Lombardy cumul. Fit]]</f>
        <v>0.3270787923247464</v>
      </c>
      <c r="AP64" s="259">
        <f>(LN(Tabella34[[#This Row],[Day]]-pr)-mu_r)/sigma_r</f>
        <v>-2.5521005640024454</v>
      </c>
      <c r="AQ64" s="262">
        <f>EXP(mu_r+sigma_r*Tabella34[[#This Row],[x_r_alpha©+plus]])-(Tabella34[[#This Row],[Day]]-pr)</f>
        <v>102.65240048328374</v>
      </c>
      <c r="AR64" s="262">
        <f>EXP(mu_r+sigma_r*Tabella34[[#This Row],[x_r_alpha©-minus]])-(Tabella34[[#This Row],[Day]]-pr)</f>
        <v>-2.4541182267373145</v>
      </c>
      <c r="AS64" s="262">
        <f>-sigma_r+SQRT(sigma_r^2-2*Tabella34[[#This Row],[c_r]])</f>
        <v>2.1651251343068401</v>
      </c>
      <c r="AT64" s="262">
        <f>-sigma_r-SQRT(sigma_r^2-2*Tabella34[[#This Row],[c_r]])</f>
        <v>-2.8459797315005693</v>
      </c>
      <c r="AU64" s="262">
        <f>mu_r-LN(alpha*Kr/(Tabella34[[#This Row],[Lombardy velocity]]*sigma_r*SQRTPI(2)))</f>
        <v>-3.0809511241998573</v>
      </c>
      <c r="AV64" s="262">
        <f>Tabella34[[#This Row],[t_alpha_r+plus]]</f>
        <v>102.65240048328374</v>
      </c>
      <c r="AW64" s="90">
        <f>IFERROR(-Kl*_xlfn.LOGNORM.DIST((Tabella34[[#This Row],[Day]]-pl),mu_l,sigma_l,FALSE)*(1+(LN((Tabella34[[#This Row],[Day]]-pl))-mu_l)/sigma_l^2)/(Tabella34[[#This Row],[Day]]-pl),0)</f>
        <v>38.395753613130509</v>
      </c>
      <c r="AX64" s="95">
        <f>Tabella34[[#This Row],[Lombardy acc. fit]]/y_l_peak</f>
        <v>2.1841153580647456E-2</v>
      </c>
      <c r="AY64" s="157">
        <f>Tabella34[[#This Row],[Lombardy acc. fit]]*NOT(ISBLANK(Tabella34[[#This Row],[Lombardy data]]))</f>
        <v>38.395753613130509</v>
      </c>
      <c r="AZ64" s="95">
        <f>Tabella34[[#This Row],[Lombardy acc. fit]]+CIl</f>
        <v>2608.7780765295392</v>
      </c>
      <c r="BA64" s="95">
        <f>MAX(Tabella34[[#This Row],[Lombardy acc. fit]]-CIl,0)</f>
        <v>0</v>
      </c>
      <c r="BB64" s="10">
        <f>Tabella8[[#This Row],[rest of Italy ]]</f>
        <v>13</v>
      </c>
      <c r="BC64" s="10">
        <f>(Tabella34[[#This Row],[rest of Italy cum. Data]]-BB63)</f>
        <v>7</v>
      </c>
      <c r="BD64" s="10">
        <f>Tabella34[[#This Row],[rest of Italy data]]-BC63</f>
        <v>3</v>
      </c>
      <c r="BE64" s="95">
        <f>Tabella34[[#This Row],[rest of Italy data]]*NOT(ISBLANK(Tabella34[[#This Row],[rest of Italy data]]))</f>
        <v>7</v>
      </c>
      <c r="BF64" s="95">
        <f>Tabella8[[#This Row],[rest of Italy fit]]</f>
        <v>52.855278634221321</v>
      </c>
      <c r="BG64" s="157">
        <f>_xlfn.LOGNORM.INV(alpha*Tabella34[[#This Row],[rest of Italy cumul. Fit]]/Ko,mu_o,sigma_o)-(Tabella34[[#This Row],[Day]]-po)</f>
        <v>1.2489716615944069</v>
      </c>
      <c r="BH64" s="95">
        <f>Tabella34[[#This Row],[rest of Italy cumul. Fit]]/Ka</f>
        <v>3.5713030261611206E-4</v>
      </c>
      <c r="BI64" s="157">
        <f>IFERROR(Ko*_xlfn.LOGNORM.DIST((Tabella34[[#This Row],[Day]]-po),mu_o,sigma_o,FALSE),0)</f>
        <v>31.054503010317745</v>
      </c>
      <c r="BJ64" s="199">
        <f>Tabella34[[#This Row],[rest of Italy velocity]]/Tabella34[[#This Row],[rest of Italy cumul. Fit]]</f>
        <v>0.5875383464578201</v>
      </c>
      <c r="BK64" s="254">
        <f>(LN(Tabella34[[#This Row],[Day]]-po)-mu_o)/sigma_o</f>
        <v>-3.3840459035403714</v>
      </c>
      <c r="BL64" s="262">
        <f>EXP(mu_o+sigma_o*Tabella34[[#This Row],[x_o_alpha©+plus]])-(Tabella34[[#This Row],[Day]]-po)</f>
        <v>128.92287040881178</v>
      </c>
      <c r="BM64" s="262">
        <f>EXP(mu_o+sigma_o*Tabella34[[#This Row],[x_o_alpha©-minus]])-(Tabella34[[#This Row],[Day]]-po)</f>
        <v>-1.3082095805094909</v>
      </c>
      <c r="BN64" s="262">
        <f>-sigma_o+SQRT(sigma_o^2-2*Tabella34[[#This Row],[c_o]])</f>
        <v>2.9596056770152743</v>
      </c>
      <c r="BO64" s="262">
        <f>-sigma_o-SQRT(sigma_o^2-2*Tabella34[[#This Row],[c_o]])</f>
        <v>-3.6025784543143007</v>
      </c>
      <c r="BP64" s="262">
        <f>mu_o-LN(alpha*Ko/(Tabella34[[#This Row],[rest of Italy velocity]]*sigma_o*SQRTPI(2)))</f>
        <v>-5.3311058226407591</v>
      </c>
      <c r="BQ64" s="262">
        <f>Tabella34[[#This Row],[t_alpha_o+plus]]</f>
        <v>128.92287040881178</v>
      </c>
      <c r="BR64" s="90">
        <f>IFERROR(-Ka*_xlfn.LOGNORM.DIST((Tabella34[[#This Row],[Day]]-pa),mu_a,sigma_a,FALSE)*(1+(LN((Tabella34[[#This Row],[Day]]-pa))-mu_a)/sigma_a^2)/(Tabella34[[#This Row],[Day]]-pa),0)</f>
        <v>15.341983488725358</v>
      </c>
      <c r="BS64" s="95">
        <f>Tabella34[[#This Row],[rest of Italy acc. fit]]/y_a_peak</f>
        <v>4.5401913322339164E-3</v>
      </c>
      <c r="BT64" s="95">
        <f>Tabella34[[#This Row],[rest of Italy acc. fit]]*NOT(ISBLANK(Tabella34[[#This Row],[rest of Italy data]]))</f>
        <v>15.341983488725358</v>
      </c>
      <c r="BU64" s="95">
        <f>Tabella34[[#This Row],[rest of Italy acc. fit]]+CIa</f>
        <v>5354.1814186487427</v>
      </c>
      <c r="BV64" s="95">
        <f>MAX(Tabella34[[#This Row],[rest of Italy acc. fit]]-CIa,0)</f>
        <v>0</v>
      </c>
    </row>
    <row r="65" spans="2:74" x14ac:dyDescent="0.3">
      <c r="B65" s="281">
        <v>43888</v>
      </c>
      <c r="C65" s="29">
        <v>58</v>
      </c>
      <c r="D65" s="10">
        <f>Tabella8[[#This Row],[Spain cum. Cases]]</f>
        <v>15</v>
      </c>
      <c r="E65" s="90">
        <f>(Tabella34[[#This Row],[Spain cumul. Cases]]-D64)</f>
        <v>2</v>
      </c>
      <c r="F65" s="90">
        <f>Tabella34[[#This Row],[Spain daily cases]]-E64</f>
        <v>-5</v>
      </c>
      <c r="G65" s="95">
        <f>Tabella34[[#This Row],[Spain daily cases]]*NOT(ISBLANK(Tabella34[[#This Row],[Spain daily cases]]))</f>
        <v>2</v>
      </c>
      <c r="H65" s="157">
        <f>Tabella8[[#This Row],[Spain cum. fit]]</f>
        <v>26.284190338676385</v>
      </c>
      <c r="I65" s="157">
        <f>_xlfn.LOGNORM.INV(alpha*Tabella34[[#This Row],[Spain cumul. Fit]]/Kt,mu_t,sigma_t)-(Tabella34[[#This Row],[Day]]-pt)</f>
        <v>1.1610236768290818</v>
      </c>
      <c r="J65" s="157">
        <f>Tabella34[[#This Row],[Spain fitted d.t.]]/Spain_dt_at_lockdown</f>
        <v>0.30981497093911259</v>
      </c>
      <c r="K65" s="95">
        <f>Tabella34[[#This Row],[Spain cumul. Fit]]/Kf</f>
        <v>9.387214329654928E-5</v>
      </c>
      <c r="L65" s="160"/>
      <c r="M65" s="95"/>
      <c r="N65" s="157">
        <f>IFERROR(Kt*_xlfn.LOGNORM.DIST((Tabella34[[#This Row],[Day]]-pt),mu_t,sigma_t,FALSE),0)</f>
        <v>16.422625492289285</v>
      </c>
      <c r="O65" s="157" t="e">
        <f>Kt*EXP(-0.5*Tabella34[[#This Row],[x_t]]^2)/(sigma_t*SQRTPI(2)*(Tabella34[[#This Row],[Day]]-D_bk))</f>
        <v>#NAME?</v>
      </c>
      <c r="P65" s="199">
        <f>Tabella34[[#This Row],[Spain fitted velocity]]/Tabella34[[#This Row],[Spain cumul. Fit]]</f>
        <v>0.62481002004173936</v>
      </c>
      <c r="Q65" s="262">
        <f>(LN(Tabella34[[#This Row],[Day]]-pt)-mu_t)/sigma_t</f>
        <v>-3.7349609909936738</v>
      </c>
      <c r="R65" s="262">
        <f>EXP(mu_t+sigma_t*Tabella34[[#This Row],[x_t_alpha©+plus]])-(Tabella34[[#This Row],[Day]]-pt)</f>
        <v>136.98363972086128</v>
      </c>
      <c r="S65" s="262">
        <f>EXP(mu_t+sigma_t*Tabella34[[#This Row],[x_t_alpha©-minus]])-(Tabella34[[#This Row],[Day]]-pt)</f>
        <v>-1.2052689436665354</v>
      </c>
      <c r="T65" s="262">
        <f>-sigma_t+SQRT(sigma_t^2-2*Tabella34[[#This Row],[c_t]])</f>
        <v>3.3920347858917976</v>
      </c>
      <c r="U65" s="262">
        <f>-sigma_t-SQRT(sigma_t^2-2*Tabella34[[#This Row],[c_t]])</f>
        <v>-3.9294741357349645</v>
      </c>
      <c r="V65" s="262">
        <f>mu_t-LN(alpha*Kt/(Tabella34[[#This Row],[Spain fitted velocity]]*sigma_t*SQRTPI(2)))</f>
        <v>-6.6644564793375523</v>
      </c>
      <c r="W65" s="262">
        <f>Tabella34[[#This Row],[Spain fitted g.r.]]/Spain_gr_at_lockdown</f>
        <v>3.0152730902379439</v>
      </c>
      <c r="X65" s="262">
        <f>Tabella34[[#This Row],[t_alpha_t+plus]]</f>
        <v>136.98363972086128</v>
      </c>
      <c r="Y65" s="262">
        <f>Tabella34[[#This Row],[Spain fitted h.t.]]/Spain_ht_at_lockdown</f>
        <v>2.225184730699147</v>
      </c>
      <c r="Z65" s="90">
        <f>IFERROR(-Kf*_xlfn.LOGNORM.DIST((Tabella34[[#This Row],[Day]]-pf),mu_f,sigma_f,FALSE)*(1+(LN((Tabella34[[#This Row],[Day]]-pf))-mu_f)/sigma_f^2)/(Tabella34[[#This Row],[Day]]-pf),0)</f>
        <v>8.9508778616135434</v>
      </c>
      <c r="AA65" s="90">
        <f>Tabella34[[#This Row],[Spain acc. fit]]/Spain_acc_at_lockdown</f>
        <v>3.0501632767216465E-2</v>
      </c>
      <c r="AB65" s="95">
        <f>Tabella34[[#This Row],[Spain acc. fit]]/y_f_peak</f>
        <v>1.3410226220465804E-3</v>
      </c>
      <c r="AC65" s="157">
        <f>Tabella34[[#This Row],[Colonna4]]*NOT(ISBLANK(Tabella34[[#This Row],[Spain daily cases]]))</f>
        <v>0</v>
      </c>
      <c r="AD65" s="157">
        <f>Tabella34[[#This Row],[Spain acc. fit]]*NOT(ISBLANK(Tabella34[[#This Row],[Spain daily cases]]))</f>
        <v>8.9508778616135434</v>
      </c>
      <c r="AE65" s="95">
        <f>Tabella34[[#This Row],[Spain acc. fit]]+CIf</f>
        <v>2351.6392955427063</v>
      </c>
      <c r="AF65" s="95">
        <f>MAX(Tabella34[[#This Row],[Spain acc. fit]]-CIf,0)</f>
        <v>0</v>
      </c>
      <c r="AG65" s="4">
        <f>Tabella8[[#This Row],[Lombardy]]</f>
        <v>0</v>
      </c>
      <c r="AH65" s="90">
        <f>(Tabella34[[#This Row],[Lombardy cumul. Data]]-AG64)</f>
        <v>0</v>
      </c>
      <c r="AI65" s="90">
        <f>Tabella34[[#This Row],[Lombardy data]]-AH64</f>
        <v>0</v>
      </c>
      <c r="AJ65" s="95">
        <f>Tabella34[[#This Row],[Lombardy data]]*NOT(ISBLANK(Tabella34[[#This Row],[Lombardy data]]))</f>
        <v>0</v>
      </c>
      <c r="AK65" s="95">
        <f>Tabella8[[#This Row],[Lombardy fit]]</f>
        <v>638.36338064302606</v>
      </c>
      <c r="AL65" s="157">
        <f>_xlfn.LOGNORM.INV(alpha*Tabella34[[#This Row],[Lombardy cumul. Fit]]/Kr,mu_r,sigma_r)-(Tabella34[[#This Row],[Day]]-pr)</f>
        <v>2.4936128779493636</v>
      </c>
      <c r="AM65" s="95">
        <f>Tabella34[[#This Row],[Lombardy cumul. Fit]]/Kl</f>
        <v>7.337510122333633E-3</v>
      </c>
      <c r="AN65" s="95">
        <f>IFERROR(Kr*_xlfn.LOGNORM.DIST((Tabella34[[#This Row],[Day]]-pr),mu_r,sigma_r,FALSE),0)</f>
        <v>193.86672930973202</v>
      </c>
      <c r="AO65" s="202">
        <f>Tabella34[[#This Row],[Lombardy velocity]]/Tabella34[[#This Row],[Lombardy cumul. Fit]]</f>
        <v>0.30369337463318974</v>
      </c>
      <c r="AP65" s="259">
        <f>(LN(Tabella34[[#This Row],[Day]]-pr)-mu_r)/sigma_r</f>
        <v>-2.4403012089474547</v>
      </c>
      <c r="AQ65" s="262">
        <f>EXP(mu_r+sigma_r*Tabella34[[#This Row],[x_r_alpha©+plus]])-(Tabella34[[#This Row],[Day]]-pr)</f>
        <v>97.433636056669286</v>
      </c>
      <c r="AR65" s="262">
        <f>EXP(mu_r+sigma_r*Tabella34[[#This Row],[x_r_alpha©-minus]])-(Tabella34[[#This Row],[Day]]-pr)</f>
        <v>-2.6619442678073</v>
      </c>
      <c r="AS65" s="262">
        <f>-sigma_r+SQRT(sigma_r^2-2*Tabella34[[#This Row],[c_r]])</f>
        <v>2.0670121711491491</v>
      </c>
      <c r="AT65" s="262">
        <f>-sigma_r-SQRT(sigma_r^2-2*Tabella34[[#This Row],[c_r]])</f>
        <v>-2.7478667683428784</v>
      </c>
      <c r="AU65" s="262">
        <f>mu_r-LN(alpha*Kr/(Tabella34[[#This Row],[Lombardy velocity]]*sigma_r*SQRTPI(2)))</f>
        <v>-2.839937027430504</v>
      </c>
      <c r="AV65" s="262">
        <f>Tabella34[[#This Row],[t_alpha_r+plus]]</f>
        <v>97.433636056669286</v>
      </c>
      <c r="AW65" s="90">
        <f>IFERROR(-Kl*_xlfn.LOGNORM.DIST((Tabella34[[#This Row],[Day]]-pl),mu_l,sigma_l,FALSE)*(1+(LN((Tabella34[[#This Row],[Day]]-pl))-mu_l)/sigma_l^2)/(Tabella34[[#This Row],[Day]]-pl),0)</f>
        <v>44.657816444615015</v>
      </c>
      <c r="AX65" s="95">
        <f>Tabella34[[#This Row],[Lombardy acc. fit]]/y_l_peak</f>
        <v>2.5403283846723145E-2</v>
      </c>
      <c r="AY65" s="157">
        <f>Tabella34[[#This Row],[Lombardy acc. fit]]*NOT(ISBLANK(Tabella34[[#This Row],[Lombardy data]]))</f>
        <v>44.657816444615015</v>
      </c>
      <c r="AZ65" s="95">
        <f>Tabella34[[#This Row],[Lombardy acc. fit]]+CIl</f>
        <v>2615.0401393610236</v>
      </c>
      <c r="BA65" s="95">
        <f>MAX(Tabella34[[#This Row],[Lombardy acc. fit]]-CIl,0)</f>
        <v>0</v>
      </c>
      <c r="BB65" s="10">
        <f>Tabella8[[#This Row],[rest of Italy ]]</f>
        <v>15</v>
      </c>
      <c r="BC65" s="10">
        <f>(Tabella34[[#This Row],[rest of Italy cum. Data]]-BB64)</f>
        <v>2</v>
      </c>
      <c r="BD65" s="10">
        <f>Tabella34[[#This Row],[rest of Italy data]]-BC64</f>
        <v>-5</v>
      </c>
      <c r="BE65" s="95">
        <f>Tabella34[[#This Row],[rest of Italy data]]*NOT(ISBLANK(Tabella34[[#This Row],[rest of Italy data]]))</f>
        <v>2</v>
      </c>
      <c r="BF65" s="95">
        <f>Tabella8[[#This Row],[rest of Italy fit]]</f>
        <v>92.643298386472409</v>
      </c>
      <c r="BG65" s="157">
        <f>_xlfn.LOGNORM.INV(alpha*Tabella34[[#This Row],[rest of Italy cumul. Fit]]/Ko,mu_o,sigma_o)-(Tabella34[[#This Row],[Day]]-po)</f>
        <v>1.3741064128278317</v>
      </c>
      <c r="BH65" s="95">
        <f>Tabella34[[#This Row],[rest of Italy cumul. Fit]]/Ka</f>
        <v>6.2596830521094242E-4</v>
      </c>
      <c r="BI65" s="157">
        <f>IFERROR(Ko*_xlfn.LOGNORM.DIST((Tabella34[[#This Row],[Day]]-po),mu_o,sigma_o,FALSE),0)</f>
        <v>49.651415984551527</v>
      </c>
      <c r="BJ65" s="199">
        <f>Tabella34[[#This Row],[rest of Italy velocity]]/Tabella34[[#This Row],[rest of Italy cumul. Fit]]</f>
        <v>0.5359417988058327</v>
      </c>
      <c r="BK65" s="254">
        <f>(LN(Tabella34[[#This Row],[Day]]-po)-mu_o)/sigma_o</f>
        <v>-3.2267754634456076</v>
      </c>
      <c r="BL65" s="262">
        <f>EXP(mu_o+sigma_o*Tabella34[[#This Row],[x_o_alpha©+plus]])-(Tabella34[[#This Row],[Day]]-po)</f>
        <v>121.11420490147638</v>
      </c>
      <c r="BM65" s="262">
        <f>EXP(mu_o+sigma_o*Tabella34[[#This Row],[x_o_alpha©-minus]])-(Tabella34[[#This Row],[Day]]-po)</f>
        <v>-1.4426917144165756</v>
      </c>
      <c r="BN65" s="262">
        <f>-sigma_o+SQRT(sigma_o^2-2*Tabella34[[#This Row],[c_o]])</f>
        <v>2.8133180660572621</v>
      </c>
      <c r="BO65" s="262">
        <f>-sigma_o-SQRT(sigma_o^2-2*Tabella34[[#This Row],[c_o]])</f>
        <v>-3.4562908433562884</v>
      </c>
      <c r="BP65" s="262">
        <f>mu_o-LN(alpha*Ko/(Tabella34[[#This Row],[rest of Italy velocity]]*sigma_o*SQRTPI(2)))</f>
        <v>-4.861822735581268</v>
      </c>
      <c r="BQ65" s="262">
        <f>Tabella34[[#This Row],[t_alpha_o+plus]]</f>
        <v>121.11420490147638</v>
      </c>
      <c r="BR65" s="90">
        <f>IFERROR(-Ka*_xlfn.LOGNORM.DIST((Tabella34[[#This Row],[Day]]-pa),mu_a,sigma_a,FALSE)*(1+(LN((Tabella34[[#This Row],[Day]]-pa))-mu_a)/sigma_a^2)/(Tabella34[[#This Row],[Day]]-pa),0)</f>
        <v>22.122556767047598</v>
      </c>
      <c r="BS65" s="95">
        <f>Tabella34[[#This Row],[rest of Italy acc. fit]]/y_a_peak</f>
        <v>6.5467832470563472E-3</v>
      </c>
      <c r="BT65" s="95">
        <f>Tabella34[[#This Row],[rest of Italy acc. fit]]*NOT(ISBLANK(Tabella34[[#This Row],[rest of Italy data]]))</f>
        <v>22.122556767047598</v>
      </c>
      <c r="BU65" s="95">
        <f>Tabella34[[#This Row],[rest of Italy acc. fit]]+CIa</f>
        <v>5360.9619919270644</v>
      </c>
      <c r="BV65" s="95">
        <f>MAX(Tabella34[[#This Row],[rest of Italy acc. fit]]-CIa,0)</f>
        <v>0</v>
      </c>
    </row>
    <row r="66" spans="2:74" x14ac:dyDescent="0.3">
      <c r="B66" s="281">
        <v>43889</v>
      </c>
      <c r="C66" s="29">
        <v>59</v>
      </c>
      <c r="D66" s="10">
        <f>Tabella8[[#This Row],[Spain cum. Cases]]</f>
        <v>32</v>
      </c>
      <c r="E66" s="90">
        <f>(Tabella34[[#This Row],[Spain cumul. Cases]]-D65)</f>
        <v>17</v>
      </c>
      <c r="F66" s="90">
        <f>Tabella34[[#This Row],[Spain daily cases]]-E65</f>
        <v>15</v>
      </c>
      <c r="G66" s="95">
        <f>Tabella34[[#This Row],[Spain daily cases]]*NOT(ISBLANK(Tabella34[[#This Row],[Spain daily cases]]))</f>
        <v>17</v>
      </c>
      <c r="H66" s="157">
        <f>Tabella8[[#This Row],[Spain cum. fit]]</f>
        <v>47.928250132156059</v>
      </c>
      <c r="I66" s="157">
        <f>_xlfn.LOGNORM.INV(alpha*Tabella34[[#This Row],[Spain cumul. Fit]]/Kt,mu_t,sigma_t)-(Tabella34[[#This Row],[Day]]-pt)</f>
        <v>1.2594364547337094</v>
      </c>
      <c r="J66" s="157">
        <f>Tabella34[[#This Row],[Spain fitted d.t.]]/Spain_dt_at_lockdown</f>
        <v>0.33607606495041759</v>
      </c>
      <c r="K66" s="95">
        <f>Tabella34[[#This Row],[Spain cumul. Fit]]/Kf</f>
        <v>1.7117238561989415E-4</v>
      </c>
      <c r="L66" s="160"/>
      <c r="M66" s="95"/>
      <c r="N66" s="157">
        <f>IFERROR(Kt*_xlfn.LOGNORM.DIST((Tabella34[[#This Row],[Day]]-pt),mu_t,sigma_t,FALSE),0)</f>
        <v>27.677878686693333</v>
      </c>
      <c r="O66" s="157" t="e">
        <f>Kt*EXP(-0.5*Tabella34[[#This Row],[x_t]]^2)/(sigma_t*SQRTPI(2)*(Tabella34[[#This Row],[Day]]-D_bk))</f>
        <v>#NAME?</v>
      </c>
      <c r="P66" s="199">
        <f>Tabella34[[#This Row],[Spain fitted velocity]]/Tabella34[[#This Row],[Spain cumul. Fit]]</f>
        <v>0.57748569184927678</v>
      </c>
      <c r="Q66" s="262">
        <f>(LN(Tabella34[[#This Row],[Day]]-pt)-mu_t)/sigma_t</f>
        <v>-3.5809518307620287</v>
      </c>
      <c r="R66" s="262">
        <f>EXP(mu_t+sigma_t*Tabella34[[#This Row],[x_t_alpha©+plus]])-(Tabella34[[#This Row],[Day]]-pt)</f>
        <v>129.8245885197278</v>
      </c>
      <c r="S66" s="262">
        <f>EXP(mu_t+sigma_t*Tabella34[[#This Row],[x_t_alpha©-minus]])-(Tabella34[[#This Row],[Day]]-pt)</f>
        <v>-1.3098094106996889</v>
      </c>
      <c r="T66" s="262">
        <f>-sigma_t+SQRT(sigma_t^2-2*Tabella34[[#This Row],[c_t]])</f>
        <v>3.2465578696406285</v>
      </c>
      <c r="U66" s="262">
        <f>-sigma_t-SQRT(sigma_t^2-2*Tabella34[[#This Row],[c_t]])</f>
        <v>-3.7839972194837954</v>
      </c>
      <c r="V66" s="262">
        <f>mu_t-LN(alpha*Kt/(Tabella34[[#This Row],[Spain fitted velocity]]*sigma_t*SQRTPI(2)))</f>
        <v>-6.1424829758066863</v>
      </c>
      <c r="W66" s="262">
        <f>Tabella34[[#This Row],[Spain fitted g.r.]]/Spain_gr_at_lockdown</f>
        <v>2.7868904319336023</v>
      </c>
      <c r="X66" s="262">
        <f>Tabella34[[#This Row],[t_alpha_t+plus]]</f>
        <v>129.8245885197278</v>
      </c>
      <c r="Y66" s="262">
        <f>Tabella34[[#This Row],[Spain fitted h.t.]]/Spain_ht_at_lockdown</f>
        <v>2.1088919277664946</v>
      </c>
      <c r="Z66" s="90">
        <f>IFERROR(-Kf*_xlfn.LOGNORM.DIST((Tabella34[[#This Row],[Day]]-pf),mu_f,sigma_f,FALSE)*(1+(LN((Tabella34[[#This Row],[Day]]-pf))-mu_f)/sigma_f^2)/(Tabella34[[#This Row],[Day]]-pf),0)</f>
        <v>13.83070805492571</v>
      </c>
      <c r="AA66" s="90">
        <f>Tabella34[[#This Row],[Spain acc. fit]]/Spain_acc_at_lockdown</f>
        <v>4.7130480889600659E-2</v>
      </c>
      <c r="AB66" s="95">
        <f>Tabella34[[#This Row],[Spain acc. fit]]/y_f_peak</f>
        <v>2.0721199269312538E-3</v>
      </c>
      <c r="AC66" s="157">
        <f>Tabella34[[#This Row],[Colonna4]]*NOT(ISBLANK(Tabella34[[#This Row],[Spain daily cases]]))</f>
        <v>0</v>
      </c>
      <c r="AD66" s="157">
        <f>Tabella34[[#This Row],[Spain acc. fit]]*NOT(ISBLANK(Tabella34[[#This Row],[Spain daily cases]]))</f>
        <v>13.83070805492571</v>
      </c>
      <c r="AE66" s="95">
        <f>Tabella34[[#This Row],[Spain acc. fit]]+CIf</f>
        <v>2356.5191257360184</v>
      </c>
      <c r="AF66" s="95">
        <f>MAX(Tabella34[[#This Row],[Spain acc. fit]]-CIf,0)</f>
        <v>0</v>
      </c>
      <c r="AG66" s="4">
        <f>Tabella8[[#This Row],[Lombardy]]</f>
        <v>0</v>
      </c>
      <c r="AH66" s="90">
        <f>(Tabella34[[#This Row],[Lombardy cumul. Data]]-AG65)</f>
        <v>0</v>
      </c>
      <c r="AI66" s="90">
        <f>Tabella34[[#This Row],[Lombardy data]]-AH65</f>
        <v>0</v>
      </c>
      <c r="AJ66" s="95">
        <f>Tabella34[[#This Row],[Lombardy data]]*NOT(ISBLANK(Tabella34[[#This Row],[Lombardy data]]))</f>
        <v>0</v>
      </c>
      <c r="AK66" s="95">
        <f>Tabella8[[#This Row],[Lombardy fit]]</f>
        <v>855.6049183896896</v>
      </c>
      <c r="AL66" s="157">
        <f>_xlfn.LOGNORM.INV(alpha*Tabella34[[#This Row],[Lombardy cumul. Fit]]/Kr,mu_r,sigma_r)-(Tabella34[[#This Row],[Day]]-pr)</f>
        <v>2.6946459127522857</v>
      </c>
      <c r="AM66" s="95">
        <f>Tabella34[[#This Row],[Lombardy cumul. Fit]]/Kl</f>
        <v>9.8345392918355121E-3</v>
      </c>
      <c r="AN66" s="95">
        <f>IFERROR(Kr*_xlfn.LOGNORM.DIST((Tabella34[[#This Row],[Day]]-pr),mu_r,sigma_r,FALSE),0)</f>
        <v>241.65895998029089</v>
      </c>
      <c r="AO66" s="202">
        <f>Tabella34[[#This Row],[Lombardy velocity]]/Tabella34[[#This Row],[Lombardy cumul. Fit]]</f>
        <v>0.28244222863411134</v>
      </c>
      <c r="AP66" s="259">
        <f>(LN(Tabella34[[#This Row],[Day]]-pr)-mu_r)/sigma_r</f>
        <v>-2.3326013393974239</v>
      </c>
      <c r="AQ66" s="262">
        <f>EXP(mu_r+sigma_r*Tabella34[[#This Row],[x_r_alpha©+plus]])-(Tabella34[[#This Row],[Day]]-pr)</f>
        <v>92.548765503856586</v>
      </c>
      <c r="AR66" s="262">
        <f>EXP(mu_r+sigma_r*Tabella34[[#This Row],[x_r_alpha©-minus]])-(Tabella34[[#This Row],[Day]]-pr)</f>
        <v>-2.8833387410845823</v>
      </c>
      <c r="AS66" s="262">
        <f>-sigma_r+SQRT(sigma_r^2-2*Tabella34[[#This Row],[c_r]])</f>
        <v>1.9736711802841702</v>
      </c>
      <c r="AT66" s="262">
        <f>-sigma_r-SQRT(sigma_r^2-2*Tabella34[[#This Row],[c_r]])</f>
        <v>-2.6545257774778994</v>
      </c>
      <c r="AU66" s="262">
        <f>mu_r-LN(alpha*Kr/(Tabella34[[#This Row],[Lombardy velocity]]*sigma_r*SQRTPI(2)))</f>
        <v>-2.6195805121647799</v>
      </c>
      <c r="AV66" s="262">
        <f>Tabella34[[#This Row],[t_alpha_r+plus]]</f>
        <v>92.548765503856586</v>
      </c>
      <c r="AW66" s="90">
        <f>IFERROR(-Kl*_xlfn.LOGNORM.DIST((Tabella34[[#This Row],[Day]]-pl),mu_l,sigma_l,FALSE)*(1+(LN((Tabella34[[#This Row],[Day]]-pl))-mu_l)/sigma_l^2)/(Tabella34[[#This Row],[Day]]-pl),0)</f>
        <v>50.91059814721217</v>
      </c>
      <c r="AX66" s="95">
        <f>Tabella34[[#This Row],[Lombardy acc. fit]]/y_l_peak</f>
        <v>2.8960134608104825E-2</v>
      </c>
      <c r="AY66" s="157">
        <f>Tabella34[[#This Row],[Lombardy acc. fit]]*NOT(ISBLANK(Tabella34[[#This Row],[Lombardy data]]))</f>
        <v>50.91059814721217</v>
      </c>
      <c r="AZ66" s="95">
        <f>Tabella34[[#This Row],[Lombardy acc. fit]]+CIl</f>
        <v>2621.2929210636207</v>
      </c>
      <c r="BA66" s="95">
        <f>MAX(Tabella34[[#This Row],[Lombardy acc. fit]]-CIl,0)</f>
        <v>0</v>
      </c>
      <c r="BB66" s="10">
        <f>Tabella8[[#This Row],[rest of Italy ]]</f>
        <v>32</v>
      </c>
      <c r="BC66" s="10">
        <f>(Tabella34[[#This Row],[rest of Italy cum. Data]]-BB65)</f>
        <v>17</v>
      </c>
      <c r="BD66" s="10">
        <f>Tabella34[[#This Row],[rest of Italy data]]-BC65</f>
        <v>15</v>
      </c>
      <c r="BE66" s="95">
        <f>Tabella34[[#This Row],[rest of Italy data]]*NOT(ISBLANK(Tabella34[[#This Row],[rest of Italy data]]))</f>
        <v>17</v>
      </c>
      <c r="BF66" s="95">
        <f>Tabella8[[#This Row],[rest of Italy fit]]</f>
        <v>154.69135092058042</v>
      </c>
      <c r="BG66" s="157">
        <f>_xlfn.LOGNORM.INV(alpha*Tabella34[[#This Row],[rest of Italy cumul. Fit]]/Ko,mu_o,sigma_o)-(Tabella34[[#This Row],[Day]]-po)</f>
        <v>1.5076174862893517</v>
      </c>
      <c r="BH66" s="95">
        <f>Tabella34[[#This Row],[rest of Italy cumul. Fit]]/Ka</f>
        <v>1.0452119522191591E-3</v>
      </c>
      <c r="BI66" s="157">
        <f>IFERROR(Ko*_xlfn.LOGNORM.DIST((Tabella34[[#This Row],[Day]]-po),mu_o,sigma_o,FALSE),0)</f>
        <v>75.848938488127814</v>
      </c>
      <c r="BJ66" s="199">
        <f>Tabella34[[#This Row],[rest of Italy velocity]]/Tabella34[[#This Row],[rest of Italy cumul. Fit]]</f>
        <v>0.49032436549777869</v>
      </c>
      <c r="BK66" s="254">
        <f>(LN(Tabella34[[#This Row],[Day]]-po)-mu_o)/sigma_o</f>
        <v>-3.0770754373510596</v>
      </c>
      <c r="BL66" s="262">
        <f>EXP(mu_o+sigma_o*Tabella34[[#This Row],[x_o_alpha©+plus]])-(Tabella34[[#This Row],[Day]]-po)</f>
        <v>113.96901199151684</v>
      </c>
      <c r="BM66" s="262">
        <f>EXP(mu_o+sigma_o*Tabella34[[#This Row],[x_o_alpha©-minus]])-(Tabella34[[#This Row],[Day]]-po)</f>
        <v>-1.5866964730959232</v>
      </c>
      <c r="BN66" s="262">
        <f>-sigma_o+SQRT(sigma_o^2-2*Tabella34[[#This Row],[c_o]])</f>
        <v>2.6751059036791887</v>
      </c>
      <c r="BO66" s="262">
        <f>-sigma_o-SQRT(sigma_o^2-2*Tabella34[[#This Row],[c_o]])</f>
        <v>-3.318078680978215</v>
      </c>
      <c r="BP66" s="262">
        <f>mu_o-LN(alpha*Ko/(Tabella34[[#This Row],[rest of Italy velocity]]*sigma_o*SQRTPI(2)))</f>
        <v>-4.4381059341784388</v>
      </c>
      <c r="BQ66" s="262">
        <f>Tabella34[[#This Row],[t_alpha_o+plus]]</f>
        <v>113.96901199151684</v>
      </c>
      <c r="BR66" s="90">
        <f>IFERROR(-Ka*_xlfn.LOGNORM.DIST((Tabella34[[#This Row],[Day]]-pa),mu_a,sigma_a,FALSE)*(1+(LN((Tabella34[[#This Row],[Day]]-pa))-mu_a)/sigma_a^2)/(Tabella34[[#This Row],[Day]]-pa),0)</f>
        <v>30.547607631094792</v>
      </c>
      <c r="BS66" s="95">
        <f>Tabella34[[#This Row],[rest of Italy acc. fit]]/y_a_peak</f>
        <v>9.0400295039492311E-3</v>
      </c>
      <c r="BT66" s="95">
        <f>Tabella34[[#This Row],[rest of Italy acc. fit]]*NOT(ISBLANK(Tabella34[[#This Row],[rest of Italy data]]))</f>
        <v>30.547607631094792</v>
      </c>
      <c r="BU66" s="95">
        <f>Tabella34[[#This Row],[rest of Italy acc. fit]]+CIa</f>
        <v>5369.3870427911124</v>
      </c>
      <c r="BV66" s="95">
        <f>MAX(Tabella34[[#This Row],[rest of Italy acc. fit]]-CIa,0)</f>
        <v>0</v>
      </c>
    </row>
    <row r="67" spans="2:74" x14ac:dyDescent="0.3">
      <c r="B67" s="281">
        <v>43890</v>
      </c>
      <c r="C67" s="29">
        <v>60</v>
      </c>
      <c r="D67" s="10">
        <f>Tabella8[[#This Row],[Spain cum. Cases]]</f>
        <v>45</v>
      </c>
      <c r="E67" s="90">
        <f>(Tabella34[[#This Row],[Spain cumul. Cases]]-D66)</f>
        <v>13</v>
      </c>
      <c r="F67" s="90">
        <f>Tabella34[[#This Row],[Spain daily cases]]-E66</f>
        <v>-4</v>
      </c>
      <c r="G67" s="95">
        <f>Tabella34[[#This Row],[Spain daily cases]]*NOT(ISBLANK(Tabella34[[#This Row],[Spain daily cases]]))</f>
        <v>13</v>
      </c>
      <c r="H67" s="157">
        <f>Tabella8[[#This Row],[Spain cum. fit]]</f>
        <v>83.552170188598097</v>
      </c>
      <c r="I67" s="157">
        <f>_xlfn.LOGNORM.INV(alpha*Tabella34[[#This Row],[Spain cumul. Fit]]/Kt,mu_t,sigma_t)-(Tabella34[[#This Row],[Day]]-pt)</f>
        <v>1.363795081876912</v>
      </c>
      <c r="J67" s="157">
        <f>Tabella34[[#This Row],[Spain fitted d.t.]]/Spain_dt_at_lockdown</f>
        <v>0.36392378733616587</v>
      </c>
      <c r="K67" s="95">
        <f>Tabella34[[#This Row],[Spain cumul. Fit]]/Kf</f>
        <v>2.9840071889681506E-4</v>
      </c>
      <c r="L67" s="160"/>
      <c r="M67" s="95"/>
      <c r="N67" s="157">
        <f>IFERROR(Kt*_xlfn.LOGNORM.DIST((Tabella34[[#This Row],[Day]]-pt),mu_t,sigma_t,FALSE),0)</f>
        <v>44.680503675591723</v>
      </c>
      <c r="O67" s="157" t="e">
        <f>Kt*EXP(-0.5*Tabella34[[#This Row],[x_t]]^2)/(sigma_t*SQRTPI(2)*(Tabella34[[#This Row],[Day]]-D_bk))</f>
        <v>#NAME?</v>
      </c>
      <c r="P67" s="199">
        <f>Tabella34[[#This Row],[Spain fitted velocity]]/Tabella34[[#This Row],[Spain cumul. Fit]]</f>
        <v>0.53476173718452402</v>
      </c>
      <c r="Q67" s="262">
        <f>(LN(Tabella34[[#This Row],[Day]]-pt)-mu_t)/sigma_t</f>
        <v>-3.4330638947470371</v>
      </c>
      <c r="R67" s="262">
        <f>EXP(mu_t+sigma_t*Tabella34[[#This Row],[x_t_alpha©+plus]])-(Tabella34[[#This Row],[Day]]-pt)</f>
        <v>123.16117181957914</v>
      </c>
      <c r="S67" s="262">
        <f>EXP(mu_t+sigma_t*Tabella34[[#This Row],[x_t_alpha©-minus]])-(Tabella34[[#This Row],[Day]]-pt)</f>
        <v>-1.4210011952395014</v>
      </c>
      <c r="T67" s="262">
        <f>-sigma_t+SQRT(sigma_t^2-2*Tabella34[[#This Row],[c_t]])</f>
        <v>3.1075754399436222</v>
      </c>
      <c r="U67" s="262">
        <f>-sigma_t-SQRT(sigma_t^2-2*Tabella34[[#This Row],[c_t]])</f>
        <v>-3.6450147897867891</v>
      </c>
      <c r="V67" s="262">
        <f>mu_t-LN(alpha*Kt/(Tabella34[[#This Row],[Spain fitted velocity]]*sigma_t*SQRTPI(2)))</f>
        <v>-5.6635792194863441</v>
      </c>
      <c r="W67" s="262">
        <f>Tabella34[[#This Row],[Spain fitted g.r.]]/Spain_gr_at_lockdown</f>
        <v>2.5807087340143386</v>
      </c>
      <c r="X67" s="262">
        <f>Tabella34[[#This Row],[t_alpha_t+plus]]</f>
        <v>123.16117181957914</v>
      </c>
      <c r="Y67" s="262">
        <f>Tabella34[[#This Row],[Spain fitted h.t.]]/Spain_ht_at_lockdown</f>
        <v>2.0006502930306174</v>
      </c>
      <c r="Z67" s="90">
        <f>IFERROR(-Kf*_xlfn.LOGNORM.DIST((Tabella34[[#This Row],[Day]]-pf),mu_f,sigma_f,FALSE)*(1+(LN((Tabella34[[#This Row],[Day]]-pf))-mu_f)/sigma_f^2)/(Tabella34[[#This Row],[Day]]-pf),0)</f>
        <v>20.49904309571583</v>
      </c>
      <c r="AA67" s="90">
        <f>Tabella34[[#This Row],[Spain acc. fit]]/Spain_acc_at_lockdown</f>
        <v>6.9853962287466181E-2</v>
      </c>
      <c r="AB67" s="95">
        <f>Tabella34[[#This Row],[Spain acc. fit]]/y_f_peak</f>
        <v>3.0711714478368741E-3</v>
      </c>
      <c r="AC67" s="157">
        <f>Tabella34[[#This Row],[Colonna4]]*NOT(ISBLANK(Tabella34[[#This Row],[Spain daily cases]]))</f>
        <v>0</v>
      </c>
      <c r="AD67" s="157">
        <f>Tabella34[[#This Row],[Spain acc. fit]]*NOT(ISBLANK(Tabella34[[#This Row],[Spain daily cases]]))</f>
        <v>20.49904309571583</v>
      </c>
      <c r="AE67" s="95">
        <f>Tabella34[[#This Row],[Spain acc. fit]]+CIf</f>
        <v>2363.1874607768086</v>
      </c>
      <c r="AF67" s="95">
        <f>MAX(Tabella34[[#This Row],[Spain acc. fit]]-CIf,0)</f>
        <v>0</v>
      </c>
      <c r="AG67" s="4">
        <f>Tabella8[[#This Row],[Lombardy]]</f>
        <v>0</v>
      </c>
      <c r="AH67" s="90">
        <f>(Tabella34[[#This Row],[Lombardy cumul. Data]]-AG66)</f>
        <v>0</v>
      </c>
      <c r="AI67" s="90">
        <f>Tabella34[[#This Row],[Lombardy data]]-AH66</f>
        <v>0</v>
      </c>
      <c r="AJ67" s="95">
        <f>Tabella34[[#This Row],[Lombardy data]]*NOT(ISBLANK(Tabella34[[#This Row],[Lombardy data]]))</f>
        <v>0</v>
      </c>
      <c r="AK67" s="95">
        <f>Tabella8[[#This Row],[Lombardy fit]]</f>
        <v>1123.7418244760652</v>
      </c>
      <c r="AL67" s="157">
        <f>_xlfn.LOGNORM.INV(alpha*Tabella34[[#This Row],[Lombardy cumul. Fit]]/Kr,mu_r,sigma_r)-(Tabella34[[#This Row],[Day]]-pr)</f>
        <v>2.9083429191150714</v>
      </c>
      <c r="AM67" s="95">
        <f>Tabella34[[#This Row],[Lombardy cumul. Fit]]/Kl</f>
        <v>1.2916572695127186E-2</v>
      </c>
      <c r="AN67" s="95">
        <f>IFERROR(Kr*_xlfn.LOGNORM.DIST((Tabella34[[#This Row],[Day]]-pr),mu_r,sigma_r,FALSE),0)</f>
        <v>295.62704237893797</v>
      </c>
      <c r="AO67" s="202">
        <f>Tabella34[[#This Row],[Lombardy velocity]]/Tabella34[[#This Row],[Lombardy cumul. Fit]]</f>
        <v>0.26307380925042234</v>
      </c>
      <c r="AP67" s="259">
        <f>(LN(Tabella34[[#This Row],[Day]]-pr)-mu_r)/sigma_r</f>
        <v>-2.2287109173667958</v>
      </c>
      <c r="AQ67" s="262">
        <f>EXP(mu_r+sigma_r*Tabella34[[#This Row],[x_r_alpha©+plus]])-(Tabella34[[#This Row],[Day]]-pr)</f>
        <v>87.965338634410401</v>
      </c>
      <c r="AR67" s="262">
        <f>EXP(mu_r+sigma_r*Tabella34[[#This Row],[x_r_alpha©-minus]])-(Tabella34[[#This Row],[Day]]-pr)</f>
        <v>-3.1192044368541616</v>
      </c>
      <c r="AS67" s="262">
        <f>-sigma_r+SQRT(sigma_r^2-2*Tabella34[[#This Row],[c_r]])</f>
        <v>1.8848613087605623</v>
      </c>
      <c r="AT67" s="262">
        <f>-sigma_r-SQRT(sigma_r^2-2*Tabella34[[#This Row],[c_r]])</f>
        <v>-2.5657159059542916</v>
      </c>
      <c r="AU67" s="262">
        <f>mu_r-LN(alpha*Kr/(Tabella34[[#This Row],[Lombardy velocity]]*sigma_r*SQRTPI(2)))</f>
        <v>-2.4180093202023993</v>
      </c>
      <c r="AV67" s="262">
        <f>Tabella34[[#This Row],[t_alpha_r+plus]]</f>
        <v>87.965338634410401</v>
      </c>
      <c r="AW67" s="90">
        <f>IFERROR(-Kl*_xlfn.LOGNORM.DIST((Tabella34[[#This Row],[Day]]-pl),mu_l,sigma_l,FALSE)*(1+(LN((Tabella34[[#This Row],[Day]]-pl))-mu_l)/sigma_l^2)/(Tabella34[[#This Row],[Day]]-pl),0)</f>
        <v>56.980945713333803</v>
      </c>
      <c r="AX67" s="95">
        <f>Tabella34[[#This Row],[Lombardy acc. fit]]/y_l_peak</f>
        <v>3.2413208997930876E-2</v>
      </c>
      <c r="AY67" s="157">
        <f>Tabella34[[#This Row],[Lombardy acc. fit]]*NOT(ISBLANK(Tabella34[[#This Row],[Lombardy data]]))</f>
        <v>56.980945713333803</v>
      </c>
      <c r="AZ67" s="95">
        <f>Tabella34[[#This Row],[Lombardy acc. fit]]+CIl</f>
        <v>2627.3632686297424</v>
      </c>
      <c r="BA67" s="95">
        <f>MAX(Tabella34[[#This Row],[Lombardy acc. fit]]-CIl,0)</f>
        <v>0</v>
      </c>
      <c r="BB67" s="10">
        <f>Tabella8[[#This Row],[rest of Italy ]]</f>
        <v>45</v>
      </c>
      <c r="BC67" s="10">
        <f>(Tabella34[[#This Row],[rest of Italy cum. Data]]-BB66)</f>
        <v>13</v>
      </c>
      <c r="BD67" s="10">
        <f>Tabella34[[#This Row],[rest of Italy data]]-BC66</f>
        <v>-4</v>
      </c>
      <c r="BE67" s="95">
        <f>Tabella34[[#This Row],[rest of Italy data]]*NOT(ISBLANK(Tabella34[[#This Row],[rest of Italy data]]))</f>
        <v>13</v>
      </c>
      <c r="BF67" s="95">
        <f>Tabella8[[#This Row],[rest of Italy fit]]</f>
        <v>247.42222963734693</v>
      </c>
      <c r="BG67" s="157">
        <f>_xlfn.LOGNORM.INV(alpha*Tabella34[[#This Row],[rest of Italy cumul. Fit]]/Ko,mu_o,sigma_o)-(Tabella34[[#This Row],[Day]]-po)</f>
        <v>1.6500635045572594</v>
      </c>
      <c r="BH67" s="95">
        <f>Tabella34[[#This Row],[rest of Italy cumul. Fit]]/Ka</f>
        <v>1.6717720164874626E-3</v>
      </c>
      <c r="BI67" s="157">
        <f>IFERROR(Ko*_xlfn.LOGNORM.DIST((Tabella34[[#This Row],[Day]]-po),mu_o,sigma_o,FALSE),0)</f>
        <v>111.28688876154665</v>
      </c>
      <c r="BJ67" s="199">
        <f>Tabella34[[#This Row],[rest of Italy velocity]]/Tabella34[[#This Row],[rest of Italy cumul. Fit]]</f>
        <v>0.44978532820055289</v>
      </c>
      <c r="BK67" s="254">
        <f>(LN(Tabella34[[#This Row],[Day]]-po)-mu_o)/sigma_o</f>
        <v>-2.9342503515890463</v>
      </c>
      <c r="BL67" s="262">
        <f>EXP(mu_o+sigma_o*Tabella34[[#This Row],[x_o_alpha©+plus]])-(Tabella34[[#This Row],[Day]]-po)</f>
        <v>107.40001448598478</v>
      </c>
      <c r="BM67" s="262">
        <f>EXP(mu_o+sigma_o*Tabella34[[#This Row],[x_o_alpha©-minus]])-(Tabella34[[#This Row],[Day]]-po)</f>
        <v>-1.7408905964081853</v>
      </c>
      <c r="BN67" s="262">
        <f>-sigma_o+SQRT(sigma_o^2-2*Tabella34[[#This Row],[c_o]])</f>
        <v>2.5443171438968806</v>
      </c>
      <c r="BO67" s="262">
        <f>-sigma_o-SQRT(sigma_o^2-2*Tabella34[[#This Row],[c_o]])</f>
        <v>-3.1872899211959069</v>
      </c>
      <c r="BP67" s="262">
        <f>mu_o-LN(alpha*Ko/(Tabella34[[#This Row],[rest of Italy velocity]]*sigma_o*SQRTPI(2)))</f>
        <v>-4.0547381945342424</v>
      </c>
      <c r="BQ67" s="262">
        <f>Tabella34[[#This Row],[t_alpha_o+plus]]</f>
        <v>107.40001448598478</v>
      </c>
      <c r="BR67" s="90">
        <f>IFERROR(-Ka*_xlfn.LOGNORM.DIST((Tabella34[[#This Row],[Day]]-pa),mu_a,sigma_a,FALSE)*(1+(LN((Tabella34[[#This Row],[Day]]-pa))-mu_a)/sigma_a^2)/(Tabella34[[#This Row],[Day]]-pa),0)</f>
        <v>40.589735373046594</v>
      </c>
      <c r="BS67" s="95">
        <f>Tabella34[[#This Row],[rest of Italy acc. fit]]/y_a_peak</f>
        <v>1.201182134329655E-2</v>
      </c>
      <c r="BT67" s="95">
        <f>Tabella34[[#This Row],[rest of Italy acc. fit]]*NOT(ISBLANK(Tabella34[[#This Row],[rest of Italy data]]))</f>
        <v>40.589735373046594</v>
      </c>
      <c r="BU67" s="95">
        <f>Tabella34[[#This Row],[rest of Italy acc. fit]]+CIa</f>
        <v>5379.4291705330643</v>
      </c>
      <c r="BV67" s="95">
        <f>MAX(Tabella34[[#This Row],[rest of Italy acc. fit]]-CIa,0)</f>
        <v>0</v>
      </c>
    </row>
    <row r="68" spans="2:74" x14ac:dyDescent="0.3">
      <c r="B68" s="281">
        <v>43891</v>
      </c>
      <c r="C68" s="29">
        <v>61</v>
      </c>
      <c r="D68" s="10">
        <f>Tabella8[[#This Row],[Spain cum. Cases]]</f>
        <v>84</v>
      </c>
      <c r="E68" s="90">
        <f>(Tabella34[[#This Row],[Spain cumul. Cases]]-D67)</f>
        <v>39</v>
      </c>
      <c r="F68" s="90">
        <f>Tabella34[[#This Row],[Spain daily cases]]-E67</f>
        <v>26</v>
      </c>
      <c r="G68" s="95">
        <f>Tabella34[[#This Row],[Spain daily cases]]*NOT(ISBLANK(Tabella34[[#This Row],[Spain daily cases]]))</f>
        <v>39</v>
      </c>
      <c r="H68" s="157">
        <f>Tabella8[[#This Row],[Spain cum. fit]]</f>
        <v>139.84954028570687</v>
      </c>
      <c r="I68" s="157">
        <f>_xlfn.LOGNORM.INV(alpha*Tabella34[[#This Row],[Spain cumul. Fit]]/Kt,mu_t,sigma_t)-(Tabella34[[#This Row],[Day]]-pt)</f>
        <v>1.4744798083422701</v>
      </c>
      <c r="J68" s="157">
        <f>Tabella34[[#This Row],[Spain fitted d.t.]]/Spain_dt_at_lockdown</f>
        <v>0.39345960645651684</v>
      </c>
      <c r="K68" s="95">
        <f>Tabella34[[#This Row],[Spain cumul. Fit]]/Kf</f>
        <v>4.9946282980377755E-4</v>
      </c>
      <c r="L68" s="160"/>
      <c r="M68" s="95"/>
      <c r="N68" s="157">
        <f>IFERROR(Kt*_xlfn.LOGNORM.DIST((Tabella34[[#This Row],[Day]]-pt),mu_t,sigma_t,FALSE),0)</f>
        <v>69.373268163815382</v>
      </c>
      <c r="O68" s="157" t="e">
        <f>Kt*EXP(-0.5*Tabella34[[#This Row],[x_t]]^2)/(sigma_t*SQRTPI(2)*(Tabella34[[#This Row],[Day]]-D_bk))</f>
        <v>#NAME?</v>
      </c>
      <c r="P68" s="199">
        <f>Tabella34[[#This Row],[Spain fitted velocity]]/Tabella34[[#This Row],[Spain cumul. Fit]]</f>
        <v>0.4960564619811309</v>
      </c>
      <c r="Q68" s="262">
        <f>(LN(Tabella34[[#This Row],[Day]]-pt)-mu_t)/sigma_t</f>
        <v>-3.290829140017927</v>
      </c>
      <c r="R68" s="262">
        <f>EXP(mu_t+sigma_t*Tabella34[[#This Row],[x_t_alpha©+plus]])-(Tabella34[[#This Row],[Day]]-pt)</f>
        <v>116.93887354303781</v>
      </c>
      <c r="S68" s="262">
        <f>EXP(mu_t+sigma_t*Tabella34[[#This Row],[x_t_alpha©-minus]])-(Tabella34[[#This Row],[Day]]-pt)</f>
        <v>-1.5392949185141056</v>
      </c>
      <c r="T68" s="262">
        <f>-sigma_t+SQRT(sigma_t^2-2*Tabella34[[#This Row],[c_t]])</f>
        <v>2.9746489412157802</v>
      </c>
      <c r="U68" s="262">
        <f>-sigma_t-SQRT(sigma_t^2-2*Tabella34[[#This Row],[c_t]])</f>
        <v>-3.512088291058947</v>
      </c>
      <c r="V68" s="262">
        <f>mu_t-LN(alpha*Kt/(Tabella34[[#This Row],[Spain fitted velocity]]*sigma_t*SQRTPI(2)))</f>
        <v>-5.2236148582274176</v>
      </c>
      <c r="W68" s="262">
        <f>Tabella34[[#This Row],[Spain fitted g.r.]]/Spain_gr_at_lockdown</f>
        <v>2.393920796837453</v>
      </c>
      <c r="X68" s="262">
        <f>Tabella34[[#This Row],[t_alpha_t+plus]]</f>
        <v>116.93887354303781</v>
      </c>
      <c r="Y68" s="262">
        <f>Tabella34[[#This Row],[Spain fitted h.t.]]/Spain_ht_at_lockdown</f>
        <v>1.8995742583812998</v>
      </c>
      <c r="Z68" s="90">
        <f>IFERROR(-Kf*_xlfn.LOGNORM.DIST((Tabella34[[#This Row],[Day]]-pf),mu_f,sigma_f,FALSE)*(1+(LN((Tabella34[[#This Row],[Day]]-pf))-mu_f)/sigma_f^2)/(Tabella34[[#This Row],[Day]]-pf),0)</f>
        <v>29.257341695768723</v>
      </c>
      <c r="AA68" s="90">
        <f>Tabella34[[#This Row],[Spain acc. fit]]/Spain_acc_at_lockdown</f>
        <v>9.9699348594221415E-2</v>
      </c>
      <c r="AB68" s="95">
        <f>Tabella34[[#This Row],[Spain acc. fit]]/y_f_peak</f>
        <v>4.3833417997170389E-3</v>
      </c>
      <c r="AC68" s="157">
        <f>Tabella34[[#This Row],[Colonna4]]*NOT(ISBLANK(Tabella34[[#This Row],[Spain daily cases]]))</f>
        <v>0</v>
      </c>
      <c r="AD68" s="157">
        <f>Tabella34[[#This Row],[Spain acc. fit]]*NOT(ISBLANK(Tabella34[[#This Row],[Spain daily cases]]))</f>
        <v>29.257341695768723</v>
      </c>
      <c r="AE68" s="95">
        <f>Tabella34[[#This Row],[Spain acc. fit]]+CIf</f>
        <v>2371.9457593768616</v>
      </c>
      <c r="AF68" s="95">
        <f>MAX(Tabella34[[#This Row],[Spain acc. fit]]-CIf,0)</f>
        <v>0</v>
      </c>
      <c r="AG68" s="4">
        <f>Tabella8[[#This Row],[Lombardy]]</f>
        <v>0</v>
      </c>
      <c r="AH68" s="90">
        <f>(Tabella34[[#This Row],[Lombardy cumul. Data]]-AG67)</f>
        <v>0</v>
      </c>
      <c r="AI68" s="90">
        <f>Tabella34[[#This Row],[Lombardy data]]-AH67</f>
        <v>0</v>
      </c>
      <c r="AJ68" s="95">
        <f>Tabella34[[#This Row],[Lombardy data]]*NOT(ISBLANK(Tabella34[[#This Row],[Lombardy data]]))</f>
        <v>0</v>
      </c>
      <c r="AK68" s="95">
        <f>Tabella8[[#This Row],[Lombardy fit]]</f>
        <v>1448.8305134421209</v>
      </c>
      <c r="AL68" s="157">
        <f>_xlfn.LOGNORM.INV(alpha*Tabella34[[#This Row],[Lombardy cumul. Fit]]/Kr,mu_r,sigma_r)-(Tabella34[[#This Row],[Day]]-pr)</f>
        <v>3.1356136792830149</v>
      </c>
      <c r="AM68" s="95">
        <f>Tabella34[[#This Row],[Lombardy cumul. Fit]]/Kl</f>
        <v>1.6653224292438172E-2</v>
      </c>
      <c r="AN68" s="95">
        <f>IFERROR(Kr*_xlfn.LOGNORM.DIST((Tabella34[[#This Row],[Day]]-pr),mu_r,sigma_r,FALSE),0)</f>
        <v>355.50427654437118</v>
      </c>
      <c r="AO68" s="202">
        <f>Tabella34[[#This Row],[Lombardy velocity]]/Tabella34[[#This Row],[Lombardy cumul. Fit]]</f>
        <v>0.24537326709096341</v>
      </c>
      <c r="AP68" s="259">
        <f>(LN(Tabella34[[#This Row],[Day]]-pr)-mu_r)/sigma_r</f>
        <v>-2.1283696363301288</v>
      </c>
      <c r="AQ68" s="262">
        <f>EXP(mu_r+sigma_r*Tabella34[[#This Row],[x_r_alpha©+plus]])-(Tabella34[[#This Row],[Day]]-pr)</f>
        <v>83.655443274900563</v>
      </c>
      <c r="AR68" s="262">
        <f>EXP(mu_r+sigma_r*Tabella34[[#This Row],[x_r_alpha©-minus]])-(Tabella34[[#This Row],[Day]]-pr)</f>
        <v>-3.3705065804436209</v>
      </c>
      <c r="AS68" s="262">
        <f>-sigma_r+SQRT(sigma_r^2-2*Tabella34[[#This Row],[c_r]])</f>
        <v>1.8003744587312123</v>
      </c>
      <c r="AT68" s="262">
        <f>-sigma_r-SQRT(sigma_r^2-2*Tabella34[[#This Row],[c_r]])</f>
        <v>-2.4812290559249415</v>
      </c>
      <c r="AU68" s="262">
        <f>mu_r-LN(alpha*Kr/(Tabella34[[#This Row],[Lombardy velocity]]*sigma_r*SQRTPI(2)))</f>
        <v>-2.2335707092745114</v>
      </c>
      <c r="AV68" s="262">
        <f>Tabella34[[#This Row],[t_alpha_r+plus]]</f>
        <v>83.655443274900563</v>
      </c>
      <c r="AW68" s="90">
        <f>IFERROR(-Kl*_xlfn.LOGNORM.DIST((Tabella34[[#This Row],[Day]]-pl),mu_l,sigma_l,FALSE)*(1+(LN((Tabella34[[#This Row],[Day]]-pl))-mu_l)/sigma_l^2)/(Tabella34[[#This Row],[Day]]-pl),0)</f>
        <v>62.702026914326709</v>
      </c>
      <c r="AX68" s="95">
        <f>Tabella34[[#This Row],[Lombardy acc. fit]]/y_l_peak</f>
        <v>3.5667605679847003E-2</v>
      </c>
      <c r="AY68" s="157">
        <f>Tabella34[[#This Row],[Lombardy acc. fit]]*NOT(ISBLANK(Tabella34[[#This Row],[Lombardy data]]))</f>
        <v>62.702026914326709</v>
      </c>
      <c r="AZ68" s="95">
        <f>Tabella34[[#This Row],[Lombardy acc. fit]]+CIl</f>
        <v>2633.0843498307354</v>
      </c>
      <c r="BA68" s="95">
        <f>MAX(Tabella34[[#This Row],[Lombardy acc. fit]]-CIl,0)</f>
        <v>0</v>
      </c>
      <c r="BB68" s="10">
        <f>Tabella8[[#This Row],[rest of Italy ]]</f>
        <v>84</v>
      </c>
      <c r="BC68" s="10">
        <f>(Tabella34[[#This Row],[rest of Italy cum. Data]]-BB67)</f>
        <v>39</v>
      </c>
      <c r="BD68" s="10">
        <f>Tabella34[[#This Row],[rest of Italy data]]-BC67</f>
        <v>26</v>
      </c>
      <c r="BE68" s="95">
        <f>Tabella34[[#This Row],[rest of Italy data]]*NOT(ISBLANK(Tabella34[[#This Row],[rest of Italy data]]))</f>
        <v>39</v>
      </c>
      <c r="BF68" s="95">
        <f>Tabella8[[#This Row],[rest of Italy fit]]</f>
        <v>380.86663026803939</v>
      </c>
      <c r="BG68" s="157">
        <f>_xlfn.LOGNORM.INV(alpha*Tabella34[[#This Row],[rest of Italy cumul. Fit]]/Ko,mu_o,sigma_o)-(Tabella34[[#This Row],[Day]]-po)</f>
        <v>1.8020580121810745</v>
      </c>
      <c r="BH68" s="95">
        <f>Tabella34[[#This Row],[rest of Italy cumul. Fit]]/Ka</f>
        <v>2.5734234770628532E-3</v>
      </c>
      <c r="BI68" s="157">
        <f>IFERROR(Ko*_xlfn.LOGNORM.DIST((Tabella34[[#This Row],[Day]]-po),mu_o,sigma_o,FALSE),0)</f>
        <v>157.52296613712468</v>
      </c>
      <c r="BJ68" s="199">
        <f>Tabella34[[#This Row],[rest of Italy velocity]]/Tabella34[[#This Row],[rest of Italy cumul. Fit]]</f>
        <v>0.41359088357587548</v>
      </c>
      <c r="BK68" s="254">
        <f>(LN(Tabella34[[#This Row],[Day]]-po)-mu_o)/sigma_o</f>
        <v>-2.797696375341471</v>
      </c>
      <c r="BL68" s="262">
        <f>EXP(mu_o+sigma_o*Tabella34[[#This Row],[x_o_alpha©+plus]])-(Tabella34[[#This Row],[Day]]-po)</f>
        <v>101.33509003292285</v>
      </c>
      <c r="BM68" s="262">
        <f>EXP(mu_o+sigma_o*Tabella34[[#This Row],[x_o_alpha©-minus]])-(Tabella34[[#This Row],[Day]]-po)</f>
        <v>-1.906000312275907</v>
      </c>
      <c r="BN68" s="262">
        <f>-sigma_o+SQRT(sigma_o^2-2*Tabella34[[#This Row],[c_o]])</f>
        <v>2.4203944000269164</v>
      </c>
      <c r="BO68" s="262">
        <f>-sigma_o-SQRT(sigma_o^2-2*Tabella34[[#This Row],[c_o]])</f>
        <v>-3.0633671773259428</v>
      </c>
      <c r="BP68" s="262">
        <f>mu_o-LN(alpha*Ko/(Tabella34[[#This Row],[rest of Italy velocity]]*sigma_o*SQRTPI(2)))</f>
        <v>-3.707278380612987</v>
      </c>
      <c r="BQ68" s="262">
        <f>Tabella34[[#This Row],[t_alpha_o+plus]]</f>
        <v>101.33509003292285</v>
      </c>
      <c r="BR68" s="90">
        <f>IFERROR(-Ka*_xlfn.LOGNORM.DIST((Tabella34[[#This Row],[Day]]-pa),mu_a,sigma_a,FALSE)*(1+(LN((Tabella34[[#This Row],[Day]]-pa))-mu_a)/sigma_a^2)/(Tabella34[[#This Row],[Day]]-pa),0)</f>
        <v>52.112002160648089</v>
      </c>
      <c r="BS68" s="95">
        <f>Tabella34[[#This Row],[rest of Italy acc. fit]]/y_a_peak</f>
        <v>1.5421634411808809E-2</v>
      </c>
      <c r="BT68" s="95">
        <f>Tabella34[[#This Row],[rest of Italy acc. fit]]*NOT(ISBLANK(Tabella34[[#This Row],[rest of Italy data]]))</f>
        <v>52.112002160648089</v>
      </c>
      <c r="BU68" s="95">
        <f>Tabella34[[#This Row],[rest of Italy acc. fit]]+CIa</f>
        <v>5390.9514373206657</v>
      </c>
      <c r="BV68" s="95">
        <f>MAX(Tabella34[[#This Row],[rest of Italy acc. fit]]-CIa,0)</f>
        <v>0</v>
      </c>
    </row>
    <row r="69" spans="2:74" x14ac:dyDescent="0.3">
      <c r="B69" s="281">
        <v>43892</v>
      </c>
      <c r="C69" s="29">
        <v>62</v>
      </c>
      <c r="D69" s="10">
        <f>Tabella8[[#This Row],[Spain cum. Cases]]</f>
        <v>120</v>
      </c>
      <c r="E69" s="90">
        <f>(Tabella34[[#This Row],[Spain cumul. Cases]]-D68)</f>
        <v>36</v>
      </c>
      <c r="F69" s="90">
        <f>Tabella34[[#This Row],[Spain daily cases]]-E68</f>
        <v>-3</v>
      </c>
      <c r="G69" s="95">
        <f>Tabella34[[#This Row],[Spain daily cases]]*NOT(ISBLANK(Tabella34[[#This Row],[Spain daily cases]]))</f>
        <v>36</v>
      </c>
      <c r="H69" s="157">
        <f>Tabella8[[#This Row],[Spain cum. fit]]</f>
        <v>225.59905763868508</v>
      </c>
      <c r="I69" s="157">
        <f>_xlfn.LOGNORM.INV(alpha*Tabella34[[#This Row],[Spain cumul. Fit]]/Kt,mu_t,sigma_t)-(Tabella34[[#This Row],[Day]]-pt)</f>
        <v>1.5919055560088893</v>
      </c>
      <c r="J69" s="157">
        <f>Tabella34[[#This Row],[Spain fitted d.t.]]/Spain_dt_at_lockdown</f>
        <v>0.4247942427149235</v>
      </c>
      <c r="K69" s="95">
        <f>Tabella34[[#This Row],[Spain cumul. Fit]]/Kf</f>
        <v>8.0571122006612198E-4</v>
      </c>
      <c r="L69" s="160"/>
      <c r="M69" s="95"/>
      <c r="N69" s="157">
        <f>IFERROR(Kt*_xlfn.LOGNORM.DIST((Tabella34[[#This Row],[Day]]-pt),mu_t,sigma_t,FALSE),0)</f>
        <v>103.97391632122363</v>
      </c>
      <c r="O69" s="157" t="e">
        <f>Kt*EXP(-0.5*Tabella34[[#This Row],[x_t]]^2)/(sigma_t*SQRTPI(2)*(Tabella34[[#This Row],[Day]]-D_bk))</f>
        <v>#NAME?</v>
      </c>
      <c r="P69" s="199">
        <f>Tabella34[[#This Row],[Spain fitted velocity]]/Tabella34[[#This Row],[Spain cumul. Fit]]</f>
        <v>0.46087921381190411</v>
      </c>
      <c r="Q69" s="262">
        <f>(LN(Tabella34[[#This Row],[Day]]-pt)-mu_t)/sigma_t</f>
        <v>-3.1538312342142141</v>
      </c>
      <c r="R69" s="262">
        <f>EXP(mu_t+sigma_t*Tabella34[[#This Row],[x_t_alpha©+plus]])-(Tabella34[[#This Row],[Day]]-pt)</f>
        <v>111.11115958822985</v>
      </c>
      <c r="S69" s="262">
        <f>EXP(mu_t+sigma_t*Tabella34[[#This Row],[x_t_alpha©-minus]])-(Tabella34[[#This Row],[Day]]-pt)</f>
        <v>-1.6651812888807456</v>
      </c>
      <c r="T69" s="262">
        <f>-sigma_t+SQRT(sigma_t^2-2*Tabella34[[#This Row],[c_t]])</f>
        <v>2.8473937810815588</v>
      </c>
      <c r="U69" s="262">
        <f>-sigma_t-SQRT(sigma_t^2-2*Tabella34[[#This Row],[c_t]])</f>
        <v>-3.3848331309247257</v>
      </c>
      <c r="V69" s="262">
        <f>mu_t-LN(alpha*Kt/(Tabella34[[#This Row],[Spain fitted velocity]]*sigma_t*SQRTPI(2)))</f>
        <v>-4.8189764034969418</v>
      </c>
      <c r="W69" s="262">
        <f>Tabella34[[#This Row],[Spain fitted g.r.]]/Spain_gr_at_lockdown</f>
        <v>2.2241587789584729</v>
      </c>
      <c r="X69" s="262">
        <f>Tabella34[[#This Row],[t_alpha_t+plus]]</f>
        <v>111.11115958822985</v>
      </c>
      <c r="Y69" s="262">
        <f>Tabella34[[#This Row],[Spain fitted h.t.]]/Spain_ht_at_lockdown</f>
        <v>1.8049079162287183</v>
      </c>
      <c r="Z69" s="90">
        <f>IFERROR(-Kf*_xlfn.LOGNORM.DIST((Tabella34[[#This Row],[Day]]-pf),mu_f,sigma_f,FALSE)*(1+(LN((Tabella34[[#This Row],[Day]]-pf))-mu_f)/sigma_f^2)/(Tabella34[[#This Row],[Day]]-pf),0)</f>
        <v>40.348872219105154</v>
      </c>
      <c r="AA69" s="90">
        <f>Tabella34[[#This Row],[Spain acc. fit]]/Spain_acc_at_lockdown</f>
        <v>0.13749561797468576</v>
      </c>
      <c r="AB69" s="95">
        <f>Tabella34[[#This Row],[Spain acc. fit]]/y_f_peak</f>
        <v>6.0450775059657461E-3</v>
      </c>
      <c r="AC69" s="157">
        <f>Tabella34[[#This Row],[Colonna4]]*NOT(ISBLANK(Tabella34[[#This Row],[Spain daily cases]]))</f>
        <v>0</v>
      </c>
      <c r="AD69" s="157">
        <f>Tabella34[[#This Row],[Spain acc. fit]]*NOT(ISBLANK(Tabella34[[#This Row],[Spain daily cases]]))</f>
        <v>40.348872219105154</v>
      </c>
      <c r="AE69" s="95">
        <f>Tabella34[[#This Row],[Spain acc. fit]]+CIf</f>
        <v>2383.0372899001977</v>
      </c>
      <c r="AF69" s="95">
        <f>MAX(Tabella34[[#This Row],[Spain acc. fit]]-CIf,0)</f>
        <v>0</v>
      </c>
      <c r="AG69" s="4">
        <f>Tabella8[[#This Row],[Lombardy]]</f>
        <v>0</v>
      </c>
      <c r="AH69" s="90">
        <f>(Tabella34[[#This Row],[Lombardy cumul. Data]]-AG68)</f>
        <v>0</v>
      </c>
      <c r="AI69" s="90">
        <f>Tabella34[[#This Row],[Lombardy data]]-AH68</f>
        <v>0</v>
      </c>
      <c r="AJ69" s="95">
        <f>Tabella34[[#This Row],[Lombardy data]]*NOT(ISBLANK(Tabella34[[#This Row],[Lombardy data]]))</f>
        <v>0</v>
      </c>
      <c r="AK69" s="95">
        <f>Tabella8[[#This Row],[Lombardy fit]]</f>
        <v>1836.5792702222441</v>
      </c>
      <c r="AL69" s="157">
        <f>_xlfn.LOGNORM.INV(alpha*Tabella34[[#This Row],[Lombardy cumul. Fit]]/Kr,mu_r,sigma_r)-(Tabella34[[#This Row],[Day]]-pr)</f>
        <v>3.3774605947578813</v>
      </c>
      <c r="AM69" s="95">
        <f>Tabella34[[#This Row],[Lombardy cumul. Fit]]/Kl</f>
        <v>2.1110106554278668E-2</v>
      </c>
      <c r="AN69" s="95">
        <f>IFERROR(Kr*_xlfn.LOGNORM.DIST((Tabella34[[#This Row],[Day]]-pr),mu_r,sigma_r,FALSE),0)</f>
        <v>420.86336829536248</v>
      </c>
      <c r="AO69" s="202">
        <f>Tabella34[[#This Row],[Lombardy velocity]]/Tabella34[[#This Row],[Lombardy cumul. Fit]]</f>
        <v>0.22915611382482493</v>
      </c>
      <c r="AP69" s="259">
        <f>(LN(Tabella34[[#This Row],[Day]]-pr)-mu_r)/sigma_r</f>
        <v>-2.0313429914802725</v>
      </c>
      <c r="AQ69" s="262">
        <f>EXP(mu_r+sigma_r*Tabella34[[#This Row],[x_r_alpha©+plus]])-(Tabella34[[#This Row],[Day]]-pr)</f>
        <v>79.594980306174762</v>
      </c>
      <c r="AR69" s="262">
        <f>EXP(mu_r+sigma_r*Tabella34[[#This Row],[x_r_alpha©-minus]])-(Tabella34[[#This Row],[Day]]-pr)</f>
        <v>-3.6382743511205895</v>
      </c>
      <c r="AS69" s="262">
        <f>-sigma_r+SQRT(sigma_r^2-2*Tabella34[[#This Row],[c_r]])</f>
        <v>1.7200314468186479</v>
      </c>
      <c r="AT69" s="262">
        <f>-sigma_r-SQRT(sigma_r^2-2*Tabella34[[#This Row],[c_r]])</f>
        <v>-2.4008860440123772</v>
      </c>
      <c r="AU69" s="262">
        <f>mu_r-LN(alpha*Kr/(Tabella34[[#This Row],[Lombardy velocity]]*sigma_r*SQRTPI(2)))</f>
        <v>-2.0647997479646545</v>
      </c>
      <c r="AV69" s="262">
        <f>Tabella34[[#This Row],[t_alpha_r+plus]]</f>
        <v>79.594980306174762</v>
      </c>
      <c r="AW69" s="90">
        <f>IFERROR(-Kl*_xlfn.LOGNORM.DIST((Tabella34[[#This Row],[Day]]-pl),mu_l,sigma_l,FALSE)*(1+(LN((Tabella34[[#This Row],[Day]]-pl))-mu_l)/sigma_l^2)/(Tabella34[[#This Row],[Day]]-pl),0)</f>
        <v>67.920574651300242</v>
      </c>
      <c r="AX69" s="95">
        <f>Tabella34[[#This Row],[Lombardy acc. fit]]/y_l_peak</f>
        <v>3.8636139745869366E-2</v>
      </c>
      <c r="AY69" s="157">
        <f>Tabella34[[#This Row],[Lombardy acc. fit]]*NOT(ISBLANK(Tabella34[[#This Row],[Lombardy data]]))</f>
        <v>67.920574651300242</v>
      </c>
      <c r="AZ69" s="95">
        <f>Tabella34[[#This Row],[Lombardy acc. fit]]+CIl</f>
        <v>2638.3028975677089</v>
      </c>
      <c r="BA69" s="95">
        <f>MAX(Tabella34[[#This Row],[Lombardy acc. fit]]-CIl,0)</f>
        <v>0</v>
      </c>
      <c r="BB69" s="10">
        <f>Tabella8[[#This Row],[rest of Italy ]]</f>
        <v>120</v>
      </c>
      <c r="BC69" s="10">
        <f>(Tabella34[[#This Row],[rest of Italy cum. Data]]-BB68)</f>
        <v>36</v>
      </c>
      <c r="BD69" s="10">
        <f>Tabella34[[#This Row],[rest of Italy data]]-BC68</f>
        <v>-3</v>
      </c>
      <c r="BE69" s="95">
        <f>Tabella34[[#This Row],[rest of Italy data]]*NOT(ISBLANK(Tabella34[[#This Row],[rest of Italy data]]))</f>
        <v>36</v>
      </c>
      <c r="BF69" s="95">
        <f>Tabella8[[#This Row],[rest of Italy fit]]</f>
        <v>566.52661474504566</v>
      </c>
      <c r="BG69" s="157">
        <f>_xlfn.LOGNORM.INV(alpha*Tabella34[[#This Row],[rest of Italy cumul. Fit]]/Ko,mu_o,sigma_o)-(Tabella34[[#This Row],[Day]]-po)</f>
        <v>1.9642758151927531</v>
      </c>
      <c r="BH69" s="95">
        <f>Tabella34[[#This Row],[rest of Italy cumul. Fit]]/Ka</f>
        <v>3.827882977670739E-3</v>
      </c>
      <c r="BI69" s="157">
        <f>IFERROR(Ko*_xlfn.LOGNORM.DIST((Tabella34[[#This Row],[Day]]-po),mu_o,sigma_o,FALSE),0)</f>
        <v>215.92471211240581</v>
      </c>
      <c r="BJ69" s="199">
        <f>Tabella34[[#This Row],[rest of Italy velocity]]/Tabella34[[#This Row],[rest of Italy cumul. Fit]]</f>
        <v>0.38113780799085417</v>
      </c>
      <c r="BK69" s="254">
        <f>(LN(Tabella34[[#This Row],[Day]]-po)-mu_o)/sigma_o</f>
        <v>-2.6668858947405418</v>
      </c>
      <c r="BL69" s="262">
        <f>EXP(mu_o+sigma_o*Tabella34[[#This Row],[x_o_alpha©+plus]])-(Tabella34[[#This Row],[Day]]-po)</f>
        <v>95.71416956875639</v>
      </c>
      <c r="BM69" s="262">
        <f>EXP(mu_o+sigma_o*Tabella34[[#This Row],[x_o_alpha©-minus]])-(Tabella34[[#This Row],[Day]]-po)</f>
        <v>-2.0828158992373389</v>
      </c>
      <c r="BN69" s="262">
        <f>-sigma_o+SQRT(sigma_o^2-2*Tabella34[[#This Row],[c_o]])</f>
        <v>2.3028598545683923</v>
      </c>
      <c r="BO69" s="262">
        <f>-sigma_o-SQRT(sigma_o^2-2*Tabella34[[#This Row],[c_o]])</f>
        <v>-2.9458326318674186</v>
      </c>
      <c r="BP69" s="262">
        <f>mu_o-LN(alpha*Ko/(Tabella34[[#This Row],[rest of Italy velocity]]*sigma_o*SQRTPI(2)))</f>
        <v>-3.3919198531025136</v>
      </c>
      <c r="BQ69" s="262">
        <f>Tabella34[[#This Row],[t_alpha_o+plus]]</f>
        <v>95.71416956875639</v>
      </c>
      <c r="BR69" s="90">
        <f>IFERROR(-Ka*_xlfn.LOGNORM.DIST((Tabella34[[#This Row],[Day]]-pa),mu_a,sigma_a,FALSE)*(1+(LN((Tabella34[[#This Row],[Day]]-pa))-mu_a)/sigma_a^2)/(Tabella34[[#This Row],[Day]]-pa),0)</f>
        <v>64.872682667764323</v>
      </c>
      <c r="BS69" s="95">
        <f>Tabella34[[#This Row],[rest of Italy acc. fit]]/y_a_peak</f>
        <v>1.9197934332506276E-2</v>
      </c>
      <c r="BT69" s="95">
        <f>Tabella34[[#This Row],[rest of Italy acc. fit]]*NOT(ISBLANK(Tabella34[[#This Row],[rest of Italy data]]))</f>
        <v>64.872682667764323</v>
      </c>
      <c r="BU69" s="95">
        <f>Tabella34[[#This Row],[rest of Italy acc. fit]]+CIa</f>
        <v>5403.7121178277812</v>
      </c>
      <c r="BV69" s="95">
        <f>MAX(Tabella34[[#This Row],[rest of Italy acc. fit]]-CIa,0)</f>
        <v>0</v>
      </c>
    </row>
    <row r="70" spans="2:74" x14ac:dyDescent="0.3">
      <c r="B70" s="281">
        <v>43893</v>
      </c>
      <c r="C70" s="29">
        <v>63</v>
      </c>
      <c r="D70" s="10">
        <f>Tabella8[[#This Row],[Spain cum. Cases]]</f>
        <v>165</v>
      </c>
      <c r="E70" s="90">
        <f>(Tabella34[[#This Row],[Spain cumul. Cases]]-D69)</f>
        <v>45</v>
      </c>
      <c r="F70" s="90">
        <f>Tabella34[[#This Row],[Spain daily cases]]-E69</f>
        <v>9</v>
      </c>
      <c r="G70" s="95">
        <f>Tabella34[[#This Row],[Spain daily cases]]*NOT(ISBLANK(Tabella34[[#This Row],[Spain daily cases]]))</f>
        <v>45</v>
      </c>
      <c r="H70" s="157">
        <f>Tabella8[[#This Row],[Spain cum. fit]]</f>
        <v>351.90529176290045</v>
      </c>
      <c r="I70" s="157">
        <f>_xlfn.LOGNORM.INV(alpha*Tabella34[[#This Row],[Spain cumul. Fit]]/Kt,mu_t,sigma_t)-(Tabella34[[#This Row],[Day]]-pt)</f>
        <v>1.7165257093383488</v>
      </c>
      <c r="J70" s="157">
        <f>Tabella34[[#This Row],[Spain fitted d.t.]]/Spain_dt_at_lockdown</f>
        <v>0.45804868011592587</v>
      </c>
      <c r="K70" s="95">
        <f>Tabella34[[#This Row],[Spain cumul. Fit]]/Kf</f>
        <v>1.2568050812876779E-3</v>
      </c>
      <c r="L70" s="160"/>
      <c r="M70" s="95"/>
      <c r="N70" s="157">
        <f>IFERROR(Kt*_xlfn.LOGNORM.DIST((Tabella34[[#This Row],[Day]]-pt),mu_t,sigma_t,FALSE),0)</f>
        <v>150.90175809924156</v>
      </c>
      <c r="O70" s="157" t="e">
        <f>Kt*EXP(-0.5*Tabella34[[#This Row],[x_t]]^2)/(sigma_t*SQRTPI(2)*(Tabella34[[#This Row],[Day]]-D_bk))</f>
        <v>#NAME?</v>
      </c>
      <c r="P70" s="199">
        <f>Tabella34[[#This Row],[Spain fitted velocity]]/Tabella34[[#This Row],[Spain cumul. Fit]]</f>
        <v>0.42881355191701143</v>
      </c>
      <c r="Q70" s="262">
        <f>(LN(Tabella34[[#This Row],[Day]]-pt)-mu_t)/sigma_t</f>
        <v>-3.0216982078564105</v>
      </c>
      <c r="R70" s="262">
        <f>EXP(mu_t+sigma_t*Tabella34[[#This Row],[x_t_alpha©+plus]])-(Tabella34[[#This Row],[Day]]-pt)</f>
        <v>105.63809698134752</v>
      </c>
      <c r="S70" s="262">
        <f>EXP(mu_t+sigma_t*Tabella34[[#This Row],[x_t_alpha©-minus]])-(Tabella34[[#This Row],[Day]]-pt)</f>
        <v>-1.7991947800905415</v>
      </c>
      <c r="T70" s="262">
        <f>-sigma_t+SQRT(sigma_t^2-2*Tabella34[[#This Row],[c_t]])</f>
        <v>2.7254722300704599</v>
      </c>
      <c r="U70" s="262">
        <f>-sigma_t-SQRT(sigma_t^2-2*Tabella34[[#This Row],[c_t]])</f>
        <v>-3.2629115799136268</v>
      </c>
      <c r="V70" s="262">
        <f>mu_t-LN(alpha*Kt/(Tabella34[[#This Row],[Spain fitted velocity]]*sigma_t*SQRTPI(2)))</f>
        <v>-4.4464874501149598</v>
      </c>
      <c r="W70" s="262">
        <f>Tabella34[[#This Row],[Spain fitted g.r.]]/Spain_gr_at_lockdown</f>
        <v>2.0694129773052294</v>
      </c>
      <c r="X70" s="262">
        <f>Tabella34[[#This Row],[t_alpha_t+plus]]</f>
        <v>105.63809698134752</v>
      </c>
      <c r="Y70" s="262">
        <f>Tabella34[[#This Row],[Spain fitted h.t.]]/Spain_ht_at_lockdown</f>
        <v>1.7160025887909895</v>
      </c>
      <c r="Z70" s="90">
        <f>IFERROR(-Kf*_xlfn.LOGNORM.DIST((Tabella34[[#This Row],[Day]]-pf),mu_f,sigma_f,FALSE)*(1+(LN((Tabella34[[#This Row],[Day]]-pf))-mu_f)/sigma_f^2)/(Tabella34[[#This Row],[Day]]-pf),0)</f>
        <v>53.928846179729177</v>
      </c>
      <c r="AA70" s="90">
        <f>Tabella34[[#This Row],[Spain acc. fit]]/Spain_acc_at_lockdown</f>
        <v>0.18377167995869406</v>
      </c>
      <c r="AB70" s="95">
        <f>Tabella34[[#This Row],[Spain acc. fit]]/y_f_peak</f>
        <v>8.0796323920400686E-3</v>
      </c>
      <c r="AC70" s="157">
        <f>Tabella34[[#This Row],[Colonna4]]*NOT(ISBLANK(Tabella34[[#This Row],[Spain daily cases]]))</f>
        <v>0</v>
      </c>
      <c r="AD70" s="157">
        <f>Tabella34[[#This Row],[Spain acc. fit]]*NOT(ISBLANK(Tabella34[[#This Row],[Spain daily cases]]))</f>
        <v>53.928846179729177</v>
      </c>
      <c r="AE70" s="95">
        <f>Tabella34[[#This Row],[Spain acc. fit]]+CIf</f>
        <v>2396.6172638608218</v>
      </c>
      <c r="AF70" s="95">
        <f>MAX(Tabella34[[#This Row],[Spain acc. fit]]-CIf,0)</f>
        <v>0</v>
      </c>
      <c r="AG70" s="4">
        <f>Tabella8[[#This Row],[Lombardy]]</f>
        <v>0</v>
      </c>
      <c r="AH70" s="90">
        <f>(Tabella34[[#This Row],[Lombardy cumul. Data]]-AG69)</f>
        <v>0</v>
      </c>
      <c r="AI70" s="90">
        <f>Tabella34[[#This Row],[Lombardy data]]-AH69</f>
        <v>0</v>
      </c>
      <c r="AJ70" s="95">
        <f>Tabella34[[#This Row],[Lombardy data]]*NOT(ISBLANK(Tabella34[[#This Row],[Lombardy data]]))</f>
        <v>0</v>
      </c>
      <c r="AK70" s="95">
        <f>Tabella8[[#This Row],[Lombardy fit]]</f>
        <v>2292.1954624306022</v>
      </c>
      <c r="AL70" s="157">
        <f>_xlfn.LOGNORM.INV(alpha*Tabella34[[#This Row],[Lombardy cumul. Fit]]/Kr,mu_r,sigma_r)-(Tabella34[[#This Row],[Day]]-pr)</f>
        <v>3.6349908304177951</v>
      </c>
      <c r="AM70" s="95">
        <f>Tabella34[[#This Row],[Lombardy cumul. Fit]]/Kl</f>
        <v>2.6347074280811521E-2</v>
      </c>
      <c r="AN70" s="95">
        <f>IFERROR(Kr*_xlfn.LOGNORM.DIST((Tabella34[[#This Row],[Day]]-pr),mu_r,sigma_r,FALSE),0)</f>
        <v>491.13300028691896</v>
      </c>
      <c r="AO70" s="202">
        <f>Tabella34[[#This Row],[Lombardy velocity]]/Tabella34[[#This Row],[Lombardy cumul. Fit]]</f>
        <v>0.21426314131436699</v>
      </c>
      <c r="AP70" s="259">
        <f>(LN(Tabella34[[#This Row],[Day]]-pr)-mu_r)/sigma_r</f>
        <v>-1.9374189785369405</v>
      </c>
      <c r="AQ70" s="262">
        <f>EXP(mu_r+sigma_r*Tabella34[[#This Row],[x_r_alpha©+plus]])-(Tabella34[[#This Row],[Day]]-pr)</f>
        <v>75.76307496417239</v>
      </c>
      <c r="AR70" s="262">
        <f>EXP(mu_r+sigma_r*Tabella34[[#This Row],[x_r_alpha©-minus]])-(Tabella34[[#This Row],[Day]]-pr)</f>
        <v>-3.923601587155531</v>
      </c>
      <c r="AS70" s="262">
        <f>-sigma_r+SQRT(sigma_r^2-2*Tabella34[[#This Row],[c_r]])</f>
        <v>1.6436787436593743</v>
      </c>
      <c r="AT70" s="262">
        <f>-sigma_r-SQRT(sigma_r^2-2*Tabella34[[#This Row],[c_r]])</f>
        <v>-2.3245333408531037</v>
      </c>
      <c r="AU70" s="262">
        <f>mu_r-LN(alpha*Kr/(Tabella34[[#This Row],[Lombardy velocity]]*sigma_r*SQRTPI(2)))</f>
        <v>-1.9103930206438786</v>
      </c>
      <c r="AV70" s="262">
        <f>Tabella34[[#This Row],[t_alpha_r+plus]]</f>
        <v>75.76307496417239</v>
      </c>
      <c r="AW70" s="90">
        <f>IFERROR(-Kl*_xlfn.LOGNORM.DIST((Tabella34[[#This Row],[Day]]-pl),mu_l,sigma_l,FALSE)*(1+(LN((Tabella34[[#This Row],[Day]]-pl))-mu_l)/sigma_l^2)/(Tabella34[[#This Row],[Day]]-pl),0)</f>
        <v>72.502633047918863</v>
      </c>
      <c r="AX70" s="95">
        <f>Tabella34[[#This Row],[Lombardy acc. fit]]/y_l_peak</f>
        <v>4.1242611340733919E-2</v>
      </c>
      <c r="AY70" s="157">
        <f>Tabella34[[#This Row],[Lombardy acc. fit]]*NOT(ISBLANK(Tabella34[[#This Row],[Lombardy data]]))</f>
        <v>72.502633047918863</v>
      </c>
      <c r="AZ70" s="95">
        <f>Tabella34[[#This Row],[Lombardy acc. fit]]+CIl</f>
        <v>2642.8849559643277</v>
      </c>
      <c r="BA70" s="95">
        <f>MAX(Tabella34[[#This Row],[Lombardy acc. fit]]-CIl,0)</f>
        <v>0</v>
      </c>
      <c r="BB70" s="10">
        <f>Tabella8[[#This Row],[rest of Italy ]]</f>
        <v>165</v>
      </c>
      <c r="BC70" s="10">
        <f>(Tabella34[[#This Row],[rest of Italy cum. Data]]-BB69)</f>
        <v>45</v>
      </c>
      <c r="BD70" s="10">
        <f>Tabella34[[#This Row],[rest of Italy data]]-BC69</f>
        <v>9</v>
      </c>
      <c r="BE70" s="95">
        <f>Tabella34[[#This Row],[rest of Italy data]]*NOT(ISBLANK(Tabella34[[#This Row],[rest of Italy data]]))</f>
        <v>45</v>
      </c>
      <c r="BF70" s="95">
        <f>Tabella8[[#This Row],[rest of Italy fit]]</f>
        <v>817.13509237138612</v>
      </c>
      <c r="BG70" s="157">
        <f>_xlfn.LOGNORM.INV(alpha*Tabella34[[#This Row],[rest of Italy cumul. Fit]]/Ko,mu_o,sigma_o)-(Tabella34[[#This Row],[Day]]-po)</f>
        <v>2.1374603361735929</v>
      </c>
      <c r="BH70" s="95">
        <f>Tabella34[[#This Row],[rest of Italy cumul. Fit]]/Ka</f>
        <v>5.5211836992927251E-3</v>
      </c>
      <c r="BI70" s="157">
        <f>IFERROR(Ko*_xlfn.LOGNORM.DIST((Tabella34[[#This Row],[Day]]-po),mu_o,sigma_o,FALSE),0)</f>
        <v>287.57118773992391</v>
      </c>
      <c r="BJ70" s="199">
        <f>Tabella34[[#This Row],[rest of Italy velocity]]/Tabella34[[#This Row],[rest of Italy cumul. Fit]]</f>
        <v>0.35192612632186826</v>
      </c>
      <c r="BK70" s="254">
        <f>(LN(Tabella34[[#This Row],[Day]]-po)-mu_o)/sigma_o</f>
        <v>-2.5413552020518768</v>
      </c>
      <c r="BL70" s="262">
        <f>EXP(mu_o+sigma_o*Tabella34[[#This Row],[x_o_alpha©+plus]])-(Tabella34[[#This Row],[Day]]-po)</f>
        <v>90.486872647777247</v>
      </c>
      <c r="BM70" s="262">
        <f>EXP(mu_o+sigma_o*Tabella34[[#This Row],[x_o_alpha©-minus]])-(Tabella34[[#This Row],[Day]]-po)</f>
        <v>-2.2721963991452512</v>
      </c>
      <c r="BN70" s="262">
        <f>-sigma_o+SQRT(sigma_o^2-2*Tabella34[[#This Row],[c_o]])</f>
        <v>2.1913032782021133</v>
      </c>
      <c r="BO70" s="262">
        <f>-sigma_o-SQRT(sigma_o^2-2*Tabella34[[#This Row],[c_o]])</f>
        <v>-2.8342760555011397</v>
      </c>
      <c r="BP70" s="262">
        <f>mu_o-LN(alpha*Ko/(Tabella34[[#This Row],[rest of Italy velocity]]*sigma_o*SQRTPI(2)))</f>
        <v>-3.1053792058747005</v>
      </c>
      <c r="BQ70" s="262">
        <f>Tabella34[[#This Row],[t_alpha_o+plus]]</f>
        <v>90.486872647777247</v>
      </c>
      <c r="BR70" s="90">
        <f>IFERROR(-Ka*_xlfn.LOGNORM.DIST((Tabella34[[#This Row],[Day]]-pa),mu_a,sigma_a,FALSE)*(1+(LN((Tabella34[[#This Row],[Day]]-pa))-mu_a)/sigma_a^2)/(Tabella34[[#This Row],[Day]]-pa),0)</f>
        <v>78.539619751792202</v>
      </c>
      <c r="BS70" s="95">
        <f>Tabella34[[#This Row],[rest of Italy acc. fit]]/y_a_peak</f>
        <v>2.3242425016040763E-2</v>
      </c>
      <c r="BT70" s="95">
        <f>Tabella34[[#This Row],[rest of Italy acc. fit]]*NOT(ISBLANK(Tabella34[[#This Row],[rest of Italy data]]))</f>
        <v>78.539619751792202</v>
      </c>
      <c r="BU70" s="95">
        <f>Tabella34[[#This Row],[rest of Italy acc. fit]]+CIa</f>
        <v>5417.3790549118094</v>
      </c>
      <c r="BV70" s="95">
        <f>MAX(Tabella34[[#This Row],[rest of Italy acc. fit]]-CIa,0)</f>
        <v>0</v>
      </c>
    </row>
    <row r="71" spans="2:74" x14ac:dyDescent="0.3">
      <c r="B71" s="281">
        <v>43894</v>
      </c>
      <c r="C71" s="29">
        <v>64</v>
      </c>
      <c r="D71" s="10">
        <f>Tabella8[[#This Row],[Spain cum. Cases]]</f>
        <v>222</v>
      </c>
      <c r="E71" s="90">
        <f>(Tabella34[[#This Row],[Spain cumul. Cases]]-D70)</f>
        <v>57</v>
      </c>
      <c r="F71" s="90">
        <f>Tabella34[[#This Row],[Spain daily cases]]-E70</f>
        <v>12</v>
      </c>
      <c r="G71" s="95">
        <f>Tabella34[[#This Row],[Spain daily cases]]*NOT(ISBLANK(Tabella34[[#This Row],[Spain daily cases]]))</f>
        <v>57</v>
      </c>
      <c r="H71" s="157">
        <f>Tabella8[[#This Row],[Spain cum. fit]]</f>
        <v>532.35181932069599</v>
      </c>
      <c r="I71" s="157">
        <f>_xlfn.LOGNORM.INV(alpha*Tabella34[[#This Row],[Spain cumul. Fit]]/Kt,mu_t,sigma_t)-(Tabella34[[#This Row],[Day]]-pt)</f>
        <v>1.8488364521717209</v>
      </c>
      <c r="J71" s="157">
        <f>Tabella34[[#This Row],[Spain fitted d.t.]]/Spain_dt_at_lockdown</f>
        <v>0.49335532352375716</v>
      </c>
      <c r="K71" s="95">
        <f>Tabella34[[#This Row],[Spain cumul. Fit]]/Kf</f>
        <v>1.9012572053215325E-3</v>
      </c>
      <c r="L71" s="160"/>
      <c r="M71" s="95"/>
      <c r="N71" s="157">
        <f>IFERROR(Kt*_xlfn.LOGNORM.DIST((Tabella34[[#This Row],[Day]]-pt),mu_t,sigma_t,FALSE),0)</f>
        <v>212.67666974944026</v>
      </c>
      <c r="O71" s="157" t="e">
        <f>Kt*EXP(-0.5*Tabella34[[#This Row],[x_t]]^2)/(sigma_t*SQRTPI(2)*(Tabella34[[#This Row],[Day]]-D_bk))</f>
        <v>#NAME?</v>
      </c>
      <c r="P71" s="199">
        <f>Tabella34[[#This Row],[Spain fitted velocity]]/Tabella34[[#This Row],[Spain cumul. Fit]]</f>
        <v>0.39950397844197266</v>
      </c>
      <c r="Q71" s="262">
        <f>(LN(Tabella34[[#This Row],[Day]]-pt)-mu_t)/sigma_t</f>
        <v>-2.8940963670757296</v>
      </c>
      <c r="R71" s="262">
        <f>EXP(mu_t+sigma_t*Tabella34[[#This Row],[x_t_alpha©+plus]])-(Tabella34[[#This Row],[Day]]-pt)</f>
        <v>100.48525325429692</v>
      </c>
      <c r="S71" s="262">
        <f>EXP(mu_t+sigma_t*Tabella34[[#This Row],[x_t_alpha©-minus]])-(Tabella34[[#This Row],[Day]]-pt)</f>
        <v>-1.9419176283781994</v>
      </c>
      <c r="T71" s="262">
        <f>-sigma_t+SQRT(sigma_t^2-2*Tabella34[[#This Row],[c_t]])</f>
        <v>2.6085875969606072</v>
      </c>
      <c r="U71" s="262">
        <f>-sigma_t-SQRT(sigma_t^2-2*Tabella34[[#This Row],[c_t]])</f>
        <v>-3.146026946803774</v>
      </c>
      <c r="V71" s="262">
        <f>mu_t-LN(alpha*Kt/(Tabella34[[#This Row],[Spain fitted velocity]]*sigma_t*SQRTPI(2)))</f>
        <v>-4.1033434365680854</v>
      </c>
      <c r="W71" s="262">
        <f>Tabella34[[#This Row],[Spain fitted g.r.]]/Spain_gr_at_lockdown</f>
        <v>1.9279677934079988</v>
      </c>
      <c r="X71" s="262">
        <f>Tabella34[[#This Row],[t_alpha_t+plus]]</f>
        <v>100.48525325429692</v>
      </c>
      <c r="Y71" s="262">
        <f>Tabella34[[#This Row],[Spain fitted h.t.]]/Spain_ht_at_lockdown</f>
        <v>1.632298949404003</v>
      </c>
      <c r="Z71" s="90">
        <f>IFERROR(-Kf*_xlfn.LOGNORM.DIST((Tabella34[[#This Row],[Day]]-pf),mu_f,sigma_f,FALSE)*(1+(LN((Tabella34[[#This Row],[Day]]-pf))-mu_f)/sigma_f^2)/(Tabella34[[#This Row],[Day]]-pf),0)</f>
        <v>70.039639602371665</v>
      </c>
      <c r="AA71" s="90">
        <f>Tabella34[[#This Row],[Spain acc. fit]]/Spain_acc_at_lockdown</f>
        <v>0.23867193802984416</v>
      </c>
      <c r="AB71" s="95">
        <f>Tabella34[[#This Row],[Spain acc. fit]]/y_f_peak</f>
        <v>1.0493355243911066E-2</v>
      </c>
      <c r="AC71" s="157">
        <f>Tabella34[[#This Row],[Colonna4]]*NOT(ISBLANK(Tabella34[[#This Row],[Spain daily cases]]))</f>
        <v>0</v>
      </c>
      <c r="AD71" s="157">
        <f>Tabella34[[#This Row],[Spain acc. fit]]*NOT(ISBLANK(Tabella34[[#This Row],[Spain daily cases]]))</f>
        <v>70.039639602371665</v>
      </c>
      <c r="AE71" s="95">
        <f>Tabella34[[#This Row],[Spain acc. fit]]+CIf</f>
        <v>2412.7280572834643</v>
      </c>
      <c r="AF71" s="95">
        <f>MAX(Tabella34[[#This Row],[Spain acc. fit]]-CIf,0)</f>
        <v>0</v>
      </c>
      <c r="AG71" s="4">
        <f>Tabella8[[#This Row],[Lombardy]]</f>
        <v>0</v>
      </c>
      <c r="AH71" s="90">
        <f>(Tabella34[[#This Row],[Lombardy cumul. Data]]-AG70)</f>
        <v>0</v>
      </c>
      <c r="AI71" s="90">
        <f>Tabella34[[#This Row],[Lombardy data]]-AH70</f>
        <v>0</v>
      </c>
      <c r="AJ71" s="95">
        <f>Tabella34[[#This Row],[Lombardy data]]*NOT(ISBLANK(Tabella34[[#This Row],[Lombardy data]]))</f>
        <v>0</v>
      </c>
      <c r="AK71" s="95">
        <f>Tabella8[[#This Row],[Lombardy fit]]</f>
        <v>2820.2519272416362</v>
      </c>
      <c r="AL71" s="157">
        <f>_xlfn.LOGNORM.INV(alpha*Tabella34[[#This Row],[Lombardy cumul. Fit]]/Kr,mu_r,sigma_r)-(Tabella34[[#This Row],[Day]]-pr)</f>
        <v>3.9094305437078773</v>
      </c>
      <c r="AM71" s="95">
        <f>Tabella34[[#This Row],[Lombardy cumul. Fit]]/Kl</f>
        <v>3.2416688818869381E-2</v>
      </c>
      <c r="AN71" s="95">
        <f>IFERROR(Kr*_xlfn.LOGNORM.DIST((Tabella34[[#This Row],[Day]]-pr),mu_r,sigma_r,FALSE),0)</f>
        <v>565.61933768960068</v>
      </c>
      <c r="AO71" s="202">
        <f>Tabella34[[#This Row],[Lombardy velocity]]/Tabella34[[#This Row],[Lombardy cumul. Fit]]</f>
        <v>0.20055631634398277</v>
      </c>
      <c r="AP71" s="259">
        <f>(LN(Tabella34[[#This Row],[Day]]-pr)-mu_r)/sigma_r</f>
        <v>-1.8464053041942889</v>
      </c>
      <c r="AQ71" s="262">
        <f>EXP(mu_r+sigma_r*Tabella34[[#This Row],[x_r_alpha©+plus]])-(Tabella34[[#This Row],[Day]]-pr)</f>
        <v>72.141594877848391</v>
      </c>
      <c r="AR71" s="262">
        <f>EXP(mu_r+sigma_r*Tabella34[[#This Row],[x_r_alpha©-minus]])-(Tabella34[[#This Row],[Day]]-pr)</f>
        <v>-4.2276464089283792</v>
      </c>
      <c r="AS71" s="262">
        <f>-sigma_r+SQRT(sigma_r^2-2*Tabella34[[#This Row],[c_r]])</f>
        <v>1.571185662873916</v>
      </c>
      <c r="AT71" s="262">
        <f>-sigma_r-SQRT(sigma_r^2-2*Tabella34[[#This Row],[c_r]])</f>
        <v>-2.2520402600676452</v>
      </c>
      <c r="AU71" s="262">
        <f>mu_r-LN(alpha*Kr/(Tabella34[[#This Row],[Lombardy velocity]]*sigma_r*SQRTPI(2)))</f>
        <v>-1.7691866844165647</v>
      </c>
      <c r="AV71" s="262">
        <f>Tabella34[[#This Row],[t_alpha_r+plus]]</f>
        <v>72.141594877848391</v>
      </c>
      <c r="AW71" s="90">
        <f>IFERROR(-Kl*_xlfn.LOGNORM.DIST((Tabella34[[#This Row],[Day]]-pl),mu_l,sigma_l,FALSE)*(1+(LN((Tabella34[[#This Row],[Day]]-pl))-mu_l)/sigma_l^2)/(Tabella34[[#This Row],[Day]]-pl),0)</f>
        <v>76.337671212250299</v>
      </c>
      <c r="AX71" s="95">
        <f>Tabella34[[#This Row],[Lombardy acc. fit]]/y_l_peak</f>
        <v>4.3424145746303246E-2</v>
      </c>
      <c r="AY71" s="157">
        <f>Tabella34[[#This Row],[Lombardy acc. fit]]*NOT(ISBLANK(Tabella34[[#This Row],[Lombardy data]]))</f>
        <v>76.337671212250299</v>
      </c>
      <c r="AZ71" s="95">
        <f>Tabella34[[#This Row],[Lombardy acc. fit]]+CIl</f>
        <v>2646.719994128659</v>
      </c>
      <c r="BA71" s="95">
        <f>MAX(Tabella34[[#This Row],[Lombardy acc. fit]]-CIl,0)</f>
        <v>0</v>
      </c>
      <c r="BB71" s="10">
        <f>Tabella8[[#This Row],[rest of Italy ]]</f>
        <v>222</v>
      </c>
      <c r="BC71" s="10">
        <f>(Tabella34[[#This Row],[rest of Italy cum. Data]]-BB70)</f>
        <v>57</v>
      </c>
      <c r="BD71" s="10">
        <f>Tabella34[[#This Row],[rest of Italy data]]-BC70</f>
        <v>12</v>
      </c>
      <c r="BE71" s="95">
        <f>Tabella34[[#This Row],[rest of Italy data]]*NOT(ISBLANK(Tabella34[[#This Row],[rest of Italy data]]))</f>
        <v>57</v>
      </c>
      <c r="BF71" s="95">
        <f>Tabella8[[#This Row],[rest of Italy fit]]</f>
        <v>1146.3254735417293</v>
      </c>
      <c r="BG71" s="157">
        <f>_xlfn.LOGNORM.INV(alpha*Tabella34[[#This Row],[rest of Italy cumul. Fit]]/Ko,mu_o,sigma_o)-(Tabella34[[#This Row],[Day]]-po)</f>
        <v>2.3224321686080316</v>
      </c>
      <c r="BH71" s="95">
        <f>Tabella34[[#This Row],[rest of Italy cumul. Fit]]/Ka</f>
        <v>7.7454432904541801E-3</v>
      </c>
      <c r="BI71" s="157">
        <f>IFERROR(Ko*_xlfn.LOGNORM.DIST((Tabella34[[#This Row],[Day]]-po),mu_o,sigma_o,FALSE),0)</f>
        <v>373.17284739564866</v>
      </c>
      <c r="BJ71" s="199">
        <f>Tabella34[[#This Row],[rest of Italy velocity]]/Tabella34[[#This Row],[rest of Italy cumul. Fit]]</f>
        <v>0.32553830130170636</v>
      </c>
      <c r="BK71" s="254">
        <f>(LN(Tabella34[[#This Row],[Day]]-po)-mu_o)/sigma_o</f>
        <v>-2.4206945742870638</v>
      </c>
      <c r="BL71" s="262">
        <f>EXP(mu_o+sigma_o*Tabella34[[#This Row],[x_o_alpha©+plus]])-(Tabella34[[#This Row],[Day]]-po)</f>
        <v>85.610683421159749</v>
      </c>
      <c r="BM71" s="262">
        <f>EXP(mu_o+sigma_o*Tabella34[[#This Row],[x_o_alpha©-minus]])-(Tabella34[[#This Row],[Day]]-po)</f>
        <v>-2.475074378334579</v>
      </c>
      <c r="BN71" s="262">
        <f>-sigma_o+SQRT(sigma_o^2-2*Tabella34[[#This Row],[c_o]])</f>
        <v>2.0853724289315236</v>
      </c>
      <c r="BO71" s="262">
        <f>-sigma_o-SQRT(sigma_o^2-2*Tabella34[[#This Row],[c_o]])</f>
        <v>-2.72834520623055</v>
      </c>
      <c r="BP71" s="262">
        <f>mu_o-LN(alpha*Ko/(Tabella34[[#This Row],[rest of Italy velocity]]*sigma_o*SQRTPI(2)))</f>
        <v>-2.8448079348403406</v>
      </c>
      <c r="BQ71" s="262">
        <f>Tabella34[[#This Row],[t_alpha_o+plus]]</f>
        <v>85.610683421159749</v>
      </c>
      <c r="BR71" s="90">
        <f>IFERROR(-Ka*_xlfn.LOGNORM.DIST((Tabella34[[#This Row],[Day]]-pa),mu_a,sigma_a,FALSE)*(1+(LN((Tabella34[[#This Row],[Day]]-pa))-mu_a)/sigma_a^2)/(Tabella34[[#This Row],[Day]]-pa),0)</f>
        <v>92.711808392393735</v>
      </c>
      <c r="BS71" s="95">
        <f>Tabella34[[#This Row],[rest of Italy acc. fit]]/y_a_peak</f>
        <v>2.7436436049368303E-2</v>
      </c>
      <c r="BT71" s="95">
        <f>Tabella34[[#This Row],[rest of Italy acc. fit]]*NOT(ISBLANK(Tabella34[[#This Row],[rest of Italy data]]))</f>
        <v>92.711808392393735</v>
      </c>
      <c r="BU71" s="95">
        <f>Tabella34[[#This Row],[rest of Italy acc. fit]]+CIa</f>
        <v>5431.5512435524106</v>
      </c>
      <c r="BV71" s="95">
        <f>MAX(Tabella34[[#This Row],[rest of Italy acc. fit]]-CIa,0)</f>
        <v>0</v>
      </c>
    </row>
    <row r="72" spans="2:74" x14ac:dyDescent="0.3">
      <c r="B72" s="281">
        <v>43895</v>
      </c>
      <c r="C72" s="29">
        <v>65</v>
      </c>
      <c r="D72" s="10">
        <f>Tabella8[[#This Row],[Spain cum. Cases]]</f>
        <v>259</v>
      </c>
      <c r="E72" s="90">
        <f>(Tabella34[[#This Row],[Spain cumul. Cases]]-D71)</f>
        <v>37</v>
      </c>
      <c r="F72" s="90">
        <f>Tabella34[[#This Row],[Spain daily cases]]-E71</f>
        <v>-20</v>
      </c>
      <c r="G72" s="95">
        <f>Tabella34[[#This Row],[Spain daily cases]]*NOT(ISBLANK(Tabella34[[#This Row],[Spain daily cases]]))</f>
        <v>37</v>
      </c>
      <c r="H72" s="157">
        <f>Tabella8[[#This Row],[Spain cum. fit]]</f>
        <v>783.04218385777278</v>
      </c>
      <c r="I72" s="157">
        <f>_xlfn.LOGNORM.INV(alpha*Tabella34[[#This Row],[Spain cumul. Fit]]/Kt,mu_t,sigma_t)-(Tabella34[[#This Row],[Day]]-pt)</f>
        <v>1.9893817425465272</v>
      </c>
      <c r="J72" s="157">
        <f>Tabella34[[#This Row],[Spain fitted d.t.]]/Spain_dt_at_lockdown</f>
        <v>0.53085932617426457</v>
      </c>
      <c r="K72" s="95">
        <f>Tabella34[[#This Row],[Spain cumul. Fit]]/Kf</f>
        <v>2.7965802690972804E-3</v>
      </c>
      <c r="L72" s="160"/>
      <c r="M72" s="95"/>
      <c r="N72" s="157">
        <f>IFERROR(Kt*_xlfn.LOGNORM.DIST((Tabella34[[#This Row],[Day]]-pt),mu_t,sigma_t,FALSE),0)</f>
        <v>291.79705816051205</v>
      </c>
      <c r="O72" s="157" t="e">
        <f>Kt*EXP(-0.5*Tabella34[[#This Row],[x_t]]^2)/(sigma_t*SQRTPI(2)*(Tabella34[[#This Row],[Day]]-D_bk))</f>
        <v>#NAME?</v>
      </c>
      <c r="P72" s="199">
        <f>Tabella34[[#This Row],[Spain fitted velocity]]/Tabella34[[#This Row],[Spain cumul. Fit]]</f>
        <v>0.37264538766344724</v>
      </c>
      <c r="Q72" s="262">
        <f>(LN(Tabella34[[#This Row],[Day]]-pt)-mu_t)/sigma_t</f>
        <v>-2.7707252158919355</v>
      </c>
      <c r="R72" s="262">
        <f>EXP(mu_t+sigma_t*Tabella34[[#This Row],[x_t_alpha©+plus]])-(Tabella34[[#This Row],[Day]]-pt)</f>
        <v>95.62281217882186</v>
      </c>
      <c r="S72" s="262">
        <f>EXP(mu_t+sigma_t*Tabella34[[#This Row],[x_t_alpha©-minus]])-(Tabella34[[#This Row],[Day]]-pt)</f>
        <v>-2.0939841509262926</v>
      </c>
      <c r="T72" s="262">
        <f>-sigma_t+SQRT(sigma_t^2-2*Tabella34[[#This Row],[c_t]])</f>
        <v>2.4964794296938937</v>
      </c>
      <c r="U72" s="262">
        <f>-sigma_t-SQRT(sigma_t^2-2*Tabella34[[#This Row],[c_t]])</f>
        <v>-3.0339187795370606</v>
      </c>
      <c r="V72" s="262">
        <f>mu_t-LN(alpha*Kt/(Tabella34[[#This Row],[Spain fitted velocity]]*sigma_t*SQRTPI(2)))</f>
        <v>-3.7870579122381374</v>
      </c>
      <c r="W72" s="262">
        <f>Tabella34[[#This Row],[Spain fitted g.r.]]/Spain_gr_at_lockdown</f>
        <v>1.79835081637746</v>
      </c>
      <c r="X72" s="262">
        <f>Tabella34[[#This Row],[t_alpha_t+plus]]</f>
        <v>95.62281217882186</v>
      </c>
      <c r="Y72" s="262">
        <f>Tabella34[[#This Row],[Spain fitted h.t.]]/Spain_ht_at_lockdown</f>
        <v>1.5533126583613677</v>
      </c>
      <c r="Z72" s="90">
        <f>IFERROR(-Kf*_xlfn.LOGNORM.DIST((Tabella34[[#This Row],[Day]]-pf),mu_f,sigma_f,FALSE)*(1+(LN((Tabella34[[#This Row],[Day]]-pf))-mu_f)/sigma_f^2)/(Tabella34[[#This Row],[Day]]-pf),0)</f>
        <v>88.593887876056144</v>
      </c>
      <c r="AA72" s="90">
        <f>Tabella34[[#This Row],[Spain acc. fit]]/Spain_acc_at_lockdown</f>
        <v>0.30189868247495993</v>
      </c>
      <c r="AB72" s="95">
        <f>Tabella34[[#This Row],[Spain acc. fit]]/y_f_peak</f>
        <v>1.3273157075057298E-2</v>
      </c>
      <c r="AC72" s="157">
        <f>Tabella34[[#This Row],[Colonna4]]*NOT(ISBLANK(Tabella34[[#This Row],[Spain daily cases]]))</f>
        <v>0</v>
      </c>
      <c r="AD72" s="157">
        <f>Tabella34[[#This Row],[Spain acc. fit]]*NOT(ISBLANK(Tabella34[[#This Row],[Spain daily cases]]))</f>
        <v>88.593887876056144</v>
      </c>
      <c r="AE72" s="95">
        <f>Tabella34[[#This Row],[Spain acc. fit]]+CIf</f>
        <v>2431.2823055571489</v>
      </c>
      <c r="AF72" s="95">
        <f>MAX(Tabella34[[#This Row],[Spain acc. fit]]-CIf,0)</f>
        <v>0</v>
      </c>
      <c r="AG72" s="4">
        <f>Tabella8[[#This Row],[Lombardy]]</f>
        <v>0</v>
      </c>
      <c r="AH72" s="90">
        <f>(Tabella34[[#This Row],[Lombardy cumul. Data]]-AG71)</f>
        <v>0</v>
      </c>
      <c r="AI72" s="90">
        <f>Tabella34[[#This Row],[Lombardy data]]-AH71</f>
        <v>0</v>
      </c>
      <c r="AJ72" s="95">
        <f>Tabella34[[#This Row],[Lombardy data]]*NOT(ISBLANK(Tabella34[[#This Row],[Lombardy data]]))</f>
        <v>0</v>
      </c>
      <c r="AK72" s="95">
        <f>Tabella8[[#This Row],[Lombardy fit]]</f>
        <v>3424.5766475447799</v>
      </c>
      <c r="AL72" s="157">
        <f>_xlfn.LOGNORM.INV(alpha*Tabella34[[#This Row],[Lombardy cumul. Fit]]/Kr,mu_r,sigma_r)-(Tabella34[[#This Row],[Day]]-pr)</f>
        <v>4.202141639148941</v>
      </c>
      <c r="AM72" s="95">
        <f>Tabella34[[#This Row],[Lombardy cumul. Fit]]/Kl</f>
        <v>3.9362949971779082E-2</v>
      </c>
      <c r="AN72" s="95">
        <f>IFERROR(Kr*_xlfn.LOGNORM.DIST((Tabella34[[#This Row],[Day]]-pr),mu_r,sigma_r,FALSE),0)</f>
        <v>643.53083024248861</v>
      </c>
      <c r="AO72" s="202">
        <f>Tabella34[[#This Row],[Lombardy velocity]]/Tabella34[[#This Row],[Lombardy cumul. Fit]]</f>
        <v>0.18791544078999148</v>
      </c>
      <c r="AP72" s="259">
        <f>(LN(Tabella34[[#This Row],[Day]]-pr)-mu_r)/sigma_r</f>
        <v>-1.7581270159050846</v>
      </c>
      <c r="AQ72" s="262">
        <f>EXP(mu_r+sigma_r*Tabella34[[#This Row],[x_r_alpha©+plus]])-(Tabella34[[#This Row],[Day]]-pr)</f>
        <v>68.714752200541227</v>
      </c>
      <c r="AR72" s="262">
        <f>EXP(mu_r+sigma_r*Tabella34[[#This Row],[x_r_alpha©-minus]])-(Tabella34[[#This Row],[Day]]-pr)</f>
        <v>-4.5516294482645776</v>
      </c>
      <c r="AS72" s="262">
        <f>-sigma_r+SQRT(sigma_r^2-2*Tabella34[[#This Row],[c_r]])</f>
        <v>1.5024418908942665</v>
      </c>
      <c r="AT72" s="262">
        <f>-sigma_r-SQRT(sigma_r^2-2*Tabella34[[#This Row],[c_r]])</f>
        <v>-2.1832964880879957</v>
      </c>
      <c r="AU72" s="262">
        <f>mu_r-LN(alpha*Kr/(Tabella34[[#This Row],[Lombardy velocity]]*sigma_r*SQRTPI(2)))</f>
        <v>-1.6401380519728699</v>
      </c>
      <c r="AV72" s="262">
        <f>Tabella34[[#This Row],[t_alpha_r+plus]]</f>
        <v>68.714752200541227</v>
      </c>
      <c r="AW72" s="90">
        <f>IFERROR(-Kl*_xlfn.LOGNORM.DIST((Tabella34[[#This Row],[Day]]-pl),mu_l,sigma_l,FALSE)*(1+(LN((Tabella34[[#This Row],[Day]]-pl))-mu_l)/sigma_l^2)/(Tabella34[[#This Row],[Day]]-pl),0)</f>
        <v>79.341073915082191</v>
      </c>
      <c r="AX72" s="95">
        <f>Tabella34[[#This Row],[Lombardy acc. fit]]/y_l_peak</f>
        <v>4.5132610186356587E-2</v>
      </c>
      <c r="AY72" s="157">
        <f>Tabella34[[#This Row],[Lombardy acc. fit]]*NOT(ISBLANK(Tabella34[[#This Row],[Lombardy data]]))</f>
        <v>79.341073915082191</v>
      </c>
      <c r="AZ72" s="95">
        <f>Tabella34[[#This Row],[Lombardy acc. fit]]+CIl</f>
        <v>2649.7233968314908</v>
      </c>
      <c r="BA72" s="95">
        <f>MAX(Tabella34[[#This Row],[Lombardy acc. fit]]-CIl,0)</f>
        <v>0</v>
      </c>
      <c r="BB72" s="10">
        <f>Tabella8[[#This Row],[rest of Italy ]]</f>
        <v>259</v>
      </c>
      <c r="BC72" s="10">
        <f>(Tabella34[[#This Row],[rest of Italy cum. Data]]-BB71)</f>
        <v>37</v>
      </c>
      <c r="BD72" s="10">
        <f>Tabella34[[#This Row],[rest of Italy data]]-BC71</f>
        <v>-20</v>
      </c>
      <c r="BE72" s="95">
        <f>Tabella34[[#This Row],[rest of Italy data]]*NOT(ISBLANK(Tabella34[[#This Row],[rest of Italy data]]))</f>
        <v>37</v>
      </c>
      <c r="BF72" s="95">
        <f>Tabella8[[#This Row],[rest of Italy fit]]</f>
        <v>1568.2328388552471</v>
      </c>
      <c r="BG72" s="157">
        <f>_xlfn.LOGNORM.INV(alpha*Tabella34[[#This Row],[rest of Italy cumul. Fit]]/Ko,mu_o,sigma_o)-(Tabella34[[#This Row],[Day]]-po)</f>
        <v>2.5200990582817298</v>
      </c>
      <c r="BH72" s="95">
        <f>Tabella34[[#This Row],[rest of Italy cumul. Fit]]/Ka</f>
        <v>1.0596169063619012E-2</v>
      </c>
      <c r="BI72" s="157">
        <f>IFERROR(Ko*_xlfn.LOGNORM.DIST((Tabella34[[#This Row],[Day]]-po),mu_o,sigma_o,FALSE),0)</f>
        <v>473.01542232477493</v>
      </c>
      <c r="BJ72" s="199">
        <f>Tabella34[[#This Row],[rest of Italy velocity]]/Tabella34[[#This Row],[rest of Italy cumul. Fit]]</f>
        <v>0.30162320964408512</v>
      </c>
      <c r="BK72" s="254">
        <f>(LN(Tabella34[[#This Row],[Day]]-po)-mu_o)/sigma_o</f>
        <v>-2.3045402054570254</v>
      </c>
      <c r="BL72" s="262">
        <f>EXP(mu_o+sigma_o*Tabella34[[#This Row],[x_o_alpha©+plus]])-(Tabella34[[#This Row],[Day]]-po)</f>
        <v>81.049528483947128</v>
      </c>
      <c r="BM72" s="262">
        <f>EXP(mu_o+sigma_o*Tabella34[[#This Row],[x_o_alpha©-minus]])-(Tabella34[[#This Row],[Day]]-po)</f>
        <v>-2.6924605969812632</v>
      </c>
      <c r="BN72" s="262">
        <f>-sigma_o+SQRT(sigma_o^2-2*Tabella34[[#This Row],[c_o]])</f>
        <v>1.9847652891763774</v>
      </c>
      <c r="BO72" s="262">
        <f>-sigma_o-SQRT(sigma_o^2-2*Tabella34[[#This Row],[c_o]])</f>
        <v>-2.6277380664754038</v>
      </c>
      <c r="BP72" s="262">
        <f>mu_o-LN(alpha*Ko/(Tabella34[[#This Row],[rest of Italy velocity]]*sigma_o*SQRTPI(2)))</f>
        <v>-2.6077216516939146</v>
      </c>
      <c r="BQ72" s="262">
        <f>Tabella34[[#This Row],[t_alpha_o+plus]]</f>
        <v>81.049528483947128</v>
      </c>
      <c r="BR72" s="90">
        <f>IFERROR(-Ka*_xlfn.LOGNORM.DIST((Tabella34[[#This Row],[Day]]-pa),mu_a,sigma_a,FALSE)*(1+(LN((Tabella34[[#This Row],[Day]]-pa))-mu_a)/sigma_a^2)/(Tabella34[[#This Row],[Day]]-pa),0)</f>
        <v>106.94533873686915</v>
      </c>
      <c r="BS72" s="95">
        <f>Tabella34[[#This Row],[rest of Italy acc. fit]]/y_a_peak</f>
        <v>3.1648600085691654E-2</v>
      </c>
      <c r="BT72" s="95">
        <f>Tabella34[[#This Row],[rest of Italy acc. fit]]*NOT(ISBLANK(Tabella34[[#This Row],[rest of Italy data]]))</f>
        <v>106.94533873686915</v>
      </c>
      <c r="BU72" s="95">
        <f>Tabella34[[#This Row],[rest of Italy acc. fit]]+CIa</f>
        <v>5445.7847738968867</v>
      </c>
      <c r="BV72" s="95">
        <f>MAX(Tabella34[[#This Row],[rest of Italy acc. fit]]-CIa,0)</f>
        <v>0</v>
      </c>
    </row>
    <row r="73" spans="2:74" x14ac:dyDescent="0.3">
      <c r="B73" s="281">
        <v>43896</v>
      </c>
      <c r="C73" s="29">
        <v>66</v>
      </c>
      <c r="D73" s="10">
        <f>Tabella8[[#This Row],[Spain cum. Cases]]</f>
        <v>400</v>
      </c>
      <c r="E73" s="90">
        <f>(Tabella34[[#This Row],[Spain cumul. Cases]]-D72)</f>
        <v>141</v>
      </c>
      <c r="F73" s="90">
        <f>Tabella34[[#This Row],[Spain daily cases]]-E72</f>
        <v>104</v>
      </c>
      <c r="G73" s="95">
        <f>Tabella34[[#This Row],[Spain daily cases]]*NOT(ISBLANK(Tabella34[[#This Row],[Spain daily cases]]))</f>
        <v>141</v>
      </c>
      <c r="H73" s="157">
        <f>Tabella8[[#This Row],[Spain cum. fit]]</f>
        <v>1122.5119249274194</v>
      </c>
      <c r="I73" s="157">
        <f>_xlfn.LOGNORM.INV(alpha*Tabella34[[#This Row],[Spain cumul. Fit]]/Kt,mu_t,sigma_t)-(Tabella34[[#This Row],[Day]]-pt)</f>
        <v>2.138759037083112</v>
      </c>
      <c r="J73" s="157">
        <f>Tabella34[[#This Row],[Spain fitted d.t.]]/Spain_dt_at_lockdown</f>
        <v>0.57072011720671845</v>
      </c>
      <c r="K73" s="95">
        <f>Tabella34[[#This Row],[Spain cumul. Fit]]/Kf</f>
        <v>4.0089726528048887E-3</v>
      </c>
      <c r="L73" s="160"/>
      <c r="M73" s="95"/>
      <c r="N73" s="157">
        <f>IFERROR(Kt*_xlfn.LOGNORM.DIST((Tabella34[[#This Row],[Day]]-pt),mu_t,sigma_t,FALSE),0)</f>
        <v>390.60564885777359</v>
      </c>
      <c r="O73" s="157" t="e">
        <f>Kt*EXP(-0.5*Tabella34[[#This Row],[x_t]]^2)/(sigma_t*SQRTPI(2)*(Tabella34[[#This Row],[Day]]-D_bk))</f>
        <v>#NAME?</v>
      </c>
      <c r="P73" s="199">
        <f>Tabella34[[#This Row],[Spain fitted velocity]]/Tabella34[[#This Row],[Spain cumul. Fit]]</f>
        <v>0.3479746096087396</v>
      </c>
      <c r="Q73" s="262">
        <f>(LN(Tabella34[[#This Row],[Day]]-pt)-mu_t)/sigma_t</f>
        <v>-2.6513131935577459</v>
      </c>
      <c r="R73" s="262">
        <f>EXP(mu_t+sigma_t*Tabella34[[#This Row],[x_t_alpha©+plus]])-(Tabella34[[#This Row],[Day]]-pt)</f>
        <v>91.024858110671374</v>
      </c>
      <c r="S73" s="262">
        <f>EXP(mu_t+sigma_t*Tabella34[[#This Row],[x_t_alpha©-minus]])-(Tabella34[[#This Row],[Day]]-pt)</f>
        <v>-2.2560853788709245</v>
      </c>
      <c r="T73" s="262">
        <f>-sigma_t+SQRT(sigma_t^2-2*Tabella34[[#This Row],[c_t]])</f>
        <v>2.3889195474272551</v>
      </c>
      <c r="U73" s="262">
        <f>-sigma_t-SQRT(sigma_t^2-2*Tabella34[[#This Row],[c_t]])</f>
        <v>-2.926358897270422</v>
      </c>
      <c r="V73" s="262">
        <f>mu_t-LN(alpha*Kt/(Tabella34[[#This Row],[Spain fitted velocity]]*sigma_t*SQRTPI(2)))</f>
        <v>-3.4954179862384889</v>
      </c>
      <c r="W73" s="262">
        <f>Tabella34[[#This Row],[Spain fitted g.r.]]/Spain_gr_at_lockdown</f>
        <v>1.6792920132253861</v>
      </c>
      <c r="X73" s="262">
        <f>Tabella34[[#This Row],[t_alpha_t+plus]]</f>
        <v>91.024858110671374</v>
      </c>
      <c r="Y73" s="262">
        <f>Tabella34[[#This Row],[Spain fitted h.t.]]/Spain_ht_at_lockdown</f>
        <v>1.4786227376835892</v>
      </c>
      <c r="Z73" s="90">
        <f>IFERROR(-Kf*_xlfn.LOGNORM.DIST((Tabella34[[#This Row],[Day]]-pf),mu_f,sigma_f,FALSE)*(1+(LN((Tabella34[[#This Row],[Day]]-pf))-mu_f)/sigma_f^2)/(Tabella34[[#This Row],[Day]]-pf),0)</f>
        <v>109.3672425866547</v>
      </c>
      <c r="AA73" s="90">
        <f>Tabella34[[#This Row],[Spain acc. fit]]/Spain_acc_at_lockdown</f>
        <v>0.3726874080638915</v>
      </c>
      <c r="AB73" s="95">
        <f>Tabella34[[#This Row],[Spain acc. fit]]/y_f_peak</f>
        <v>1.6385425953418329E-2</v>
      </c>
      <c r="AC73" s="157">
        <f>Tabella34[[#This Row],[Colonna4]]*NOT(ISBLANK(Tabella34[[#This Row],[Spain daily cases]]))</f>
        <v>0</v>
      </c>
      <c r="AD73" s="157">
        <f>Tabella34[[#This Row],[Spain acc. fit]]*NOT(ISBLANK(Tabella34[[#This Row],[Spain daily cases]]))</f>
        <v>109.3672425866547</v>
      </c>
      <c r="AE73" s="95">
        <f>Tabella34[[#This Row],[Spain acc. fit]]+CIf</f>
        <v>2452.0556602677475</v>
      </c>
      <c r="AF73" s="95">
        <f>MAX(Tabella34[[#This Row],[Spain acc. fit]]-CIf,0)</f>
        <v>0</v>
      </c>
      <c r="AG73" s="4">
        <f>Tabella8[[#This Row],[Lombardy]]</f>
        <v>0</v>
      </c>
      <c r="AH73" s="90">
        <f>(Tabella34[[#This Row],[Lombardy cumul. Data]]-AG72)</f>
        <v>0</v>
      </c>
      <c r="AI73" s="90">
        <f>Tabella34[[#This Row],[Lombardy data]]-AH72</f>
        <v>0</v>
      </c>
      <c r="AJ73" s="95">
        <f>Tabella34[[#This Row],[Lombardy data]]*NOT(ISBLANK(Tabella34[[#This Row],[Lombardy data]]))</f>
        <v>0</v>
      </c>
      <c r="AK73" s="95">
        <f>Tabella8[[#This Row],[Lombardy fit]]</f>
        <v>4108.168218034295</v>
      </c>
      <c r="AL73" s="157">
        <f>_xlfn.LOGNORM.INV(alpha*Tabella34[[#This Row],[Lombardy cumul. Fit]]/Kr,mu_r,sigma_r)-(Tabella34[[#This Row],[Day]]-pr)</f>
        <v>4.5146416020071101</v>
      </c>
      <c r="AM73" s="95">
        <f>Tabella34[[#This Row],[Lombardy cumul. Fit]]/Kl</f>
        <v>4.7220324345221783E-2</v>
      </c>
      <c r="AN73" s="95">
        <f>IFERROR(Kr*_xlfn.LOGNORM.DIST((Tabella34[[#This Row],[Day]]-pr),mu_r,sigma_r,FALSE),0)</f>
        <v>724.00473902404099</v>
      </c>
      <c r="AO73" s="202">
        <f>Tabella34[[#This Row],[Lombardy velocity]]/Tabella34[[#This Row],[Lombardy cumul. Fit]]</f>
        <v>0.17623541700307194</v>
      </c>
      <c r="AP73" s="259">
        <f>(LN(Tabella34[[#This Row],[Day]]-pr)-mu_r)/sigma_r</f>
        <v>-1.6724244775605082</v>
      </c>
      <c r="AQ73" s="262">
        <f>EXP(mu_r+sigma_r*Tabella34[[#This Row],[x_r_alpha©+plus]])-(Tabella34[[#This Row],[Day]]-pr)</f>
        <v>65.46877228460248</v>
      </c>
      <c r="AR73" s="262">
        <f>EXP(mu_r+sigma_r*Tabella34[[#This Row],[x_r_alpha©-minus]])-(Tabella34[[#This Row],[Day]]-pr)</f>
        <v>-4.896830330989566</v>
      </c>
      <c r="AS73" s="262">
        <f>-sigma_r+SQRT(sigma_r^2-2*Tabella34[[#This Row],[c_r]])</f>
        <v>1.4373552656912987</v>
      </c>
      <c r="AT73" s="262">
        <f>-sigma_r-SQRT(sigma_r^2-2*Tabella34[[#This Row],[c_r]])</f>
        <v>-2.1182098628850277</v>
      </c>
      <c r="AU73" s="262">
        <f>mu_r-LN(alpha*Kr/(Tabella34[[#This Row],[Lombardy velocity]]*sigma_r*SQRTPI(2)))</f>
        <v>-1.5223100501285192</v>
      </c>
      <c r="AV73" s="262">
        <f>Tabella34[[#This Row],[t_alpha_r+plus]]</f>
        <v>65.46877228460248</v>
      </c>
      <c r="AW73" s="90">
        <f>IFERROR(-Kl*_xlfn.LOGNORM.DIST((Tabella34[[#This Row],[Day]]-pl),mu_l,sigma_l,FALSE)*(1+(LN((Tabella34[[#This Row],[Day]]-pl))-mu_l)/sigma_l^2)/(Tabella34[[#This Row],[Day]]-pl),0)</f>
        <v>81.455127216322992</v>
      </c>
      <c r="AX73" s="95">
        <f>Tabella34[[#This Row],[Lombardy acc. fit]]/y_l_peak</f>
        <v>4.6335174493214858E-2</v>
      </c>
      <c r="AY73" s="157">
        <f>Tabella34[[#This Row],[Lombardy acc. fit]]*NOT(ISBLANK(Tabella34[[#This Row],[Lombardy data]]))</f>
        <v>81.455127216322992</v>
      </c>
      <c r="AZ73" s="95">
        <f>Tabella34[[#This Row],[Lombardy acc. fit]]+CIl</f>
        <v>2651.8374501327316</v>
      </c>
      <c r="BA73" s="95">
        <f>MAX(Tabella34[[#This Row],[Lombardy acc. fit]]-CIl,0)</f>
        <v>0</v>
      </c>
      <c r="BB73" s="10">
        <f>Tabella8[[#This Row],[rest of Italy ]]</f>
        <v>400</v>
      </c>
      <c r="BC73" s="10">
        <f>(Tabella34[[#This Row],[rest of Italy cum. Data]]-BB72)</f>
        <v>141</v>
      </c>
      <c r="BD73" s="10">
        <f>Tabella34[[#This Row],[rest of Italy data]]-BC72</f>
        <v>104</v>
      </c>
      <c r="BE73" s="95">
        <f>Tabella34[[#This Row],[rest of Italy data]]*NOT(ISBLANK(Tabella34[[#This Row],[rest of Italy data]]))</f>
        <v>141</v>
      </c>
      <c r="BF73" s="95">
        <f>Tabella8[[#This Row],[rest of Italy fit]]</f>
        <v>2097.0523245860077</v>
      </c>
      <c r="BG73" s="157">
        <f>_xlfn.LOGNORM.INV(alpha*Tabella34[[#This Row],[rest of Italy cumul. Fit]]/Ko,mu_o,sigma_o)-(Tabella34[[#This Row],[Day]]-po)</f>
        <v>2.7314675949398151</v>
      </c>
      <c r="BH73" s="95">
        <f>Tabella34[[#This Row],[rest of Italy cumul. Fit]]/Ka</f>
        <v>1.4169274112885499E-2</v>
      </c>
      <c r="BI73" s="157">
        <f>IFERROR(Ko*_xlfn.LOGNORM.DIST((Tabella34[[#This Row],[Day]]-po),mu_o,sigma_o,FALSE),0)</f>
        <v>586.9307141643676</v>
      </c>
      <c r="BJ73" s="199">
        <f>Tabella34[[#This Row],[rest of Italy velocity]]/Tabella34[[#This Row],[rest of Italy cumul. Fit]]</f>
        <v>0.27988367637905137</v>
      </c>
      <c r="BK73" s="254">
        <f>(LN(Tabella34[[#This Row],[Day]]-po)-mu_o)/sigma_o</f>
        <v>-2.1925675918075052</v>
      </c>
      <c r="BL73" s="262">
        <f>EXP(mu_o+sigma_o*Tabella34[[#This Row],[x_o_alpha©+plus]])-(Tabella34[[#This Row],[Day]]-po)</f>
        <v>76.7726569608527</v>
      </c>
      <c r="BM73" s="262">
        <f>EXP(mu_o+sigma_o*Tabella34[[#This Row],[x_o_alpha©-minus]])-(Tabella34[[#This Row],[Day]]-po)</f>
        <v>-2.925448397588454</v>
      </c>
      <c r="BN73" s="262">
        <f>-sigma_o+SQRT(sigma_o^2-2*Tabella34[[#This Row],[c_o]])</f>
        <v>1.889223730278577</v>
      </c>
      <c r="BO73" s="262">
        <f>-sigma_o-SQRT(sigma_o^2-2*Tabella34[[#This Row],[c_o]])</f>
        <v>-2.5321965075776034</v>
      </c>
      <c r="BP73" s="262">
        <f>mu_o-LN(alpha*Ko/(Tabella34[[#This Row],[rest of Italy velocity]]*sigma_o*SQRTPI(2)))</f>
        <v>-2.3919428659220721</v>
      </c>
      <c r="BQ73" s="262">
        <f>Tabella34[[#This Row],[t_alpha_o+plus]]</f>
        <v>76.7726569608527</v>
      </c>
      <c r="BR73" s="90">
        <f>IFERROR(-Ka*_xlfn.LOGNORM.DIST((Tabella34[[#This Row],[Day]]-pa),mu_a,sigma_a,FALSE)*(1+(LN((Tabella34[[#This Row],[Day]]-pa))-mu_a)/sigma_a^2)/(Tabella34[[#This Row],[Day]]-pa),0)</f>
        <v>120.78081113007438</v>
      </c>
      <c r="BS73" s="95">
        <f>Tabella34[[#This Row],[rest of Italy acc. fit]]/y_a_peak</f>
        <v>3.5742965842450201E-2</v>
      </c>
      <c r="BT73" s="95">
        <f>Tabella34[[#This Row],[rest of Italy acc. fit]]*NOT(ISBLANK(Tabella34[[#This Row],[rest of Italy data]]))</f>
        <v>120.78081113007438</v>
      </c>
      <c r="BU73" s="95">
        <f>Tabella34[[#This Row],[rest of Italy acc. fit]]+CIa</f>
        <v>5459.6202462900919</v>
      </c>
      <c r="BV73" s="95">
        <f>MAX(Tabella34[[#This Row],[rest of Italy acc. fit]]-CIa,0)</f>
        <v>0</v>
      </c>
    </row>
    <row r="74" spans="2:74" x14ac:dyDescent="0.3">
      <c r="B74" s="281">
        <v>43897</v>
      </c>
      <c r="C74" s="29">
        <v>67</v>
      </c>
      <c r="D74" s="10">
        <f>Tabella8[[#This Row],[Spain cum. Cases]]</f>
        <v>500</v>
      </c>
      <c r="E74" s="90">
        <f>(Tabella34[[#This Row],[Spain cumul. Cases]]-D73)</f>
        <v>100</v>
      </c>
      <c r="F74" s="90">
        <f>Tabella34[[#This Row],[Spain daily cases]]-E73</f>
        <v>-41</v>
      </c>
      <c r="G74" s="95">
        <f>Tabella34[[#This Row],[Spain daily cases]]*NOT(ISBLANK(Tabella34[[#This Row],[Spain daily cases]]))</f>
        <v>100</v>
      </c>
      <c r="H74" s="157">
        <f>Tabella8[[#This Row],[Spain cum. fit]]</f>
        <v>1571.5044870261806</v>
      </c>
      <c r="I74" s="157">
        <f>_xlfn.LOGNORM.INV(alpha*Tabella34[[#This Row],[Spain cumul. Fit]]/Kt,mu_t,sigma_t)-(Tabella34[[#This Row],[Day]]-pt)</f>
        <v>2.2976259007327329</v>
      </c>
      <c r="J74" s="157">
        <f>Tabella34[[#This Row],[Spain fitted d.t.]]/Spain_dt_at_lockdown</f>
        <v>0.61311316545119543</v>
      </c>
      <c r="K74" s="95">
        <f>Tabella34[[#This Row],[Spain cumul. Fit]]/Kf</f>
        <v>5.6125181143670188E-3</v>
      </c>
      <c r="L74" s="160"/>
      <c r="M74" s="95"/>
      <c r="N74" s="157">
        <f>IFERROR(Kt*_xlfn.LOGNORM.DIST((Tabella34[[#This Row],[Day]]-pt),mu_t,sigma_t,FALSE),0)</f>
        <v>511.15317857873885</v>
      </c>
      <c r="O74" s="157" t="e">
        <f>Kt*EXP(-0.5*Tabella34[[#This Row],[x_t]]^2)/(sigma_t*SQRTPI(2)*(Tabella34[[#This Row],[Day]]-D_bk))</f>
        <v>#NAME?</v>
      </c>
      <c r="P74" s="199">
        <f>Tabella34[[#This Row],[Spain fitted velocity]]/Tabella34[[#This Row],[Spain cumul. Fit]]</f>
        <v>0.32526358199970146</v>
      </c>
      <c r="Q74" s="262">
        <f>(LN(Tabella34[[#This Row],[Day]]-pt)-mu_t)/sigma_t</f>
        <v>-2.5356140748414617</v>
      </c>
      <c r="R74" s="262">
        <f>EXP(mu_t+sigma_t*Tabella34[[#This Row],[x_t_alpha©+plus]])-(Tabella34[[#This Row],[Day]]-pt)</f>
        <v>86.668792872139122</v>
      </c>
      <c r="S74" s="262">
        <f>EXP(mu_t+sigma_t*Tabella34[[#This Row],[x_t_alpha©-minus]])-(Tabella34[[#This Row],[Day]]-pt)</f>
        <v>-2.4289739846244629</v>
      </c>
      <c r="T74" s="262">
        <f>-sigma_t+SQRT(sigma_t^2-2*Tabella34[[#This Row],[c_t]])</f>
        <v>2.2857087506773794</v>
      </c>
      <c r="U74" s="262">
        <f>-sigma_t-SQRT(sigma_t^2-2*Tabella34[[#This Row],[c_t]])</f>
        <v>-2.8231481005205463</v>
      </c>
      <c r="V74" s="262">
        <f>mu_t-LN(alpha*Kt/(Tabella34[[#This Row],[Spain fitted velocity]]*sigma_t*SQRTPI(2)))</f>
        <v>-3.2264471589090169</v>
      </c>
      <c r="W74" s="262">
        <f>Tabella34[[#This Row],[Spain fitted g.r.]]/Spain_gr_at_lockdown</f>
        <v>1.5696907773223367</v>
      </c>
      <c r="X74" s="262">
        <f>Tabella34[[#This Row],[t_alpha_t+plus]]</f>
        <v>86.668792872139122</v>
      </c>
      <c r="Y74" s="262">
        <f>Tabella34[[#This Row],[Spain fitted h.t.]]/Spain_ht_at_lockdown</f>
        <v>1.4078620988623158</v>
      </c>
      <c r="Z74" s="90">
        <f>IFERROR(-Kf*_xlfn.LOGNORM.DIST((Tabella34[[#This Row],[Day]]-pf),mu_f,sigma_f,FALSE)*(1+(LN((Tabella34[[#This Row],[Day]]-pf))-mu_f)/sigma_f^2)/(Tabella34[[#This Row],[Day]]-pf),0)</f>
        <v>132.00143528926111</v>
      </c>
      <c r="AA74" s="90">
        <f>Tabella34[[#This Row],[Spain acc. fit]]/Spain_acc_at_lockdown</f>
        <v>0.44981725437293935</v>
      </c>
      <c r="AB74" s="95">
        <f>Tabella34[[#This Row],[Spain acc. fit]]/y_f_peak</f>
        <v>1.9776486016490756E-2</v>
      </c>
      <c r="AC74" s="157">
        <f>Tabella34[[#This Row],[Colonna4]]*NOT(ISBLANK(Tabella34[[#This Row],[Spain daily cases]]))</f>
        <v>0</v>
      </c>
      <c r="AD74" s="157">
        <f>Tabella34[[#This Row],[Spain acc. fit]]*NOT(ISBLANK(Tabella34[[#This Row],[Spain daily cases]]))</f>
        <v>132.00143528926111</v>
      </c>
      <c r="AE74" s="95">
        <f>Tabella34[[#This Row],[Spain acc. fit]]+CIf</f>
        <v>2474.689852970354</v>
      </c>
      <c r="AF74" s="95">
        <f>MAX(Tabella34[[#This Row],[Spain acc. fit]]-CIf,0)</f>
        <v>0</v>
      </c>
      <c r="AG74" s="4">
        <f>Tabella8[[#This Row],[Lombardy]]</f>
        <v>0</v>
      </c>
      <c r="AH74" s="90">
        <f>(Tabella34[[#This Row],[Lombardy cumul. Data]]-AG73)</f>
        <v>0</v>
      </c>
      <c r="AI74" s="90">
        <f>Tabella34[[#This Row],[Lombardy data]]-AH73</f>
        <v>0</v>
      </c>
      <c r="AJ74" s="95">
        <f>Tabella34[[#This Row],[Lombardy data]]*NOT(ISBLANK(Tabella34[[#This Row],[Lombardy data]]))</f>
        <v>0</v>
      </c>
      <c r="AK74" s="95">
        <f>Tabella8[[#This Row],[Lombardy fit]]</f>
        <v>4873.1381029957529</v>
      </c>
      <c r="AL74" s="157">
        <f>_xlfn.LOGNORM.INV(alpha*Tabella34[[#This Row],[Lombardy cumul. Fit]]/Kr,mu_r,sigma_r)-(Tabella34[[#This Row],[Day]]-pr)</f>
        <v>4.8486271131660743</v>
      </c>
      <c r="AM74" s="95">
        <f>Tabella34[[#This Row],[Lombardy cumul. Fit]]/Kl</f>
        <v>5.6013081643629344E-2</v>
      </c>
      <c r="AN74" s="95">
        <f>IFERROR(Kr*_xlfn.LOGNORM.DIST((Tabella34[[#This Row],[Day]]-pr),mu_r,sigma_r,FALSE),0)</f>
        <v>806.13397412127313</v>
      </c>
      <c r="AO74" s="202">
        <f>Tabella34[[#This Row],[Lombardy velocity]]/Tabella34[[#This Row],[Lombardy cumul. Fit]]</f>
        <v>0.16542399519227738</v>
      </c>
      <c r="AP74" s="259">
        <f>(LN(Tabella34[[#This Row],[Day]]-pr)-mu_r)/sigma_r</f>
        <v>-1.5891516322058303</v>
      </c>
      <c r="AQ74" s="262">
        <f>EXP(mu_r+sigma_r*Tabella34[[#This Row],[x_r_alpha©+plus]])-(Tabella34[[#This Row],[Day]]-pr)</f>
        <v>62.391615158997027</v>
      </c>
      <c r="AR74" s="262">
        <f>EXP(mu_r+sigma_r*Tabella34[[#This Row],[x_r_alpha©-minus]])-(Tabella34[[#This Row],[Day]]-pr)</f>
        <v>-5.2645820260378215</v>
      </c>
      <c r="AS74" s="262">
        <f>-sigma_r+SQRT(sigma_r^2-2*Tabella34[[#This Row],[c_r]])</f>
        <v>1.3758497252157389</v>
      </c>
      <c r="AT74" s="262">
        <f>-sigma_r-SQRT(sigma_r^2-2*Tabella34[[#This Row],[c_r]])</f>
        <v>-2.0567043224094679</v>
      </c>
      <c r="AU74" s="262">
        <f>mu_r-LN(alpha*Kr/(Tabella34[[#This Row],[Lombardy velocity]]*sigma_r*SQRTPI(2)))</f>
        <v>-1.4148580384185445</v>
      </c>
      <c r="AV74" s="262">
        <f>Tabella34[[#This Row],[t_alpha_r+plus]]</f>
        <v>62.391615158997027</v>
      </c>
      <c r="AW74" s="90">
        <f>IFERROR(-Kl*_xlfn.LOGNORM.DIST((Tabella34[[#This Row],[Day]]-pl),mu_l,sigma_l,FALSE)*(1+(LN((Tabella34[[#This Row],[Day]]-pl))-mu_l)/sigma_l^2)/(Tabella34[[#This Row],[Day]]-pl),0)</f>
        <v>82.648691069935524</v>
      </c>
      <c r="AX74" s="95">
        <f>Tabella34[[#This Row],[Lombardy acc. fit]]/y_l_peak</f>
        <v>4.7014124871366719E-2</v>
      </c>
      <c r="AY74" s="157">
        <f>Tabella34[[#This Row],[Lombardy acc. fit]]*NOT(ISBLANK(Tabella34[[#This Row],[Lombardy data]]))</f>
        <v>82.648691069935524</v>
      </c>
      <c r="AZ74" s="95">
        <f>Tabella34[[#This Row],[Lombardy acc. fit]]+CIl</f>
        <v>2653.0310139863441</v>
      </c>
      <c r="BA74" s="95">
        <f>MAX(Tabella34[[#This Row],[Lombardy acc. fit]]-CIl,0)</f>
        <v>0</v>
      </c>
      <c r="BB74" s="10">
        <f>Tabella8[[#This Row],[rest of Italy ]]</f>
        <v>500</v>
      </c>
      <c r="BC74" s="10">
        <f>(Tabella34[[#This Row],[rest of Italy cum. Data]]-BB73)</f>
        <v>100</v>
      </c>
      <c r="BD74" s="10">
        <f>Tabella34[[#This Row],[rest of Italy data]]-BC73</f>
        <v>-41</v>
      </c>
      <c r="BE74" s="95">
        <f>Tabella34[[#This Row],[rest of Italy data]]*NOT(ISBLANK(Tabella34[[#This Row],[rest of Italy data]]))</f>
        <v>100</v>
      </c>
      <c r="BF74" s="95">
        <f>Tabella8[[#This Row],[rest of Italy fit]]</f>
        <v>2746.5819261065622</v>
      </c>
      <c r="BG74" s="157">
        <f>_xlfn.LOGNORM.INV(alpha*Tabella34[[#This Row],[rest of Italy cumul. Fit]]/Ko,mu_o,sigma_o)-(Tabella34[[#This Row],[Day]]-po)</f>
        <v>2.9576569680619542</v>
      </c>
      <c r="BH74" s="95">
        <f>Tabella34[[#This Row],[rest of Italy cumul. Fit]]/Ka</f>
        <v>1.8557988147569836E-2</v>
      </c>
      <c r="BI74" s="157">
        <f>IFERROR(Ko*_xlfn.LOGNORM.DIST((Tabella34[[#This Row],[Day]]-po),mu_o,sigma_o,FALSE),0)</f>
        <v>714.29445601251996</v>
      </c>
      <c r="BJ74" s="199">
        <f>Tabella34[[#This Row],[rest of Italy velocity]]/Tabella34[[#This Row],[rest of Italy cumul. Fit]]</f>
        <v>0.26006668478484946</v>
      </c>
      <c r="BK74" s="254">
        <f>(LN(Tabella34[[#This Row],[Day]]-po)-mu_o)/sigma_o</f>
        <v>-2.0844860669092911</v>
      </c>
      <c r="BL74" s="262">
        <f>EXP(mu_o+sigma_o*Tabella34[[#This Row],[x_o_alpha©+plus]])-(Tabella34[[#This Row],[Day]]-po)</f>
        <v>72.753750298235076</v>
      </c>
      <c r="BM74" s="262">
        <f>EXP(mu_o+sigma_o*Tabella34[[#This Row],[x_o_alpha©-minus]])-(Tabella34[[#This Row],[Day]]-po)</f>
        <v>-3.1752175634694808</v>
      </c>
      <c r="BN74" s="262">
        <f>-sigma_o+SQRT(sigma_o^2-2*Tabella34[[#This Row],[c_o]])</f>
        <v>1.7985282873996811</v>
      </c>
      <c r="BO74" s="262">
        <f>-sigma_o-SQRT(sigma_o^2-2*Tabella34[[#This Row],[c_o]])</f>
        <v>-2.4415010646987074</v>
      </c>
      <c r="BP74" s="262">
        <f>mu_o-LN(alpha*Ko/(Tabella34[[#This Row],[rest of Italy velocity]]*sigma_o*SQRTPI(2)))</f>
        <v>-2.1955543642885322</v>
      </c>
      <c r="BQ74" s="262">
        <f>Tabella34[[#This Row],[t_alpha_o+plus]]</f>
        <v>72.753750298235076</v>
      </c>
      <c r="BR74" s="90">
        <f>IFERROR(-Ka*_xlfn.LOGNORM.DIST((Tabella34[[#This Row],[Day]]-pa),mu_a,sigma_a,FALSE)*(1+(LN((Tabella34[[#This Row],[Day]]-pa))-mu_a)/sigma_a^2)/(Tabella34[[#This Row],[Day]]-pa),0)</f>
        <v>133.76967272659624</v>
      </c>
      <c r="BS74" s="95">
        <f>Tabella34[[#This Row],[rest of Italy acc. fit]]/y_a_peak</f>
        <v>3.9586791960465009E-2</v>
      </c>
      <c r="BT74" s="95">
        <f>Tabella34[[#This Row],[rest of Italy acc. fit]]*NOT(ISBLANK(Tabella34[[#This Row],[rest of Italy data]]))</f>
        <v>133.76967272659624</v>
      </c>
      <c r="BU74" s="95">
        <f>Tabella34[[#This Row],[rest of Italy acc. fit]]+CIa</f>
        <v>5472.6091078866139</v>
      </c>
      <c r="BV74" s="95">
        <f>MAX(Tabella34[[#This Row],[rest of Italy acc. fit]]-CIa,0)</f>
        <v>0</v>
      </c>
    </row>
    <row r="75" spans="2:74" x14ac:dyDescent="0.3">
      <c r="B75" s="281">
        <v>43898</v>
      </c>
      <c r="C75" s="206">
        <v>68</v>
      </c>
      <c r="D75" s="184">
        <f>Tabella8[[#This Row],[Spain cum. Cases]]</f>
        <v>673</v>
      </c>
      <c r="E75" s="181">
        <f>(Tabella34[[#This Row],[Spain cumul. Cases]]-D74)</f>
        <v>173</v>
      </c>
      <c r="F75" s="181">
        <f>Tabella34[[#This Row],[Spain daily cases]]-E74</f>
        <v>73</v>
      </c>
      <c r="G75" s="182">
        <f>Tabella34[[#This Row],[Spain daily cases]]*NOT(ISBLANK(Tabella34[[#This Row],[Spain daily cases]]))</f>
        <v>173</v>
      </c>
      <c r="H75" s="207">
        <f>Tabella8[[#This Row],[Spain cum. fit]]</f>
        <v>2152.6140325218457</v>
      </c>
      <c r="I75" s="207">
        <f>_xlfn.LOGNORM.INV(alpha*Tabella34[[#This Row],[Spain cumul. Fit]]/Kt,mu_t,sigma_t)-(Tabella34[[#This Row],[Day]]-pt)</f>
        <v>2.4667076679883593</v>
      </c>
      <c r="J75" s="207">
        <f>Tabella34[[#This Row],[Spain fitted d.t.]]/Spain_dt_at_lockdown</f>
        <v>0.6582320237949838</v>
      </c>
      <c r="K75" s="182">
        <f>Tabella34[[#This Row],[Spain cumul. Fit]]/Kf</f>
        <v>7.6879101208498302E-3</v>
      </c>
      <c r="L75" s="181"/>
      <c r="M75" s="182"/>
      <c r="N75" s="207">
        <f>IFERROR(Kt*_xlfn.LOGNORM.DIST((Tabella34[[#This Row],[Day]]-pt),mu_t,sigma_t,FALSE),0)</f>
        <v>655.07015345726802</v>
      </c>
      <c r="O75" s="207" t="e">
        <f>Kt*EXP(-0.5*Tabella34[[#This Row],[x_t]]^2)/(sigma_t*SQRTPI(2)*(Tabella34[[#This Row],[Day]]-D_bk))</f>
        <v>#NAME?</v>
      </c>
      <c r="P75" s="208">
        <f>Tabella34[[#This Row],[Spain fitted velocity]]/Tabella34[[#This Row],[Spain cumul. Fit]]</f>
        <v>0.30431379873977482</v>
      </c>
      <c r="Q75" s="262">
        <f>(LN(Tabella34[[#This Row],[Day]]-pt)-mu_t)/sigma_t</f>
        <v>-2.4234039132489125</v>
      </c>
      <c r="R75" s="262">
        <f>EXP(mu_t+sigma_t*Tabella34[[#This Row],[x_t_alpha©+plus]])-(Tabella34[[#This Row],[Day]]-pt)</f>
        <v>82.534857647100893</v>
      </c>
      <c r="S75" s="262">
        <f>EXP(mu_t+sigma_t*Tabella34[[#This Row],[x_t_alpha©-minus]])-(Tabella34[[#This Row],[Day]]-pt)</f>
        <v>-2.6134694647623178</v>
      </c>
      <c r="T75" s="262">
        <f>-sigma_t+SQRT(sigma_t^2-2*Tabella34[[#This Row],[c_t]])</f>
        <v>2.1866740873935595</v>
      </c>
      <c r="U75" s="262">
        <f>-sigma_t-SQRT(sigma_t^2-2*Tabella34[[#This Row],[c_t]])</f>
        <v>-2.7241134372367264</v>
      </c>
      <c r="V75" s="262">
        <f>mu_t-LN(alpha*Kt/(Tabella34[[#This Row],[Spain fitted velocity]]*sigma_t*SQRTPI(2)))</f>
        <v>-2.9783741321630757</v>
      </c>
      <c r="W75" s="262">
        <f>Tabella34[[#This Row],[Spain fitted g.r.]]/Spain_gr_at_lockdown</f>
        <v>1.4685891373298248</v>
      </c>
      <c r="X75" s="262">
        <f>Tabella34[[#This Row],[t_alpha_t+plus]]</f>
        <v>82.534857647100893</v>
      </c>
      <c r="Y75" s="262">
        <f>Tabella34[[#This Row],[Spain fitted h.t.]]/Spain_ht_at_lockdown</f>
        <v>1.3407097764448417</v>
      </c>
      <c r="Z75" s="181">
        <f>IFERROR(-Kf*_xlfn.LOGNORM.DIST((Tabella34[[#This Row],[Day]]-pf),mu_f,sigma_f,FALSE)*(1+(LN((Tabella34[[#This Row],[Day]]-pf))-mu_f)/sigma_f^2)/(Tabella34[[#This Row],[Day]]-pf),0)</f>
        <v>156.01718215324851</v>
      </c>
      <c r="AA75" s="181">
        <f>Tabella34[[#This Row],[Spain acc. fit]]/Spain_acc_at_lockdown</f>
        <v>0.53165498054918792</v>
      </c>
      <c r="AB75" s="182">
        <f>Tabella34[[#This Row],[Spain acc. fit]]/y_f_peak</f>
        <v>2.3374530848279548E-2</v>
      </c>
      <c r="AC75" s="207">
        <f>Tabella34[[#This Row],[Colonna4]]*NOT(ISBLANK(Tabella34[[#This Row],[Spain daily cases]]))</f>
        <v>0</v>
      </c>
      <c r="AD75" s="207">
        <f>Tabella34[[#This Row],[Spain acc. fit]]*NOT(ISBLANK(Tabella34[[#This Row],[Spain daily cases]]))</f>
        <v>156.01718215324851</v>
      </c>
      <c r="AE75" s="182">
        <f>Tabella34[[#This Row],[Spain acc. fit]]+CIf</f>
        <v>2498.7055998343412</v>
      </c>
      <c r="AF75" s="182">
        <f>MAX(Tabella34[[#This Row],[Spain acc. fit]]-CIf,0)</f>
        <v>0</v>
      </c>
      <c r="AG75" s="180">
        <f>Tabella8[[#This Row],[Lombardy]]</f>
        <v>0</v>
      </c>
      <c r="AH75" s="181">
        <f>(Tabella34[[#This Row],[Lombardy cumul. Data]]-AG74)</f>
        <v>0</v>
      </c>
      <c r="AI75" s="181">
        <f>Tabella34[[#This Row],[Lombardy data]]-AH74</f>
        <v>0</v>
      </c>
      <c r="AJ75" s="182">
        <f>Tabella34[[#This Row],[Lombardy data]]*NOT(ISBLANK(Tabella34[[#This Row],[Lombardy data]]))</f>
        <v>0</v>
      </c>
      <c r="AK75" s="182">
        <f>Tabella8[[#This Row],[Lombardy fit]]</f>
        <v>5720.6793780428634</v>
      </c>
      <c r="AL75" s="207">
        <f>_xlfn.LOGNORM.INV(alpha*Tabella34[[#This Row],[Lombardy cumul. Fit]]/Kr,mu_r,sigma_r)-(Tabella34[[#This Row],[Day]]-pr)</f>
        <v>5.2060023424234387</v>
      </c>
      <c r="AM75" s="182">
        <f>Tabella34[[#This Row],[Lombardy cumul. Fit]]/Kl</f>
        <v>6.5754935379803023E-2</v>
      </c>
      <c r="AN75" s="182">
        <f>IFERROR(Kr*_xlfn.LOGNORM.DIST((Tabella34[[#This Row],[Day]]-pr),mu_r,sigma_r,FALSE),0)</f>
        <v>888.99304505859823</v>
      </c>
      <c r="AO75" s="209">
        <f>Tabella34[[#This Row],[Lombardy velocity]]/Tabella34[[#This Row],[Lombardy cumul. Fit]]</f>
        <v>0.15539990730309677</v>
      </c>
      <c r="AP75" s="260">
        <f>(LN(Tabella34[[#This Row],[Day]]-pr)-mu_r)/sigma_r</f>
        <v>-1.5081745042959596</v>
      </c>
      <c r="AQ75" s="262">
        <f>EXP(mu_r+sigma_r*Tabella34[[#This Row],[x_r_alpha©+plus]])-(Tabella34[[#This Row],[Day]]-pr)</f>
        <v>59.472738953723649</v>
      </c>
      <c r="AR75" s="262">
        <f>EXP(mu_r+sigma_r*Tabella34[[#This Row],[x_r_alpha©-minus]])-(Tabella34[[#This Row],[Day]]-pr)</f>
        <v>-5.6562626552431965</v>
      </c>
      <c r="AS75" s="262">
        <f>-sigma_r+SQRT(sigma_r^2-2*Tabella34[[#This Row],[c_r]])</f>
        <v>1.3178633567280498</v>
      </c>
      <c r="AT75" s="262">
        <f>-sigma_r-SQRT(sigma_r^2-2*Tabella34[[#This Row],[c_r]])</f>
        <v>-1.998717953921779</v>
      </c>
      <c r="AU75" s="262">
        <f>mu_r-LN(alpha*Kr/(Tabella34[[#This Row],[Lombardy velocity]]*sigma_r*SQRTPI(2)))</f>
        <v>-1.3170185759539876</v>
      </c>
      <c r="AV75" s="262">
        <f>Tabella34[[#This Row],[t_alpha_r+plus]]</f>
        <v>59.472738953723649</v>
      </c>
      <c r="AW75" s="183">
        <f>IFERROR(-Kl*_xlfn.LOGNORM.DIST((Tabella34[[#This Row],[Day]]-pl),mu_l,sigma_l,FALSE)*(1+(LN((Tabella34[[#This Row],[Day]]-pl))-mu_l)/sigma_l^2)/(Tabella34[[#This Row],[Day]]-pl),0)</f>
        <v>82.915793368882433</v>
      </c>
      <c r="AX75" s="182">
        <f>Tabella34[[#This Row],[Lombardy acc. fit]]/y_l_peak</f>
        <v>4.7166064129854107E-2</v>
      </c>
      <c r="AY75" s="207">
        <f>Tabella34[[#This Row],[Lombardy acc. fit]]*NOT(ISBLANK(Tabella34[[#This Row],[Lombardy data]]))</f>
        <v>82.915793368882433</v>
      </c>
      <c r="AZ75" s="182">
        <f>Tabella34[[#This Row],[Lombardy acc. fit]]+CIl</f>
        <v>2653.2981162852911</v>
      </c>
      <c r="BA75" s="182">
        <f>MAX(Tabella34[[#This Row],[Lombardy acc. fit]]-CIl,0)</f>
        <v>0</v>
      </c>
      <c r="BB75" s="184">
        <f>Tabella8[[#This Row],[rest of Italy ]]</f>
        <v>673</v>
      </c>
      <c r="BC75" s="184">
        <f>(Tabella34[[#This Row],[rest of Italy cum. Data]]-BB74)</f>
        <v>173</v>
      </c>
      <c r="BD75" s="184">
        <f>Tabella34[[#This Row],[rest of Italy data]]-BC74</f>
        <v>73</v>
      </c>
      <c r="BE75" s="182">
        <f>Tabella34[[#This Row],[rest of Italy data]]*NOT(ISBLANK(Tabella34[[#This Row],[rest of Italy data]]))</f>
        <v>173</v>
      </c>
      <c r="BF75" s="182">
        <f>Tabella8[[#This Row],[rest of Italy fit]]</f>
        <v>3529.7758891787362</v>
      </c>
      <c r="BG75" s="207">
        <f>_xlfn.LOGNORM.INV(alpha*Tabella34[[#This Row],[rest of Italy cumul. Fit]]/Ko,mu_o,sigma_o)-(Tabella34[[#This Row],[Day]]-po)</f>
        <v>3.1999152315051376</v>
      </c>
      <c r="BH75" s="182">
        <f>Tabella34[[#This Row],[rest of Italy cumul. Fit]]/Ka</f>
        <v>2.3849839865441275E-2</v>
      </c>
      <c r="BI75" s="207">
        <f>IFERROR(Ko*_xlfn.LOGNORM.DIST((Tabella34[[#This Row],[Day]]-po),mu_o,sigma_o,FALSE),0)</f>
        <v>854.04911286766855</v>
      </c>
      <c r="BJ75" s="208">
        <f>Tabella34[[#This Row],[rest of Italy velocity]]/Tabella34[[#This Row],[rest of Italy cumul. Fit]]</f>
        <v>0.24195561975646504</v>
      </c>
      <c r="BK75" s="256">
        <f>(LN(Tabella34[[#This Row],[Day]]-po)-mu_o)/sigma_o</f>
        <v>-1.980034254782955</v>
      </c>
      <c r="BL75" s="262">
        <f>EXP(mu_o+sigma_o*Tabella34[[#This Row],[x_o_alpha©+plus]])-(Tabella34[[#This Row],[Day]]-po)</f>
        <v>68.970208245958005</v>
      </c>
      <c r="BM75" s="262">
        <f>EXP(mu_o+sigma_o*Tabella34[[#This Row],[x_o_alpha©-minus]])-(Tabella34[[#This Row],[Day]]-po)</f>
        <v>-3.4430373261782812</v>
      </c>
      <c r="BN75" s="262">
        <f>-sigma_o+SQRT(sigma_o^2-2*Tabella34[[#This Row],[c_o]])</f>
        <v>1.7124937944829792</v>
      </c>
      <c r="BO75" s="262">
        <f>-sigma_o-SQRT(sigma_o^2-2*Tabella34[[#This Row],[c_o]])</f>
        <v>-2.3554665717820056</v>
      </c>
      <c r="BP75" s="262">
        <f>mu_o-LN(alpha*Ko/(Tabella34[[#This Row],[rest of Italy velocity]]*sigma_o*SQRTPI(2)))</f>
        <v>-2.0168609436443905</v>
      </c>
      <c r="BQ75" s="262">
        <f>Tabella34[[#This Row],[t_alpha_o+plus]]</f>
        <v>68.970208245958005</v>
      </c>
      <c r="BR75" s="181">
        <f>IFERROR(-Ka*_xlfn.LOGNORM.DIST((Tabella34[[#This Row],[Day]]-pa),mu_a,sigma_a,FALSE)*(1+(LN((Tabella34[[#This Row],[Day]]-pa))-mu_a)/sigma_a^2)/(Tabella34[[#This Row],[Day]]-pa),0)</f>
        <v>145.49747968518801</v>
      </c>
      <c r="BS75" s="182">
        <f>Tabella34[[#This Row],[rest of Italy acc. fit]]/y_a_peak</f>
        <v>4.3057431042995711E-2</v>
      </c>
      <c r="BT75" s="182">
        <f>Tabella34[[#This Row],[rest of Italy acc. fit]]*NOT(ISBLANK(Tabella34[[#This Row],[rest of Italy data]]))</f>
        <v>145.49747968518801</v>
      </c>
      <c r="BU75" s="182">
        <f>Tabella34[[#This Row],[rest of Italy acc. fit]]+CIa</f>
        <v>5484.3369148452057</v>
      </c>
      <c r="BV75" s="182">
        <f>MAX(Tabella34[[#This Row],[rest of Italy acc. fit]]-CIa,0)</f>
        <v>0</v>
      </c>
    </row>
    <row r="76" spans="2:74" x14ac:dyDescent="0.3">
      <c r="B76" s="281">
        <v>43899</v>
      </c>
      <c r="C76" s="29">
        <v>69</v>
      </c>
      <c r="D76" s="10">
        <f>Tabella8[[#This Row],[Spain cum. Cases]]</f>
        <v>1073</v>
      </c>
      <c r="E76" s="90">
        <f>(Tabella34[[#This Row],[Spain cumul. Cases]]-D75)</f>
        <v>400</v>
      </c>
      <c r="F76" s="90">
        <f>Tabella34[[#This Row],[Spain daily cases]]-E75</f>
        <v>227</v>
      </c>
      <c r="G76" s="95">
        <f>Tabella34[[#This Row],[Spain daily cases]]*NOT(ISBLANK(Tabella34[[#This Row],[Spain daily cases]]))</f>
        <v>400</v>
      </c>
      <c r="H76" s="157">
        <f>Tabella8[[#This Row],[Spain cum. fit]]</f>
        <v>2889.8079451682347</v>
      </c>
      <c r="I76" s="157">
        <f>_xlfn.LOGNORM.INV(alpha*Tabella34[[#This Row],[Spain cumul. Fit]]/Kt,mu_t,sigma_t)-(Tabella34[[#This Row],[Day]]-pt)</f>
        <v>2.6468063598402054</v>
      </c>
      <c r="J76" s="157">
        <f>Tabella34[[#This Row],[Spain fitted d.t.]]/Spain_dt_at_lockdown</f>
        <v>0.70629070863993204</v>
      </c>
      <c r="K76" s="95">
        <f>Tabella34[[#This Row],[Spain cumul. Fit]]/Kf</f>
        <v>1.0320746503238108E-2</v>
      </c>
      <c r="L76" s="160"/>
      <c r="M76" s="95"/>
      <c r="N76" s="157">
        <f>IFERROR(Kt*_xlfn.LOGNORM.DIST((Tabella34[[#This Row],[Day]]-pt),mu_t,sigma_t,FALSE),0)</f>
        <v>823.45588019314073</v>
      </c>
      <c r="O76" s="157" t="e">
        <f>Kt*EXP(-0.5*Tabella34[[#This Row],[x_t]]^2)/(sigma_t*SQRTPI(2)*(Tabella34[[#This Row],[Day]]-D_bk))</f>
        <v>#NAME?</v>
      </c>
      <c r="P76" s="199">
        <f>Tabella34[[#This Row],[Spain fitted velocity]]/Tabella34[[#This Row],[Spain cumul. Fit]]</f>
        <v>0.28495176697467417</v>
      </c>
      <c r="Q76" s="262">
        <f>(LN(Tabella34[[#This Row],[Day]]-pt)-mu_t)/sigma_t</f>
        <v>-2.3144784317867027</v>
      </c>
      <c r="R76" s="262">
        <f>EXP(mu_t+sigma_t*Tabella34[[#This Row],[x_t_alpha©+plus]])-(Tabella34[[#This Row],[Day]]-pt)</f>
        <v>78.605738679073028</v>
      </c>
      <c r="S76" s="262">
        <f>EXP(mu_t+sigma_t*Tabella34[[#This Row],[x_t_alpha©-minus]])-(Tabella34[[#This Row],[Day]]-pt)</f>
        <v>-2.8104635147073225</v>
      </c>
      <c r="T76" s="262">
        <f>-sigma_t+SQRT(sigma_t^2-2*Tabella34[[#This Row],[c_t]])</f>
        <v>2.0916665757607511</v>
      </c>
      <c r="U76" s="262">
        <f>-sigma_t-SQRT(sigma_t^2-2*Tabella34[[#This Row],[c_t]])</f>
        <v>-2.629105925603918</v>
      </c>
      <c r="V76" s="262">
        <f>mu_t-LN(alpha*Kt/(Tabella34[[#This Row],[Spain fitted velocity]]*sigma_t*SQRTPI(2)))</f>
        <v>-2.7496064943601235</v>
      </c>
      <c r="W76" s="262">
        <f>Tabella34[[#This Row],[Spain fitted g.r.]]/Spain_gr_at_lockdown</f>
        <v>1.3751498334119072</v>
      </c>
      <c r="X76" s="262">
        <f>Tabella34[[#This Row],[t_alpha_t+plus]]</f>
        <v>78.605738679073028</v>
      </c>
      <c r="Y76" s="262">
        <f>Tabella34[[#This Row],[Spain fitted h.t.]]/Spain_ht_at_lockdown</f>
        <v>1.2768845229286401</v>
      </c>
      <c r="Z76" s="90">
        <f>IFERROR(-Kf*_xlfn.LOGNORM.DIST((Tabella34[[#This Row],[Day]]-pf),mu_f,sigma_f,FALSE)*(1+(LN((Tabella34[[#This Row],[Day]]-pf))-mu_f)/sigma_f^2)/(Tabella34[[#This Row],[Day]]-pf),0)</f>
        <v>180.83552640827594</v>
      </c>
      <c r="AA76" s="90">
        <f>Tabella34[[#This Row],[Spain acc. fit]]/Spain_acc_at_lockdown</f>
        <v>0.61622769331110028</v>
      </c>
      <c r="AB76" s="95">
        <f>Tabella34[[#This Row],[Spain acc. fit]]/y_f_peak</f>
        <v>2.7092821009567922E-2</v>
      </c>
      <c r="AC76" s="157">
        <f>Tabella34[[#This Row],[Colonna4]]*NOT(ISBLANK(Tabella34[[#This Row],[Spain daily cases]]))</f>
        <v>0</v>
      </c>
      <c r="AD76" s="157">
        <f>Tabella34[[#This Row],[Spain acc. fit]]*NOT(ISBLANK(Tabella34[[#This Row],[Spain daily cases]]))</f>
        <v>180.83552640827594</v>
      </c>
      <c r="AE76" s="95">
        <f>Tabella34[[#This Row],[Spain acc. fit]]+CIf</f>
        <v>2523.5239440893688</v>
      </c>
      <c r="AF76" s="95">
        <f>MAX(Tabella34[[#This Row],[Spain acc. fit]]-CIf,0)</f>
        <v>0</v>
      </c>
      <c r="AG76" s="4">
        <f>Tabella8[[#This Row],[Lombardy]]</f>
        <v>0</v>
      </c>
      <c r="AH76" s="90">
        <f>(Tabella34[[#This Row],[Lombardy cumul. Data]]-AG75)</f>
        <v>0</v>
      </c>
      <c r="AI76" s="90">
        <f>Tabella34[[#This Row],[Lombardy data]]-AH75</f>
        <v>0</v>
      </c>
      <c r="AJ76" s="95">
        <f>Tabella34[[#This Row],[Lombardy data]]*NOT(ISBLANK(Tabella34[[#This Row],[Lombardy data]]))</f>
        <v>0</v>
      </c>
      <c r="AK76" s="95">
        <f>Tabella8[[#This Row],[Lombardy fit]]</f>
        <v>6651.0605708092144</v>
      </c>
      <c r="AL76" s="157">
        <f>_xlfn.LOGNORM.INV(alpha*Tabella34[[#This Row],[Lombardy cumul. Fit]]/Kr,mu_r,sigma_r)-(Tabella34[[#This Row],[Day]]-pr)</f>
        <v>5.5889130770940909</v>
      </c>
      <c r="AM76" s="95">
        <f>Tabella34[[#This Row],[Lombardy cumul. Fit]]/Kl</f>
        <v>7.6448972078266828E-2</v>
      </c>
      <c r="AN76" s="95">
        <f>IFERROR(Kr*_xlfn.LOGNORM.DIST((Tabella34[[#This Row],[Day]]-pr),mu_r,sigma_r,FALSE),0)</f>
        <v>971.66217028128381</v>
      </c>
      <c r="AO76" s="202">
        <f>Tabella34[[#This Row],[Lombardy velocity]]/Tabella34[[#This Row],[Lombardy cumul. Fit]]</f>
        <v>0.14609131279691001</v>
      </c>
      <c r="AP76" s="259">
        <f>(LN(Tabella34[[#This Row],[Day]]-pr)-mu_r)/sigma_r</f>
        <v>-1.4293699029183311</v>
      </c>
      <c r="AQ76" s="262">
        <f>EXP(mu_r+sigma_r*Tabella34[[#This Row],[x_r_alpha©+plus]])-(Tabella34[[#This Row],[Day]]-pr)</f>
        <v>56.702896630891004</v>
      </c>
      <c r="AR76" s="262">
        <f>EXP(mu_r+sigma_r*Tabella34[[#This Row],[x_r_alpha©-minus]])-(Tabella34[[#This Row],[Day]]-pr)</f>
        <v>-6.0732843619705079</v>
      </c>
      <c r="AS76" s="262">
        <f>-sigma_r+SQRT(sigma_r^2-2*Tabella34[[#This Row],[c_r]])</f>
        <v>1.2633464873923901</v>
      </c>
      <c r="AT76" s="262">
        <f>-sigma_r-SQRT(sigma_r^2-2*Tabella34[[#This Row],[c_r]])</f>
        <v>-1.9442010845861193</v>
      </c>
      <c r="AU76" s="262">
        <f>mu_r-LN(alpha*Kr/(Tabella34[[#This Row],[Lombardy velocity]]*sigma_r*SQRTPI(2)))</f>
        <v>-1.2280998054981742</v>
      </c>
      <c r="AV76" s="262">
        <f>Tabella34[[#This Row],[t_alpha_r+plus]]</f>
        <v>56.702896630891004</v>
      </c>
      <c r="AW76" s="90">
        <f>IFERROR(-Kl*_xlfn.LOGNORM.DIST((Tabella34[[#This Row],[Day]]-pl),mu_l,sigma_l,FALSE)*(1+(LN((Tabella34[[#This Row],[Day]]-pl))-mu_l)/sigma_l^2)/(Tabella34[[#This Row],[Day]]-pl),0)</f>
        <v>82.273395921496956</v>
      </c>
      <c r="AX76" s="95">
        <f>Tabella34[[#This Row],[Lombardy acc. fit]]/y_l_peak</f>
        <v>4.6800640873690597E-2</v>
      </c>
      <c r="AY76" s="157">
        <f>Tabella34[[#This Row],[Lombardy acc. fit]]*NOT(ISBLANK(Tabella34[[#This Row],[Lombardy data]]))</f>
        <v>82.273395921496956</v>
      </c>
      <c r="AZ76" s="95">
        <f>Tabella34[[#This Row],[Lombardy acc. fit]]+CIl</f>
        <v>2652.6557188379056</v>
      </c>
      <c r="BA76" s="95">
        <f>MAX(Tabella34[[#This Row],[Lombardy acc. fit]]-CIl,0)</f>
        <v>0</v>
      </c>
      <c r="BB76" s="10">
        <f>Tabella8[[#This Row],[rest of Italy ]]</f>
        <v>1073</v>
      </c>
      <c r="BC76" s="10">
        <f>(Tabella34[[#This Row],[rest of Italy cum. Data]]-BB75)</f>
        <v>400</v>
      </c>
      <c r="BD76" s="10">
        <f>Tabella34[[#This Row],[rest of Italy data]]-BC75</f>
        <v>227</v>
      </c>
      <c r="BE76" s="95">
        <f>Tabella34[[#This Row],[rest of Italy data]]*NOT(ISBLANK(Tabella34[[#This Row],[rest of Italy data]]))</f>
        <v>400</v>
      </c>
      <c r="BF76" s="95">
        <f>Tabella8[[#This Row],[rest of Italy fit]]</f>
        <v>4458.3318388133321</v>
      </c>
      <c r="BG76" s="157">
        <f>_xlfn.LOGNORM.INV(alpha*Tabella34[[#This Row],[rest of Italy cumul. Fit]]/Ko,mu_o,sigma_o)-(Tabella34[[#This Row],[Day]]-po)</f>
        <v>3.4596386398690271</v>
      </c>
      <c r="BH76" s="95">
        <f>Tabella34[[#This Row],[rest of Italy cumul. Fit]]/Ka</f>
        <v>3.0123867282530494E-2</v>
      </c>
      <c r="BI76" s="157">
        <f>IFERROR(Ko*_xlfn.LOGNORM.DIST((Tabella34[[#This Row],[Day]]-po),mu_o,sigma_o,FALSE),0)</f>
        <v>1004.7478170397067</v>
      </c>
      <c r="BJ76" s="199">
        <f>Tabella34[[#This Row],[rest of Italy velocity]]/Tabella34[[#This Row],[rest of Italy cumul. Fit]]</f>
        <v>0.22536407189177263</v>
      </c>
      <c r="BK76" s="254">
        <f>(LN(Tabella34[[#This Row],[Day]]-po)-mu_o)/sigma_o</f>
        <v>-1.8789762619963062</v>
      </c>
      <c r="BL76" s="262">
        <f>EXP(mu_o+sigma_o*Tabella34[[#This Row],[x_o_alpha©+plus]])-(Tabella34[[#This Row],[Day]]-po)</f>
        <v>65.402571027928062</v>
      </c>
      <c r="BM76" s="262">
        <f>EXP(mu_o+sigma_o*Tabella34[[#This Row],[x_o_alpha©-minus]])-(Tabella34[[#This Row],[Day]]-po)</f>
        <v>-3.7302681175175501</v>
      </c>
      <c r="BN76" s="262">
        <f>-sigma_o+SQRT(sigma_o^2-2*Tabella34[[#This Row],[c_o]])</f>
        <v>1.6309656764977212</v>
      </c>
      <c r="BO76" s="262">
        <f>-sigma_o-SQRT(sigma_o^2-2*Tabella34[[#This Row],[c_o]])</f>
        <v>-2.2739384537967471</v>
      </c>
      <c r="BP76" s="262">
        <f>mu_o-LN(alpha*Ko/(Tabella34[[#This Row],[rest of Italy velocity]]*sigma_o*SQRTPI(2)))</f>
        <v>-1.8543577843053969</v>
      </c>
      <c r="BQ76" s="262">
        <f>Tabella34[[#This Row],[t_alpha_o+plus]]</f>
        <v>65.402571027928062</v>
      </c>
      <c r="BR76" s="90">
        <f>IFERROR(-Ka*_xlfn.LOGNORM.DIST((Tabella34[[#This Row],[Day]]-pa),mu_a,sigma_a,FALSE)*(1+(LN((Tabella34[[#This Row],[Day]]-pa))-mu_a)/sigma_a^2)/(Tabella34[[#This Row],[Day]]-pa),0)</f>
        <v>155.60273436199978</v>
      </c>
      <c r="BS76" s="95">
        <f>Tabella34[[#This Row],[rest of Italy acc. fit]]/y_a_peak</f>
        <v>4.6047904193184767E-2</v>
      </c>
      <c r="BT76" s="95">
        <f>Tabella34[[#This Row],[rest of Italy acc. fit]]*NOT(ISBLANK(Tabella34[[#This Row],[rest of Italy data]]))</f>
        <v>155.60273436199978</v>
      </c>
      <c r="BU76" s="95">
        <f>Tabella34[[#This Row],[rest of Italy acc. fit]]+CIa</f>
        <v>5494.4421695220171</v>
      </c>
      <c r="BV76" s="95">
        <f>MAX(Tabella34[[#This Row],[rest of Italy acc. fit]]-CIa,0)</f>
        <v>0</v>
      </c>
    </row>
    <row r="77" spans="2:74" x14ac:dyDescent="0.3">
      <c r="B77" s="281">
        <v>43900</v>
      </c>
      <c r="C77" s="29">
        <v>70</v>
      </c>
      <c r="D77" s="10">
        <f>Tabella8[[#This Row],[Spain cum. Cases]]</f>
        <v>1695</v>
      </c>
      <c r="E77" s="90">
        <f>(Tabella34[[#This Row],[Spain cumul. Cases]]-D76)</f>
        <v>622</v>
      </c>
      <c r="F77" s="90">
        <f>Tabella34[[#This Row],[Spain daily cases]]-E76</f>
        <v>222</v>
      </c>
      <c r="G77" s="95">
        <f>Tabella34[[#This Row],[Spain daily cases]]*NOT(ISBLANK(Tabella34[[#This Row],[Spain daily cases]]))</f>
        <v>622</v>
      </c>
      <c r="H77" s="157">
        <f>Tabella8[[#This Row],[Spain cum. fit]]</f>
        <v>3807.8501923686786</v>
      </c>
      <c r="I77" s="157">
        <f>_xlfn.LOGNORM.INV(alpha*Tabella34[[#This Row],[Spain cumul. Fit]]/Kt,mu_t,sigma_t)-(Tabella34[[#This Row],[Day]]-pt)</f>
        <v>2.8388111092215595</v>
      </c>
      <c r="J77" s="157">
        <f>Tabella34[[#This Row],[Spain fitted d.t.]]/Spain_dt_at_lockdown</f>
        <v>0.75752648189497906</v>
      </c>
      <c r="K77" s="95">
        <f>Tabella34[[#This Row],[Spain cumul. Fit]]/Kf</f>
        <v>1.3599470035181072E-2</v>
      </c>
      <c r="L77" s="160"/>
      <c r="M77" s="95"/>
      <c r="N77" s="157">
        <f>IFERROR(Kt*_xlfn.LOGNORM.DIST((Tabella34[[#This Row],[Day]]-pt),mu_t,sigma_t,FALSE),0)</f>
        <v>1016.7922136968056</v>
      </c>
      <c r="O77" s="157" t="e">
        <f>Kt*EXP(-0.5*Tabella34[[#This Row],[x_t]]^2)/(sigma_t*SQRTPI(2)*(Tabella34[[#This Row],[Day]]-D_bk))</f>
        <v>#NAME?</v>
      </c>
      <c r="P77" s="199">
        <f>Tabella34[[#This Row],[Spain fitted velocity]]/Tabella34[[#This Row],[Spain cumul. Fit]]</f>
        <v>0.26702526683811278</v>
      </c>
      <c r="Q77" s="262">
        <f>(LN(Tabella34[[#This Row],[Day]]-pt)-mu_t)/sigma_t</f>
        <v>-2.2086507848693926</v>
      </c>
      <c r="R77" s="262">
        <f>EXP(mu_t+sigma_t*Tabella34[[#This Row],[x_t_alpha©+plus]])-(Tabella34[[#This Row],[Day]]-pt)</f>
        <v>74.866240271383347</v>
      </c>
      <c r="S77" s="262">
        <f>EXP(mu_t+sigma_t*Tabella34[[#This Row],[x_t_alpha©-minus]])-(Tabella34[[#This Row],[Day]]-pt)</f>
        <v>-3.020925498388138</v>
      </c>
      <c r="T77" s="262">
        <f>-sigma_t+SQRT(sigma_t^2-2*Tabella34[[#This Row],[c_t]])</f>
        <v>2.0005593014194112</v>
      </c>
      <c r="U77" s="262">
        <f>-sigma_t-SQRT(sigma_t^2-2*Tabella34[[#This Row],[c_t]])</f>
        <v>-2.5379986512625781</v>
      </c>
      <c r="V77" s="262">
        <f>mu_t-LN(alpha*Kt/(Tabella34[[#This Row],[Spain fitted velocity]]*sigma_t*SQRTPI(2)))</f>
        <v>-2.538708404386635</v>
      </c>
      <c r="W77" s="262">
        <f>Tabella34[[#This Row],[Spain fitted g.r.]]/Spain_gr_at_lockdown</f>
        <v>1.2886382671276317</v>
      </c>
      <c r="X77" s="262">
        <f>Tabella34[[#This Row],[t_alpha_t+plus]]</f>
        <v>74.866240271383347</v>
      </c>
      <c r="Y77" s="262">
        <f>Tabella34[[#This Row],[Spain fitted h.t.]]/Spain_ht_at_lockdown</f>
        <v>1.2161394969224604</v>
      </c>
      <c r="Z77" s="90">
        <f>IFERROR(-Kf*_xlfn.LOGNORM.DIST((Tabella34[[#This Row],[Day]]-pf),mu_f,sigma_f,FALSE)*(1+(LN((Tabella34[[#This Row],[Day]]-pf))-mu_f)/sigma_f^2)/(Tabella34[[#This Row],[Day]]-pf),0)</f>
        <v>205.80554250512446</v>
      </c>
      <c r="AA77" s="90">
        <f>Tabella34[[#This Row],[Spain acc. fit]]/Spain_acc_at_lockdown</f>
        <v>0.70131725357019448</v>
      </c>
      <c r="AB77" s="95">
        <f>Tabella34[[#This Row],[Spain acc. fit]]/y_f_peak</f>
        <v>3.0833834681796138E-2</v>
      </c>
      <c r="AC77" s="157">
        <f>Tabella34[[#This Row],[Colonna4]]*NOT(ISBLANK(Tabella34[[#This Row],[Spain daily cases]]))</f>
        <v>0</v>
      </c>
      <c r="AD77" s="157">
        <f>Tabella34[[#This Row],[Spain acc. fit]]*NOT(ISBLANK(Tabella34[[#This Row],[Spain daily cases]]))</f>
        <v>205.80554250512446</v>
      </c>
      <c r="AE77" s="95">
        <f>Tabella34[[#This Row],[Spain acc. fit]]+CIf</f>
        <v>2548.493960186217</v>
      </c>
      <c r="AF77" s="95">
        <f>MAX(Tabella34[[#This Row],[Spain acc. fit]]-CIf,0)</f>
        <v>0</v>
      </c>
      <c r="AG77" s="4">
        <f>Tabella8[[#This Row],[Lombardy]]</f>
        <v>0</v>
      </c>
      <c r="AH77" s="90">
        <f>(Tabella34[[#This Row],[Lombardy cumul. Data]]-AG76)</f>
        <v>0</v>
      </c>
      <c r="AI77" s="90">
        <f>Tabella34[[#This Row],[Lombardy data]]-AH76</f>
        <v>0</v>
      </c>
      <c r="AJ77" s="95">
        <f>Tabella34[[#This Row],[Lombardy data]]*NOT(ISBLANK(Tabella34[[#This Row],[Lombardy data]]))</f>
        <v>0</v>
      </c>
      <c r="AK77" s="95">
        <f>Tabella8[[#This Row],[Lombardy fit]]</f>
        <v>7663.6423871361549</v>
      </c>
      <c r="AL77" s="157">
        <f>_xlfn.LOGNORM.INV(alpha*Tabella34[[#This Row],[Lombardy cumul. Fit]]/Kr,mu_r,sigma_r)-(Tabella34[[#This Row],[Day]]-pr)</f>
        <v>5.9997881919861697</v>
      </c>
      <c r="AM77" s="95">
        <f>Tabella34[[#This Row],[Lombardy cumul. Fit]]/Kl</f>
        <v>8.8087843530300636E-2</v>
      </c>
      <c r="AN77" s="95">
        <f>IFERROR(Kr*_xlfn.LOGNORM.DIST((Tabella34[[#This Row],[Day]]-pr),mu_r,sigma_r,FALSE),0)</f>
        <v>1053.2488417170159</v>
      </c>
      <c r="AO77" s="202">
        <f>Tabella34[[#This Row],[Lombardy velocity]]/Tabella34[[#This Row],[Lombardy cumul. Fit]]</f>
        <v>0.13743449765935739</v>
      </c>
      <c r="AP77" s="259">
        <f>(LN(Tabella34[[#This Row],[Day]]-pr)-mu_r)/sigma_r</f>
        <v>-1.3526242944681128</v>
      </c>
      <c r="AQ77" s="262">
        <f>EXP(mu_r+sigma_r*Tabella34[[#This Row],[x_r_alpha©+plus]])-(Tabella34[[#This Row],[Day]]-pr)</f>
        <v>54.073959118774027</v>
      </c>
      <c r="AR77" s="262">
        <f>EXP(mu_r+sigma_r*Tabella34[[#This Row],[x_r_alpha©-minus]])-(Tabella34[[#This Row],[Day]]-pr)</f>
        <v>-6.517078874459969</v>
      </c>
      <c r="AS77" s="262">
        <f>-sigma_r+SQRT(sigma_r^2-2*Tabella34[[#This Row],[c_r]])</f>
        <v>1.2122597656793435</v>
      </c>
      <c r="AT77" s="262">
        <f>-sigma_r-SQRT(sigma_r^2-2*Tabella34[[#This Row],[c_r]])</f>
        <v>-1.8931143628730727</v>
      </c>
      <c r="AU77" s="262">
        <f>mu_r-LN(alpha*Kr/(Tabella34[[#This Row],[Lombardy velocity]]*sigma_r*SQRTPI(2)))</f>
        <v>-1.1474731869703554</v>
      </c>
      <c r="AV77" s="262">
        <f>Tabella34[[#This Row],[t_alpha_r+plus]]</f>
        <v>54.073959118774027</v>
      </c>
      <c r="AW77" s="90">
        <f>IFERROR(-Kl*_xlfn.LOGNORM.DIST((Tabella34[[#This Row],[Day]]-pl),mu_l,sigma_l,FALSE)*(1+(LN((Tabella34[[#This Row],[Day]]-pl))-mu_l)/sigma_l^2)/(Tabella34[[#This Row],[Day]]-pl),0)</f>
        <v>80.758578415298345</v>
      </c>
      <c r="AX77" s="95">
        <f>Tabella34[[#This Row],[Lombardy acc. fit]]/y_l_peak</f>
        <v>4.5938947621543491E-2</v>
      </c>
      <c r="AY77" s="157">
        <f>Tabella34[[#This Row],[Lombardy acc. fit]]*NOT(ISBLANK(Tabella34[[#This Row],[Lombardy data]]))</f>
        <v>80.758578415298345</v>
      </c>
      <c r="AZ77" s="95">
        <f>Tabella34[[#This Row],[Lombardy acc. fit]]+CIl</f>
        <v>2651.140901331707</v>
      </c>
      <c r="BA77" s="95">
        <f>MAX(Tabella34[[#This Row],[Lombardy acc. fit]]-CIl,0)</f>
        <v>0</v>
      </c>
      <c r="BB77" s="10">
        <f>Tabella8[[#This Row],[rest of Italy ]]</f>
        <v>1695</v>
      </c>
      <c r="BC77" s="10">
        <f>(Tabella34[[#This Row],[rest of Italy cum. Data]]-BB76)</f>
        <v>622</v>
      </c>
      <c r="BD77" s="10">
        <f>Tabella34[[#This Row],[rest of Italy data]]-BC76</f>
        <v>222</v>
      </c>
      <c r="BE77" s="95">
        <f>Tabella34[[#This Row],[rest of Italy data]]*NOT(ISBLANK(Tabella34[[#This Row],[rest of Italy data]]))</f>
        <v>622</v>
      </c>
      <c r="BF77" s="95">
        <f>Tabella8[[#This Row],[rest of Italy fit]]</f>
        <v>5542.3304236886052</v>
      </c>
      <c r="BG77" s="157">
        <f>_xlfn.LOGNORM.INV(alpha*Tabella34[[#This Row],[rest of Italy cumul. Fit]]/Ko,mu_o,sigma_o)-(Tabella34[[#This Row],[Day]]-po)</f>
        <v>3.7383947744129458</v>
      </c>
      <c r="BH77" s="95">
        <f>Tabella34[[#This Row],[rest of Italy cumul. Fit]]/Ka</f>
        <v>3.7448182897835865E-2</v>
      </c>
      <c r="BI77" s="157">
        <f>IFERROR(Ko*_xlfn.LOGNORM.DIST((Tabella34[[#This Row],[Day]]-po),mu_o,sigma_o,FALSE),0)</f>
        <v>1164.6146057079882</v>
      </c>
      <c r="BJ77" s="199">
        <f>Tabella34[[#This Row],[rest of Italy velocity]]/Tabella34[[#This Row],[rest of Italy cumul. Fit]]</f>
        <v>0.21013085050474101</v>
      </c>
      <c r="BK77" s="254">
        <f>(LN(Tabella34[[#This Row],[Day]]-po)-mu_o)/sigma_o</f>
        <v>-1.7810984691399185</v>
      </c>
      <c r="BL77" s="262">
        <f>EXP(mu_o+sigma_o*Tabella34[[#This Row],[x_o_alpha©+plus]])-(Tabella34[[#This Row],[Day]]-po)</f>
        <v>62.034047416134513</v>
      </c>
      <c r="BM77" s="262">
        <f>EXP(mu_o+sigma_o*Tabella34[[#This Row],[x_o_alpha©-minus]])-(Tabella34[[#This Row],[Day]]-po)</f>
        <v>-4.0383615691765264</v>
      </c>
      <c r="BN77" s="262">
        <f>-sigma_o+SQRT(sigma_o^2-2*Tabella34[[#This Row],[c_o]])</f>
        <v>1.5538167299511634</v>
      </c>
      <c r="BO77" s="262">
        <f>-sigma_o-SQRT(sigma_o^2-2*Tabella34[[#This Row],[c_o]])</f>
        <v>-2.1967895072501893</v>
      </c>
      <c r="BP77" s="262">
        <f>mu_o-LN(alpha*Ko/(Tabella34[[#This Row],[rest of Italy velocity]]*sigma_o*SQRTPI(2)))</f>
        <v>-1.7067041442732584</v>
      </c>
      <c r="BQ77" s="262">
        <f>Tabella34[[#This Row],[t_alpha_o+plus]]</f>
        <v>62.034047416134513</v>
      </c>
      <c r="BR77" s="90">
        <f>IFERROR(-Ka*_xlfn.LOGNORM.DIST((Tabella34[[#This Row],[Day]]-pa),mu_a,sigma_a,FALSE)*(1+(LN((Tabella34[[#This Row],[Day]]-pa))-mu_a)/sigma_a^2)/(Tabella34[[#This Row],[Day]]-pa),0)</f>
        <v>163.7905829823153</v>
      </c>
      <c r="BS77" s="95">
        <f>Tabella34[[#This Row],[rest of Italy acc. fit]]/y_a_peak</f>
        <v>4.8470954600123288E-2</v>
      </c>
      <c r="BT77" s="95">
        <f>Tabella34[[#This Row],[rest of Italy acc. fit]]*NOT(ISBLANK(Tabella34[[#This Row],[rest of Italy data]]))</f>
        <v>163.7905829823153</v>
      </c>
      <c r="BU77" s="95">
        <f>Tabella34[[#This Row],[rest of Italy acc. fit]]+CIa</f>
        <v>5502.6300181423321</v>
      </c>
      <c r="BV77" s="95">
        <f>MAX(Tabella34[[#This Row],[rest of Italy acc. fit]]-CIa,0)</f>
        <v>0</v>
      </c>
    </row>
    <row r="78" spans="2:74" x14ac:dyDescent="0.3">
      <c r="B78" s="281">
        <v>43901</v>
      </c>
      <c r="C78" s="264">
        <v>71</v>
      </c>
      <c r="D78" s="265">
        <f>Tabella8[[#This Row],[Spain cum. Cases]]</f>
        <v>2277</v>
      </c>
      <c r="E78" s="266">
        <f>(Tabella34[[#This Row],[Spain cumul. Cases]]-D77)</f>
        <v>582</v>
      </c>
      <c r="F78" s="266">
        <f>Tabella34[[#This Row],[Spain daily cases]]-E77</f>
        <v>-40</v>
      </c>
      <c r="G78" s="267">
        <f>Tabella34[[#This Row],[Spain daily cases]]*NOT(ISBLANK(Tabella34[[#This Row],[Spain daily cases]]))</f>
        <v>582</v>
      </c>
      <c r="H78" s="268">
        <f>Tabella8[[#This Row],[Spain cum. fit]]</f>
        <v>4931.6530450826949</v>
      </c>
      <c r="I78" s="268">
        <f>_xlfn.LOGNORM.INV(alpha*Tabella34[[#This Row],[Spain cumul. Fit]]/Kt,mu_t,sigma_t)-(Tabella34[[#This Row],[Day]]-pt)</f>
        <v>3.0437104096916769</v>
      </c>
      <c r="J78" s="268">
        <f>Tabella34[[#This Row],[Spain fitted d.t.]]/Spain_dt_at_lockdown</f>
        <v>0.81220311949290391</v>
      </c>
      <c r="K78" s="267">
        <f>Tabella34[[#This Row],[Spain cumul. Fit]]/Kf</f>
        <v>1.761305314608292E-2</v>
      </c>
      <c r="L78" s="266"/>
      <c r="M78" s="267"/>
      <c r="N78" s="268">
        <f>IFERROR(Kt*_xlfn.LOGNORM.DIST((Tabella34[[#This Row],[Day]]-pt),mu_t,sigma_t,FALSE),0)</f>
        <v>1234.8871771580743</v>
      </c>
      <c r="O78" s="268" t="e">
        <f>Kt*EXP(-0.5*Tabella34[[#This Row],[x_t]]^2)/(sigma_t*SQRTPI(2)*(Tabella34[[#This Row],[Day]]-D_bk))</f>
        <v>#NAME?</v>
      </c>
      <c r="P78" s="269">
        <f>Tabella34[[#This Row],[Spain fitted velocity]]/Tabella34[[#This Row],[Spain cumul. Fit]]</f>
        <v>0.25040025441152408</v>
      </c>
      <c r="Q78" s="270">
        <f>(LN(Tabella34[[#This Row],[Day]]-pt)-mu_t)/sigma_t</f>
        <v>-2.1057496297681961</v>
      </c>
      <c r="R78" s="270">
        <f>EXP(mu_t+sigma_t*Tabella34[[#This Row],[x_t_alpha©+plus]])-(Tabella34[[#This Row],[Day]]-pt)</f>
        <v>71.303012123778714</v>
      </c>
      <c r="S78" s="270">
        <f>EXP(mu_t+sigma_t*Tabella34[[#This Row],[x_t_alpha©-minus]])-(Tabella34[[#This Row],[Day]]-pt)</f>
        <v>-3.2459078732310971</v>
      </c>
      <c r="T78" s="270">
        <f>-sigma_t+SQRT(sigma_t^2-2*Tabella34[[#This Row],[c_t]])</f>
        <v>1.9132458188760697</v>
      </c>
      <c r="U78" s="270">
        <f>-sigma_t-SQRT(sigma_t^2-2*Tabella34[[#This Row],[c_t]])</f>
        <v>-2.4506851687192368</v>
      </c>
      <c r="V78" s="270">
        <f>mu_t-LN(alpha*Kt/(Tabella34[[#This Row],[Spain fitted velocity]]*sigma_t*SQRTPI(2)))</f>
        <v>-2.3443815762168381</v>
      </c>
      <c r="W78" s="270">
        <f>Tabella34[[#This Row],[Spain fitted g.r.]]/Spain_gr_at_lockdown</f>
        <v>1.2084075554123881</v>
      </c>
      <c r="X78" s="270">
        <f>Tabella34[[#This Row],[t_alpha_t+plus]]</f>
        <v>71.303012123778714</v>
      </c>
      <c r="Y78" s="270">
        <f>Tabella34[[#This Row],[Spain fitted h.t.]]/Spain_ht_at_lockdown</f>
        <v>1.1582578339574214</v>
      </c>
      <c r="Z78" s="271">
        <f>IFERROR(-Kf*_xlfn.LOGNORM.DIST((Tabella34[[#This Row],[Day]]-pf),mu_f,sigma_f,FALSE)*(1+(LN((Tabella34[[#This Row],[Day]]-pf))-mu_f)/sigma_f^2)/(Tabella34[[#This Row],[Day]]-pf),0)</f>
        <v>230.23595357168372</v>
      </c>
      <c r="AA78" s="271">
        <f>Tabella34[[#This Row],[Spain acc. fit]]/Spain_acc_at_lockdown</f>
        <v>0.78456801826893241</v>
      </c>
      <c r="AB78" s="267">
        <f>Tabella34[[#This Row],[Spain acc. fit]]/y_f_peak</f>
        <v>3.4494004601738189E-2</v>
      </c>
      <c r="AC78" s="268">
        <f>Tabella34[[#This Row],[Colonna4]]*NOT(ISBLANK(Tabella34[[#This Row],[Spain daily cases]]))</f>
        <v>0</v>
      </c>
      <c r="AD78" s="268">
        <f>Tabella34[[#This Row],[Spain acc. fit]]*NOT(ISBLANK(Tabella34[[#This Row],[Spain daily cases]]))</f>
        <v>230.23595357168372</v>
      </c>
      <c r="AE78" s="267">
        <f>Tabella34[[#This Row],[Spain acc. fit]]+CIf</f>
        <v>2572.9243712527764</v>
      </c>
      <c r="AF78" s="267">
        <f>MAX(Tabella34[[#This Row],[Spain acc. fit]]-CIf,0)</f>
        <v>0</v>
      </c>
      <c r="AG78" s="272">
        <f>Tabella8[[#This Row],[Lombardy]]</f>
        <v>0</v>
      </c>
      <c r="AH78" s="266">
        <f>(Tabella34[[#This Row],[Lombardy cumul. Data]]-AG77)</f>
        <v>0</v>
      </c>
      <c r="AI78" s="266">
        <f>Tabella34[[#This Row],[Lombardy data]]-AH77</f>
        <v>0</v>
      </c>
      <c r="AJ78" s="267">
        <f>Tabella34[[#This Row],[Lombardy data]]*NOT(ISBLANK(Tabella34[[#This Row],[Lombardy data]]))</f>
        <v>0</v>
      </c>
      <c r="AK78" s="267">
        <f>Tabella8[[#This Row],[Lombardy fit]]</f>
        <v>8756.9145256784268</v>
      </c>
      <c r="AL78" s="268">
        <f>_xlfn.LOGNORM.INV(alpha*Tabella34[[#This Row],[Lombardy cumul. Fit]]/Kr,mu_r,sigma_r)-(Tabella34[[#This Row],[Day]]-pr)</f>
        <v>6.4413904418615999</v>
      </c>
      <c r="AM78" s="267">
        <f>Tabella34[[#This Row],[Lombardy cumul. Fit]]/Kl</f>
        <v>0.10065418995032674</v>
      </c>
      <c r="AN78" s="267">
        <f>IFERROR(Kr*_xlfn.LOGNORM.DIST((Tabella34[[#This Row],[Day]]-pr),mu_r,sigma_r,FALSE),0)</f>
        <v>1132.9063779653745</v>
      </c>
      <c r="AO78" s="273">
        <f>Tabella34[[#This Row],[Lombardy velocity]]/Tabella34[[#This Row],[Lombardy cumul. Fit]]</f>
        <v>0.1293727801776853</v>
      </c>
      <c r="AP78" s="274">
        <f>(LN(Tabella34[[#This Row],[Day]]-pr)-mu_r)/sigma_r</f>
        <v>-1.2778328188798438</v>
      </c>
      <c r="AQ78" s="270">
        <f>EXP(mu_r+sigma_r*Tabella34[[#This Row],[x_r_alpha©+plus]])-(Tabella34[[#This Row],[Day]]-pr)</f>
        <v>51.578759342402293</v>
      </c>
      <c r="AR78" s="270">
        <f>EXP(mu_r+sigma_r*Tabella34[[#This Row],[x_r_alpha©-minus]])-(Tabella34[[#This Row],[Day]]-pr)</f>
        <v>-6.9890794823984237</v>
      </c>
      <c r="AS78" s="270">
        <f>-sigma_r+SQRT(sigma_r^2-2*Tabella34[[#This Row],[c_r]])</f>
        <v>1.1645721932890614</v>
      </c>
      <c r="AT78" s="270">
        <f>-sigma_r-SQRT(sigma_r^2-2*Tabella34[[#This Row],[c_r]])</f>
        <v>-1.8454267904827906</v>
      </c>
      <c r="AU78" s="270">
        <f>mu_r-LN(alpha*Kr/(Tabella34[[#This Row],[Lombardy velocity]]*sigma_r*SQRTPI(2)))</f>
        <v>-1.074566362473468</v>
      </c>
      <c r="AV78" s="270">
        <f>Tabella34[[#This Row],[t_alpha_r+plus]]</f>
        <v>51.578759342402293</v>
      </c>
      <c r="AW78" s="266">
        <f>IFERROR(-Kl*_xlfn.LOGNORM.DIST((Tabella34[[#This Row],[Day]]-pl),mu_l,sigma_l,FALSE)*(1+(LN((Tabella34[[#This Row],[Day]]-pl))-mu_l)/sigma_l^2)/(Tabella34[[#This Row],[Day]]-pl),0)</f>
        <v>78.425367396800439</v>
      </c>
      <c r="AX78" s="267">
        <f>Tabella34[[#This Row],[Lombardy acc. fit]]/y_l_peak</f>
        <v>4.4611716993267859E-2</v>
      </c>
      <c r="AY78" s="268">
        <f>Tabella34[[#This Row],[Lombardy acc. fit]]*NOT(ISBLANK(Tabella34[[#This Row],[Lombardy data]]))</f>
        <v>78.425367396800439</v>
      </c>
      <c r="AZ78" s="267">
        <f>Tabella34[[#This Row],[Lombardy acc. fit]]+CIl</f>
        <v>2648.8076903132092</v>
      </c>
      <c r="BA78" s="267">
        <f>MAX(Tabella34[[#This Row],[Lombardy acc. fit]]-CIl,0)</f>
        <v>0</v>
      </c>
      <c r="BB78" s="265">
        <f>Tabella8[[#This Row],[rest of Italy ]]</f>
        <v>2277</v>
      </c>
      <c r="BC78" s="265">
        <f>(Tabella34[[#This Row],[rest of Italy cum. Data]]-BB77)</f>
        <v>582</v>
      </c>
      <c r="BD78" s="265">
        <f>Tabella34[[#This Row],[rest of Italy data]]-BC77</f>
        <v>-40</v>
      </c>
      <c r="BE78" s="267">
        <f>Tabella34[[#This Row],[rest of Italy data]]*NOT(ISBLANK(Tabella34[[#This Row],[rest of Italy data]]))</f>
        <v>582</v>
      </c>
      <c r="BF78" s="267">
        <f>Tabella8[[#This Row],[rest of Italy fit]]</f>
        <v>6789.9411612720642</v>
      </c>
      <c r="BG78" s="268">
        <f>_xlfn.LOGNORM.INV(alpha*Tabella34[[#This Row],[rest of Italy cumul. Fit]]/Ko,mu_o,sigma_o)-(Tabella34[[#This Row],[Day]]-po)</f>
        <v>4.0379503817983462</v>
      </c>
      <c r="BH78" s="267">
        <f>Tabella34[[#This Row],[rest of Italy cumul. Fit]]/Ka</f>
        <v>4.5877986160131265E-2</v>
      </c>
      <c r="BI78" s="268">
        <f>IFERROR(Ko*_xlfn.LOGNORM.DIST((Tabella34[[#This Row],[Day]]-po),mu_o,sigma_o,FALSE),0)</f>
        <v>1331.6157009039941</v>
      </c>
      <c r="BJ78" s="269">
        <f>Tabella34[[#This Row],[rest of Italy velocity]]/Tabella34[[#This Row],[rest of Italy cumul. Fit]]</f>
        <v>0.19611594110699512</v>
      </c>
      <c r="BK78" s="275">
        <f>(LN(Tabella34[[#This Row],[Day]]-po)-mu_o)/sigma_o</f>
        <v>-1.6862068119142506</v>
      </c>
      <c r="BL78" s="270">
        <f>EXP(mu_o+sigma_o*Tabella34[[#This Row],[x_o_alpha©+plus]])-(Tabella34[[#This Row],[Day]]-po)</f>
        <v>58.850125483065497</v>
      </c>
      <c r="BM78" s="270">
        <f>EXP(mu_o+sigma_o*Tabella34[[#This Row],[x_o_alpha©-minus]])-(Tabella34[[#This Row],[Day]]-po)</f>
        <v>-4.3688581659445731</v>
      </c>
      <c r="BN78" s="270">
        <f>-sigma_o+SQRT(sigma_o^2-2*Tabella34[[#This Row],[c_o]])</f>
        <v>1.4809442465749818</v>
      </c>
      <c r="BO78" s="270">
        <f>-sigma_o-SQRT(sigma_o^2-2*Tabella34[[#This Row],[c_o]])</f>
        <v>-2.1239170238740082</v>
      </c>
      <c r="BP78" s="270">
        <f>mu_o-LN(alpha*Ko/(Tabella34[[#This Row],[rest of Italy velocity]]*sigma_o*SQRTPI(2)))</f>
        <v>-1.5727013483544354</v>
      </c>
      <c r="BQ78" s="270">
        <f>Tabella34[[#This Row],[t_alpha_o+plus]]</f>
        <v>58.850125483065497</v>
      </c>
      <c r="BR78" s="266">
        <f>IFERROR(-Ka*_xlfn.LOGNORM.DIST((Tabella34[[#This Row],[Day]]-pa),mu_a,sigma_a,FALSE)*(1+(LN((Tabella34[[#This Row],[Day]]-pa))-mu_a)/sigma_a^2)/(Tabella34[[#This Row],[Day]]-pa),0)</f>
        <v>169.84121751276737</v>
      </c>
      <c r="BS78" s="267">
        <f>Tabella34[[#This Row],[rest of Italy acc. fit]]/y_a_peak</f>
        <v>5.0261533925792738E-2</v>
      </c>
      <c r="BT78" s="267">
        <f>Tabella34[[#This Row],[rest of Italy acc. fit]]*NOT(ISBLANK(Tabella34[[#This Row],[rest of Italy data]]))</f>
        <v>169.84121751276737</v>
      </c>
      <c r="BU78" s="267">
        <f>Tabella34[[#This Row],[rest of Italy acc. fit]]+CIa</f>
        <v>5508.6806526727851</v>
      </c>
      <c r="BV78" s="276">
        <f>MAX(Tabella34[[#This Row],[rest of Italy acc. fit]]-CIa,0)</f>
        <v>0</v>
      </c>
    </row>
    <row r="79" spans="2:74" x14ac:dyDescent="0.3">
      <c r="B79" s="281">
        <v>43902</v>
      </c>
      <c r="C79" s="29">
        <v>72</v>
      </c>
      <c r="D79" s="10">
        <f>Tabella8[[#This Row],[Spain cum. Cases]]</f>
        <v>2277</v>
      </c>
      <c r="E79" s="90">
        <f>(Tabella34[[#This Row],[Spain cumul. Cases]]-D78)</f>
        <v>0</v>
      </c>
      <c r="F79" s="90">
        <f>Tabella34[[#This Row],[Spain daily cases]]-E78</f>
        <v>-582</v>
      </c>
      <c r="G79" s="95">
        <f>Tabella34[[#This Row],[Spain daily cases]]*NOT(ISBLANK(Tabella34[[#This Row],[Spain daily cases]]))</f>
        <v>0</v>
      </c>
      <c r="H79" s="157">
        <f>Tabella8[[#This Row],[Spain cum. fit]]</f>
        <v>6285.5885610080541</v>
      </c>
      <c r="I79" s="157">
        <f>_xlfn.LOGNORM.INV(alpha*Tabella34[[#This Row],[Spain cumul. Fit]]/Kt,mu_t,sigma_t)-(Tabella34[[#This Row],[Day]]-pt)</f>
        <v>3.2626065820749588</v>
      </c>
      <c r="J79" s="157">
        <f>Tabella34[[#This Row],[Spain fitted d.t.]]/Spain_dt_at_lockdown</f>
        <v>0.87061477176069224</v>
      </c>
      <c r="K79" s="95">
        <f>Tabella34[[#This Row],[Spain cumul. Fit]]/Kf</f>
        <v>2.2448538931551971E-2</v>
      </c>
      <c r="L79" s="160"/>
      <c r="M79" s="95"/>
      <c r="N79" s="157">
        <f>IFERROR(Kt*_xlfn.LOGNORM.DIST((Tabella34[[#This Row],[Day]]-pt),mu_t,sigma_t,FALSE),0)</f>
        <v>1476.851098703266</v>
      </c>
      <c r="O79" s="157" t="e">
        <f>Kt*EXP(-0.5*Tabella34[[#This Row],[x_t]]^2)/(sigma_t*SQRTPI(2)*(Tabella34[[#This Row],[Day]]-D_bk))</f>
        <v>#NAME?</v>
      </c>
      <c r="P79" s="199">
        <f>Tabella34[[#This Row],[Spain fitted velocity]]/Tabella34[[#This Row],[Spain cumul. Fit]]</f>
        <v>0.23495828343979538</v>
      </c>
      <c r="Q79" s="262">
        <f>(LN(Tabella34[[#This Row],[Day]]-pt)-mu_t)/sigma_t</f>
        <v>-2.005617457607288</v>
      </c>
      <c r="R79" s="262">
        <f>EXP(mu_t+sigma_t*Tabella34[[#This Row],[x_t_alpha©+plus]])-(Tabella34[[#This Row],[Day]]-pt)</f>
        <v>67.904320708786642</v>
      </c>
      <c r="S79" s="262">
        <f>EXP(mu_t+sigma_t*Tabella34[[#This Row],[x_t_alpha©-minus]])-(Tabella34[[#This Row],[Day]]-pt)</f>
        <v>-3.4865513765111942</v>
      </c>
      <c r="T79" s="262">
        <f>-sigma_t+SQRT(sigma_t^2-2*Tabella34[[#This Row],[c_t]])</f>
        <v>1.8296387950778608</v>
      </c>
      <c r="U79" s="262">
        <f>-sigma_t-SQRT(sigma_t^2-2*Tabella34[[#This Row],[c_t]])</f>
        <v>-2.3670781449210279</v>
      </c>
      <c r="V79" s="262">
        <f>mu_t-LN(alpha*Kt/(Tabella34[[#This Row],[Spain fitted velocity]]*sigma_t*SQRTPI(2)))</f>
        <v>-2.1654490024642241</v>
      </c>
      <c r="W79" s="262">
        <f>Tabella34[[#This Row],[Spain fitted g.r.]]/Spain_gr_at_lockdown</f>
        <v>1.1338860880259041</v>
      </c>
      <c r="X79" s="262">
        <f>Tabella34[[#This Row],[t_alpha_t+plus]]</f>
        <v>67.904320708786642</v>
      </c>
      <c r="Y79" s="262">
        <f>Tabella34[[#This Row],[Spain fitted h.t.]]/Spain_ht_at_lockdown</f>
        <v>1.1030489326870976</v>
      </c>
      <c r="Z79" s="90">
        <f>IFERROR(-Kf*_xlfn.LOGNORM.DIST((Tabella34[[#This Row],[Day]]-pf),mu_f,sigma_f,FALSE)*(1+(LN((Tabella34[[#This Row],[Day]]-pf))-mu_f)/sigma_f^2)/(Tabella34[[#This Row],[Day]]-pf),0)</f>
        <v>253.4281328284041</v>
      </c>
      <c r="AA79" s="90">
        <f>Tabella34[[#This Row],[Spain acc. fit]]/Spain_acc_at_lockdown</f>
        <v>0.86359929829495885</v>
      </c>
      <c r="AB79" s="95">
        <f>Tabella34[[#This Row],[Spain acc. fit]]/y_f_peak</f>
        <v>3.7968662341310445E-2</v>
      </c>
      <c r="AC79" s="157">
        <f>Tabella34[[#This Row],[Colonna4]]*NOT(ISBLANK(Tabella34[[#This Row],[Spain daily cases]]))</f>
        <v>0</v>
      </c>
      <c r="AD79" s="157">
        <f>Tabella34[[#This Row],[Spain acc. fit]]*NOT(ISBLANK(Tabella34[[#This Row],[Spain daily cases]]))</f>
        <v>253.4281328284041</v>
      </c>
      <c r="AE79" s="95">
        <f>Tabella34[[#This Row],[Spain acc. fit]]+CIf</f>
        <v>2596.1165505094968</v>
      </c>
      <c r="AF79" s="95">
        <f>MAX(Tabella34[[#This Row],[Spain acc. fit]]-CIf,0)</f>
        <v>0</v>
      </c>
      <c r="AG79" s="4">
        <f>Tabella8[[#This Row],[Lombardy]]</f>
        <v>0</v>
      </c>
      <c r="AH79" s="90">
        <f>(Tabella34[[#This Row],[Lombardy cumul. Data]]-AG78)</f>
        <v>0</v>
      </c>
      <c r="AI79" s="90">
        <f>Tabella34[[#This Row],[Lombardy data]]-AH78</f>
        <v>0</v>
      </c>
      <c r="AJ79" s="95">
        <f>Tabella34[[#This Row],[Lombardy data]]*NOT(ISBLANK(Tabella34[[#This Row],[Lombardy data]]))</f>
        <v>0</v>
      </c>
      <c r="AK79" s="95">
        <f>Tabella8[[#This Row],[Lombardy fit]]</f>
        <v>9928.5494264847639</v>
      </c>
      <c r="AL79" s="157">
        <f>_xlfn.LOGNORM.INV(alpha*Tabella34[[#This Row],[Lombardy cumul. Fit]]/Kr,mu_r,sigma_r)-(Tabella34[[#This Row],[Day]]-pr)</f>
        <v>6.9168792118976725</v>
      </c>
      <c r="AM79" s="95">
        <f>Tabella34[[#This Row],[Lombardy cumul. Fit]]/Kl</f>
        <v>0.11412125777568694</v>
      </c>
      <c r="AN79" s="95">
        <f>IFERROR(Kr*_xlfn.LOGNORM.DIST((Tabella34[[#This Row],[Day]]-pr),mu_r,sigma_r,FALSE),0)</f>
        <v>1209.8492131042087</v>
      </c>
      <c r="AO79" s="202">
        <f>Tabella34[[#This Row],[Lombardy velocity]]/Tabella34[[#This Row],[Lombardy cumul. Fit]]</f>
        <v>0.12185558646431192</v>
      </c>
      <c r="AP79" s="259">
        <f>(LN(Tabella34[[#This Row],[Day]]-pr)-mu_r)/sigma_r</f>
        <v>-1.204898428022253</v>
      </c>
      <c r="AQ79" s="262">
        <f>EXP(mu_r+sigma_r*Tabella34[[#This Row],[x_r_alpha©+plus]])-(Tabella34[[#This Row],[Day]]-pr)</f>
        <v>49.210952806937058</v>
      </c>
      <c r="AR79" s="262">
        <f>EXP(mu_r+sigma_r*Tabella34[[#This Row],[x_r_alpha©-minus]])-(Tabella34[[#This Row],[Day]]-pr)</f>
        <v>-7.4906992833825186</v>
      </c>
      <c r="AS79" s="262">
        <f>-sigma_r+SQRT(sigma_r^2-2*Tabella34[[#This Row],[c_r]])</f>
        <v>1.1202590793535481</v>
      </c>
      <c r="AT79" s="262">
        <f>-sigma_r-SQRT(sigma_r^2-2*Tabella34[[#This Row],[c_r]])</f>
        <v>-1.8011136765472773</v>
      </c>
      <c r="AU79" s="262">
        <f>mu_r-LN(alpha*Kr/(Tabella34[[#This Row],[Lombardy velocity]]*sigma_r*SQRTPI(2)))</f>
        <v>-1.0088569745499685</v>
      </c>
      <c r="AV79" s="262">
        <f>Tabella34[[#This Row],[t_alpha_r+plus]]</f>
        <v>49.210952806937058</v>
      </c>
      <c r="AW79" s="90">
        <f>IFERROR(-Kl*_xlfn.LOGNORM.DIST((Tabella34[[#This Row],[Day]]-pl),mu_l,sigma_l,FALSE)*(1+(LN((Tabella34[[#This Row],[Day]]-pl))-mu_l)/sigma_l^2)/(Tabella34[[#This Row],[Day]]-pl),0)</f>
        <v>75.341408964180644</v>
      </c>
      <c r="AX79" s="95">
        <f>Tabella34[[#This Row],[Lombardy acc. fit]]/y_l_peak</f>
        <v>4.2857428994603673E-2</v>
      </c>
      <c r="AY79" s="157">
        <f>Tabella34[[#This Row],[Lombardy acc. fit]]*NOT(ISBLANK(Tabella34[[#This Row],[Lombardy data]]))</f>
        <v>75.341408964180644</v>
      </c>
      <c r="AZ79" s="95">
        <f>Tabella34[[#This Row],[Lombardy acc. fit]]+CIl</f>
        <v>2645.7237318805892</v>
      </c>
      <c r="BA79" s="95">
        <f>MAX(Tabella34[[#This Row],[Lombardy acc. fit]]-CIl,0)</f>
        <v>0</v>
      </c>
      <c r="BB79" s="10">
        <f>Tabella8[[#This Row],[rest of Italy ]]</f>
        <v>2277</v>
      </c>
      <c r="BC79" s="10">
        <f>(Tabella34[[#This Row],[rest of Italy cum. Data]]-BB78)</f>
        <v>0</v>
      </c>
      <c r="BD79" s="10">
        <f>Tabella34[[#This Row],[rest of Italy data]]-BC78</f>
        <v>-582</v>
      </c>
      <c r="BE79" s="95">
        <f>Tabella34[[#This Row],[rest of Italy data]]*NOT(ISBLANK(Tabella34[[#This Row],[rest of Italy data]]))</f>
        <v>0</v>
      </c>
      <c r="BF79" s="95">
        <f>Tabella8[[#This Row],[rest of Italy fit]]</f>
        <v>8207.2029099055053</v>
      </c>
      <c r="BG79" s="157">
        <f>_xlfn.LOGNORM.INV(alpha*Tabella34[[#This Row],[rest of Italy cumul. Fit]]/Ko,mu_o,sigma_o)-(Tabella34[[#This Row],[Day]]-po)</f>
        <v>4.3603051242150386</v>
      </c>
      <c r="BH79" s="95">
        <f>Tabella34[[#This Row],[rest of Italy cumul. Fit]]/Ka</f>
        <v>5.5454080171070688E-2</v>
      </c>
      <c r="BI79" s="157">
        <f>IFERROR(Ko*_xlfn.LOGNORM.DIST((Tabella34[[#This Row],[Day]]-po),mu_o,sigma_o,FALSE),0)</f>
        <v>1503.53664763659</v>
      </c>
      <c r="BJ79" s="199">
        <f>Tabella34[[#This Row],[rest of Italy velocity]]/Tabella34[[#This Row],[rest of Italy cumul. Fit]]</f>
        <v>0.1831972066661017</v>
      </c>
      <c r="BK79" s="254">
        <f>(LN(Tabella34[[#This Row],[Day]]-po)-mu_o)/sigma_o</f>
        <v>-1.5941244648212749</v>
      </c>
      <c r="BL79" s="262">
        <f>EXP(mu_o+sigma_o*Tabella34[[#This Row],[x_o_alpha©+plus]])-(Tabella34[[#This Row],[Day]]-po)</f>
        <v>55.838247993008139</v>
      </c>
      <c r="BM79" s="262">
        <f>EXP(mu_o+sigma_o*Tabella34[[#This Row],[x_o_alpha©-minus]])-(Tabella34[[#This Row],[Day]]-po)</f>
        <v>-4.7233818651901842</v>
      </c>
      <c r="BN79" s="262">
        <f>-sigma_o+SQRT(sigma_o^2-2*Tabella34[[#This Row],[c_o]])</f>
        <v>1.4122673522381759</v>
      </c>
      <c r="BO79" s="262">
        <f>-sigma_o-SQRT(sigma_o^2-2*Tabella34[[#This Row],[c_o]])</f>
        <v>-2.0552401295372018</v>
      </c>
      <c r="BP79" s="262">
        <f>mu_o-LN(alpha*Ko/(Tabella34[[#This Row],[rest of Italy velocity]]*sigma_o*SQRTPI(2)))</f>
        <v>-1.451274267977575</v>
      </c>
      <c r="BQ79" s="262">
        <f>Tabella34[[#This Row],[t_alpha_o+plus]]</f>
        <v>55.838247993008139</v>
      </c>
      <c r="BR79" s="90">
        <f>IFERROR(-Ka*_xlfn.LOGNORM.DIST((Tabella34[[#This Row],[Day]]-pa),mu_a,sigma_a,FALSE)*(1+(LN((Tabella34[[#This Row],[Day]]-pa))-mu_a)/sigma_a^2)/(Tabella34[[#This Row],[Day]]-pa),0)</f>
        <v>173.61326783432554</v>
      </c>
      <c r="BS79" s="95">
        <f>Tabella34[[#This Row],[rest of Italy acc. fit]]/y_a_peak</f>
        <v>5.1377806159254212E-2</v>
      </c>
      <c r="BT79" s="95">
        <f>Tabella34[[#This Row],[rest of Italy acc. fit]]*NOT(ISBLANK(Tabella34[[#This Row],[rest of Italy data]]))</f>
        <v>173.61326783432554</v>
      </c>
      <c r="BU79" s="95">
        <f>Tabella34[[#This Row],[rest of Italy acc. fit]]+CIa</f>
        <v>5512.4527029943429</v>
      </c>
      <c r="BV79" s="95">
        <f>MAX(Tabella34[[#This Row],[rest of Italy acc. fit]]-CIa,0)</f>
        <v>0</v>
      </c>
    </row>
    <row r="80" spans="2:74" x14ac:dyDescent="0.3">
      <c r="B80" s="281">
        <v>43903</v>
      </c>
      <c r="C80" s="189">
        <v>73</v>
      </c>
      <c r="D80" s="144">
        <f>Tabella8[[#This Row],[Spain cum. Cases]]</f>
        <v>5232</v>
      </c>
      <c r="E80" s="142">
        <f>(Tabella34[[#This Row],[Spain cumul. Cases]]-D79)</f>
        <v>2955</v>
      </c>
      <c r="F80" s="142">
        <f>Tabella34[[#This Row],[Spain daily cases]]-E79</f>
        <v>2955</v>
      </c>
      <c r="G80" s="143">
        <f>Tabella34[[#This Row],[Spain daily cases]]*NOT(ISBLANK(Tabella34[[#This Row],[Spain daily cases]]))</f>
        <v>2955</v>
      </c>
      <c r="H80" s="210">
        <f>Tabella8[[#This Row],[Spain cum. fit]]</f>
        <v>7892.7926348682258</v>
      </c>
      <c r="I80" s="210">
        <f>_xlfn.LOGNORM.INV(alpha*Tabella34[[#This Row],[Spain cumul. Fit]]/Kt,mu_t,sigma_t)-(Tabella34[[#This Row],[Day]]-pt)</f>
        <v>3.4967329578260546</v>
      </c>
      <c r="J80" s="210">
        <f>Tabella34[[#This Row],[Spain fitted d.t.]]/Spain_dt_at_lockdown</f>
        <v>0.93309054873839448</v>
      </c>
      <c r="K80" s="143">
        <f>Tabella34[[#This Row],[Spain cumul. Fit]]/Kf</f>
        <v>2.8188555617787756E-2</v>
      </c>
      <c r="L80" s="142"/>
      <c r="M80" s="143"/>
      <c r="N80" s="210">
        <f>IFERROR(Kt*_xlfn.LOGNORM.DIST((Tabella34[[#This Row],[Day]]-pt),mu_t,sigma_t,FALSE),0)</f>
        <v>1741.1054449915209</v>
      </c>
      <c r="O80" s="210" t="e">
        <f>Kt*EXP(-0.5*Tabella34[[#This Row],[x_t]]^2)/(sigma_t*SQRTPI(2)*(Tabella34[[#This Row],[Day]]-D_bk))</f>
        <v>#NAME?</v>
      </c>
      <c r="P80" s="211">
        <f>Tabella34[[#This Row],[Spain fitted velocity]]/Tabella34[[#This Row],[Spain cumul. Fit]]</f>
        <v>0.22059434797511179</v>
      </c>
      <c r="Q80" s="262">
        <f>(LN(Tabella34[[#This Row],[Day]]-pt)-mu_t)/sigma_t</f>
        <v>-1.9081091430876502</v>
      </c>
      <c r="R80" s="262">
        <f>EXP(mu_t+sigma_t*Tabella34[[#This Row],[x_t_alpha©+plus]])-(Tabella34[[#This Row],[Day]]-pt)</f>
        <v>64.659856413322558</v>
      </c>
      <c r="S80" s="262">
        <f>EXP(mu_t+sigma_t*Tabella34[[#This Row],[x_t_alpha©-minus]])-(Tabella34[[#This Row],[Day]]-pt)</f>
        <v>-3.7440897116564287</v>
      </c>
      <c r="T80" s="262">
        <f>-sigma_t+SQRT(sigma_t^2-2*Tabella34[[#This Row],[c_t]])</f>
        <v>1.7496688380891572</v>
      </c>
      <c r="U80" s="262">
        <f>-sigma_t-SQRT(sigma_t^2-2*Tabella34[[#This Row],[c_t]])</f>
        <v>-2.2871081879323243</v>
      </c>
      <c r="V80" s="262">
        <f>mu_t-LN(alpha*Kt/(Tabella34[[#This Row],[Spain fitted velocity]]*sigma_t*SQRTPI(2)))</f>
        <v>-2.000840962881874</v>
      </c>
      <c r="W80" s="262">
        <f>Tabella34[[#This Row],[Spain fitted g.r.]]/Spain_gr_at_lockdown</f>
        <v>1.0645671163588337</v>
      </c>
      <c r="X80" s="262">
        <f>Tabella34[[#This Row],[t_alpha_t+plus]]</f>
        <v>64.659856413322558</v>
      </c>
      <c r="Y80" s="262">
        <f>Tabella34[[#This Row],[Spain fitted h.t.]]/Spain_ht_at_lockdown</f>
        <v>1.0503453220641292</v>
      </c>
      <c r="Z80" s="142">
        <f>IFERROR(-Kf*_xlfn.LOGNORM.DIST((Tabella34[[#This Row],[Day]]-pf),mu_f,sigma_f,FALSE)*(1+(LN((Tabella34[[#This Row],[Day]]-pf))-mu_f)/sigma_f^2)/(Tabella34[[#This Row],[Day]]-pf),0)</f>
        <v>274.70812727903939</v>
      </c>
      <c r="AA80" s="142">
        <f>Tabella34[[#This Row],[Spain acc. fit]]/Spain_acc_at_lockdown</f>
        <v>0.93611448463274616</v>
      </c>
      <c r="AB80" s="143">
        <f>Tabella34[[#This Row],[Spain acc. fit]]/y_f_peak</f>
        <v>4.1156836104434873E-2</v>
      </c>
      <c r="AC80" s="210">
        <f>Tabella34[[#This Row],[Colonna4]]*NOT(ISBLANK(Tabella34[[#This Row],[Spain daily cases]]))</f>
        <v>0</v>
      </c>
      <c r="AD80" s="210">
        <f>Tabella34[[#This Row],[Spain acc. fit]]*NOT(ISBLANK(Tabella34[[#This Row],[Spain daily cases]]))</f>
        <v>274.70812727903939</v>
      </c>
      <c r="AE80" s="143">
        <f>Tabella34[[#This Row],[Spain acc. fit]]+CIf</f>
        <v>2617.3965449601319</v>
      </c>
      <c r="AF80" s="143">
        <f>MAX(Tabella34[[#This Row],[Spain acc. fit]]-CIf,0)</f>
        <v>0</v>
      </c>
      <c r="AG80" s="141">
        <f>Tabella8[[#This Row],[Lombardy]]</f>
        <v>0</v>
      </c>
      <c r="AH80" s="142">
        <f>(Tabella34[[#This Row],[Lombardy cumul. Data]]-AG79)</f>
        <v>0</v>
      </c>
      <c r="AI80" s="142">
        <f>Tabella34[[#This Row],[Lombardy data]]-AH79</f>
        <v>0</v>
      </c>
      <c r="AJ80" s="143">
        <f>Tabella34[[#This Row],[Lombardy data]]*NOT(ISBLANK(Tabella34[[#This Row],[Lombardy data]]))</f>
        <v>0</v>
      </c>
      <c r="AK80" s="143">
        <f>Tabella8[[#This Row],[Lombardy fit]]</f>
        <v>11175.46964004266</v>
      </c>
      <c r="AL80" s="210">
        <f>_xlfn.LOGNORM.INV(alpha*Tabella34[[#This Row],[Lombardy cumul. Fit]]/Kr,mu_r,sigma_r)-(Tabella34[[#This Row],[Day]]-pr)</f>
        <v>7.4298887754686476</v>
      </c>
      <c r="AM80" s="143">
        <f>Tabella34[[#This Row],[Lombardy cumul. Fit]]/Kl</f>
        <v>0.12845367402347885</v>
      </c>
      <c r="AN80" s="143">
        <f>IFERROR(Kr*_xlfn.LOGNORM.DIST((Tabella34[[#This Row],[Day]]-pr),mu_r,sigma_r,FALSE),0)</f>
        <v>1283.3648504414211</v>
      </c>
      <c r="AO80" s="203">
        <f>Tabella34[[#This Row],[Lombardy velocity]]/Tabella34[[#This Row],[Lombardy cumul. Fit]]</f>
        <v>0.11483766604698344</v>
      </c>
      <c r="AP80" s="261">
        <f>(LN(Tabella34[[#This Row],[Day]]-pr)-mu_r)/sigma_r</f>
        <v>-1.1337311284924254</v>
      </c>
      <c r="AQ80" s="262">
        <f>EXP(mu_r+sigma_r*Tabella34[[#This Row],[x_r_alpha©+plus]])-(Tabella34[[#This Row],[Day]]-pr)</f>
        <v>46.964891395265752</v>
      </c>
      <c r="AR80" s="262">
        <f>EXP(mu_r+sigma_r*Tabella34[[#This Row],[x_r_alpha©-minus]])-(Tabella34[[#This Row],[Day]]-pr)</f>
        <v>-8.0233057571671651</v>
      </c>
      <c r="AS80" s="262">
        <f>-sigma_r+SQRT(sigma_r^2-2*Tabella34[[#This Row],[c_r]])</f>
        <v>1.0792999032439872</v>
      </c>
      <c r="AT80" s="262">
        <f>-sigma_r-SQRT(sigma_r^2-2*Tabella34[[#This Row],[c_r]])</f>
        <v>-1.7601545004377164</v>
      </c>
      <c r="AU80" s="262">
        <f>mu_r-LN(alpha*Kr/(Tabella34[[#This Row],[Lombardy velocity]]*sigma_r*SQRTPI(2)))</f>
        <v>-0.9498672910084478</v>
      </c>
      <c r="AV80" s="262">
        <f>Tabella34[[#This Row],[t_alpha_r+plus]]</f>
        <v>46.964891395265752</v>
      </c>
      <c r="AW80" s="142">
        <f>IFERROR(-Kl*_xlfn.LOGNORM.DIST((Tabella34[[#This Row],[Day]]-pl),mu_l,sigma_l,FALSE)*(1+(LN((Tabella34[[#This Row],[Day]]-pl))-mu_l)/sigma_l^2)/(Tabella34[[#This Row],[Day]]-pl),0)</f>
        <v>71.584650660600403</v>
      </c>
      <c r="AX80" s="143">
        <f>Tabella34[[#This Row],[Lombardy acc. fit]]/y_l_peak</f>
        <v>4.0720423535598731E-2</v>
      </c>
      <c r="AY80" s="210">
        <f>Tabella34[[#This Row],[Lombardy acc. fit]]*NOT(ISBLANK(Tabella34[[#This Row],[Lombardy data]]))</f>
        <v>71.584650660600403</v>
      </c>
      <c r="AZ80" s="143">
        <f>Tabella34[[#This Row],[Lombardy acc. fit]]+CIl</f>
        <v>2641.966973577009</v>
      </c>
      <c r="BA80" s="143">
        <f>MAX(Tabella34[[#This Row],[Lombardy acc. fit]]-CIl,0)</f>
        <v>0</v>
      </c>
      <c r="BB80" s="144">
        <f>Tabella8[[#This Row],[rest of Italy ]]</f>
        <v>5232</v>
      </c>
      <c r="BC80" s="144">
        <f>(Tabella34[[#This Row],[rest of Italy cum. Data]]-BB79)</f>
        <v>2955</v>
      </c>
      <c r="BD80" s="144">
        <f>Tabella34[[#This Row],[rest of Italy data]]-BC79</f>
        <v>2955</v>
      </c>
      <c r="BE80" s="143">
        <f>Tabella34[[#This Row],[rest of Italy data]]*NOT(ISBLANK(Tabella34[[#This Row],[rest of Italy data]]))</f>
        <v>2955</v>
      </c>
      <c r="BF80" s="143">
        <f>Tabella8[[#This Row],[rest of Italy fit]]</f>
        <v>9797.8824105135063</v>
      </c>
      <c r="BG80" s="210">
        <f>_xlfn.LOGNORM.INV(alpha*Tabella34[[#This Row],[rest of Italy cumul. Fit]]/Ko,mu_o,sigma_o)-(Tabella34[[#This Row],[Day]]-po)</f>
        <v>4.7077328125698372</v>
      </c>
      <c r="BH80" s="143">
        <f>Tabella34[[#This Row],[rest of Italy cumul. Fit]]/Ka</f>
        <v>6.6201915885809995E-2</v>
      </c>
      <c r="BI80" s="210">
        <f>IFERROR(Ko*_xlfn.LOGNORM.DIST((Tabella34[[#This Row],[Day]]-po),mu_o,sigma_o,FALSE),0)</f>
        <v>1678.0605794728556</v>
      </c>
      <c r="BJ80" s="211">
        <f>Tabella34[[#This Row],[rest of Italy velocity]]/Tabella34[[#This Row],[rest of Italy cumul. Fit]]</f>
        <v>0.17126767899074108</v>
      </c>
      <c r="BK80" s="257">
        <f>(LN(Tabella34[[#This Row],[Day]]-po)-mu_o)/sigma_o</f>
        <v>-1.5046898579744565</v>
      </c>
      <c r="BL80" s="262">
        <f>EXP(mu_o+sigma_o*Tabella34[[#This Row],[x_o_alpha©+plus]])-(Tabella34[[#This Row],[Day]]-po)</f>
        <v>52.987538249240416</v>
      </c>
      <c r="BM80" s="262">
        <f>EXP(mu_o+sigma_o*Tabella34[[#This Row],[x_o_alpha©-minus]])-(Tabella34[[#This Row],[Day]]-po)</f>
        <v>-5.1036309189981175</v>
      </c>
      <c r="BN80" s="262">
        <f>-sigma_o+SQRT(sigma_o^2-2*Tabella34[[#This Row],[c_o]])</f>
        <v>1.3477244461291473</v>
      </c>
      <c r="BO80" s="262">
        <f>-sigma_o-SQRT(sigma_o^2-2*Tabella34[[#This Row],[c_o]])</f>
        <v>-1.9906972234281732</v>
      </c>
      <c r="BP80" s="262">
        <f>mu_o-LN(alpha*Ko/(Tabella34[[#This Row],[rest of Italy velocity]]*sigma_o*SQRTPI(2)))</f>
        <v>-1.3414556564277831</v>
      </c>
      <c r="BQ80" s="262">
        <f>Tabella34[[#This Row],[t_alpha_o+plus]]</f>
        <v>52.987538249240416</v>
      </c>
      <c r="BR80" s="171">
        <f>IFERROR(-Ka*_xlfn.LOGNORM.DIST((Tabella34[[#This Row],[Day]]-pa),mu_a,sigma_a,FALSE)*(1+(LN((Tabella34[[#This Row],[Day]]-pa))-mu_a)/sigma_a^2)/(Tabella34[[#This Row],[Day]]-pa),0)</f>
        <v>175.04278380140286</v>
      </c>
      <c r="BS80" s="143">
        <f>Tabella34[[#This Row],[rest of Italy acc. fit]]/y_a_peak</f>
        <v>5.1800846374868058E-2</v>
      </c>
      <c r="BT80" s="143">
        <f>Tabella34[[#This Row],[rest of Italy acc. fit]]*NOT(ISBLANK(Tabella34[[#This Row],[rest of Italy data]]))</f>
        <v>175.04278380140286</v>
      </c>
      <c r="BU80" s="143">
        <f>Tabella34[[#This Row],[rest of Italy acc. fit]]+CIa</f>
        <v>5513.8822189614202</v>
      </c>
      <c r="BV80" s="143">
        <f>MAX(Tabella34[[#This Row],[rest of Italy acc. fit]]-CIa,0)</f>
        <v>0</v>
      </c>
    </row>
    <row r="81" spans="2:74" x14ac:dyDescent="0.3">
      <c r="B81" s="281">
        <v>43904</v>
      </c>
      <c r="C81" s="29">
        <v>74</v>
      </c>
      <c r="D81" s="10">
        <f>Tabella8[[#This Row],[Spain cum. Cases]]</f>
        <v>6391</v>
      </c>
      <c r="E81" s="90">
        <f>(Tabella34[[#This Row],[Spain cumul. Cases]]-D80)</f>
        <v>1159</v>
      </c>
      <c r="F81" s="90">
        <f>Tabella34[[#This Row],[Spain daily cases]]-E80</f>
        <v>-1796</v>
      </c>
      <c r="G81" s="95">
        <f>Tabella34[[#This Row],[Spain daily cases]]*NOT(ISBLANK(Tabella34[[#This Row],[Spain daily cases]]))</f>
        <v>1159</v>
      </c>
      <c r="H81" s="157">
        <f>Tabella8[[#This Row],[Spain cum. fit]]</f>
        <v>9774.49347167622</v>
      </c>
      <c r="I81" s="157">
        <f>_xlfn.LOGNORM.INV(alpha*Tabella34[[#This Row],[Spain cumul. Fit]]/Kt,mu_t,sigma_t)-(Tabella34[[#This Row],[Day]]-pt)</f>
        <v>3.7474744145183863</v>
      </c>
      <c r="J81" s="157">
        <f>Tabella34[[#This Row],[Spain fitted d.t.]]/Spain_dt_at_lockdown</f>
        <v>1</v>
      </c>
      <c r="K81" s="95">
        <f>Tabella34[[#This Row],[Spain cumul. Fit]]/Kf</f>
        <v>3.4908918250916209E-2</v>
      </c>
      <c r="L81" s="160"/>
      <c r="M81" s="95"/>
      <c r="N81" s="157">
        <f>IFERROR(Kt*_xlfn.LOGNORM.DIST((Tabella34[[#This Row],[Day]]-pt),mu_t,sigma_t,FALSE),0)</f>
        <v>2025.422334616442</v>
      </c>
      <c r="O81" s="157" t="e">
        <f>Kt*EXP(-0.5*Tabella34[[#This Row],[x_t]]^2)/(sigma_t*SQRTPI(2)*(Tabella34[[#This Row],[Day]]-D_bk))</f>
        <v>#NAME?</v>
      </c>
      <c r="P81" s="199">
        <f>Tabella34[[#This Row],[Spain fitted velocity]]/Tabella34[[#This Row],[Spain cumul. Fit]]</f>
        <v>0.20721506853378704</v>
      </c>
      <c r="Q81" s="262">
        <f>(LN(Tabella34[[#This Row],[Day]]-pt)-mu_t)/sigma_t</f>
        <v>-1.8130906794173414</v>
      </c>
      <c r="R81" s="262">
        <f>EXP(mu_t+sigma_t*Tabella34[[#This Row],[x_t_alpha©+plus]])-(Tabella34[[#This Row],[Day]]-pt)</f>
        <v>61.560569705069554</v>
      </c>
      <c r="S81" s="262">
        <f>EXP(mu_t+sigma_t*Tabella34[[#This Row],[x_t_alpha©-minus]])-(Tabella34[[#This Row],[Day]]-pt)</f>
        <v>-4.0198533915249897</v>
      </c>
      <c r="T81" s="262">
        <f>-sigma_t+SQRT(sigma_t^2-2*Tabella34[[#This Row],[c_t]])</f>
        <v>1.6732834560355032</v>
      </c>
      <c r="U81" s="262">
        <f>-sigma_t-SQRT(sigma_t^2-2*Tabella34[[#This Row],[c_t]])</f>
        <v>-2.2107228058786705</v>
      </c>
      <c r="V81" s="262">
        <f>mu_t-LN(alpha*Kt/(Tabella34[[#This Row],[Spain fitted velocity]]*sigma_t*SQRTPI(2)))</f>
        <v>-1.8495829484785835</v>
      </c>
      <c r="W81" s="262">
        <f>Tabella34[[#This Row],[Spain fitted g.r.]]/Spain_gr_at_lockdown</f>
        <v>1</v>
      </c>
      <c r="X81" s="262">
        <f>Tabella34[[#This Row],[t_alpha_t+plus]]</f>
        <v>61.560569705069554</v>
      </c>
      <c r="Y81" s="262">
        <f>Tabella34[[#This Row],[Spain fitted h.t.]]/Spain_ht_at_lockdown</f>
        <v>1</v>
      </c>
      <c r="Z81" s="90">
        <f>IFERROR(-Kf*_xlfn.LOGNORM.DIST((Tabella34[[#This Row],[Day]]-pf),mu_f,sigma_f,FALSE)*(1+(LN((Tabella34[[#This Row],[Day]]-pf))-mu_f)/sigma_f^2)/(Tabella34[[#This Row],[Day]]-pf),0)</f>
        <v>293.45569563194198</v>
      </c>
      <c r="AA81" s="90">
        <f>Tabella34[[#This Row],[Spain acc. fit]]/Spain_acc_at_lockdown</f>
        <v>1</v>
      </c>
      <c r="AB81" s="95">
        <f>Tabella34[[#This Row],[Spain acc. fit]]/y_f_peak</f>
        <v>4.3965601195222838E-2</v>
      </c>
      <c r="AC81" s="157">
        <f>Tabella34[[#This Row],[Colonna4]]*NOT(ISBLANK(Tabella34[[#This Row],[Spain daily cases]]))</f>
        <v>0</v>
      </c>
      <c r="AD81" s="157">
        <f>Tabella34[[#This Row],[Spain acc. fit]]*NOT(ISBLANK(Tabella34[[#This Row],[Spain daily cases]]))</f>
        <v>293.45569563194198</v>
      </c>
      <c r="AE81" s="95">
        <f>Tabella34[[#This Row],[Spain acc. fit]]+CIf</f>
        <v>2636.1441133130347</v>
      </c>
      <c r="AF81" s="95">
        <f>MAX(Tabella34[[#This Row],[Spain acc. fit]]-CIf,0)</f>
        <v>0</v>
      </c>
      <c r="AG81" s="4">
        <f>Tabella8[[#This Row],[Lombardy]]</f>
        <v>0</v>
      </c>
      <c r="AH81" s="90">
        <f>(Tabella34[[#This Row],[Lombardy cumul. Data]]-AG80)</f>
        <v>0</v>
      </c>
      <c r="AI81" s="90">
        <f>Tabella34[[#This Row],[Lombardy data]]-AH80</f>
        <v>0</v>
      </c>
      <c r="AJ81" s="95">
        <f>Tabella34[[#This Row],[Lombardy data]]*NOT(ISBLANK(Tabella34[[#This Row],[Lombardy data]]))</f>
        <v>0</v>
      </c>
      <c r="AK81" s="95">
        <f>Tabella8[[#This Row],[Lombardy fit]]</f>
        <v>12493.925509581044</v>
      </c>
      <c r="AL81" s="157">
        <f>_xlfn.LOGNORM.INV(alpha*Tabella34[[#This Row],[Lombardy cumul. Fit]]/Kr,mu_r,sigma_r)-(Tabella34[[#This Row],[Day]]-pr)</f>
        <v>7.9846269035611996</v>
      </c>
      <c r="AM81" s="95">
        <f>Tabella34[[#This Row],[Lombardy cumul. Fit]]/Kl</f>
        <v>0.14360833919058671</v>
      </c>
      <c r="AN81" s="95">
        <f>IFERROR(Kr*_xlfn.LOGNORM.DIST((Tabella34[[#This Row],[Day]]-pr),mu_r,sigma_r,FALSE),0)</f>
        <v>1352.822558718497</v>
      </c>
      <c r="AO81" s="202">
        <f>Tabella34[[#This Row],[Lombardy velocity]]/Tabella34[[#This Row],[Lombardy cumul. Fit]]</f>
        <v>0.10827842359721744</v>
      </c>
      <c r="AP81" s="259">
        <f>(LN(Tabella34[[#This Row],[Day]]-pr)-mu_r)/sigma_r</f>
        <v>-1.0642473139879247</v>
      </c>
      <c r="AQ81" s="262">
        <f>EXP(mu_r+sigma_r*Tabella34[[#This Row],[x_r_alpha©+plus]])-(Tabella34[[#This Row],[Day]]-pr)</f>
        <v>44.835507941912041</v>
      </c>
      <c r="AR81" s="262">
        <f>EXP(mu_r+sigma_r*Tabella34[[#This Row],[x_r_alpha©-minus]])-(Tabella34[[#This Row],[Day]]-pr)</f>
        <v>-8.5881919914007341</v>
      </c>
      <c r="AS81" s="262">
        <f>-sigma_r+SQRT(sigma_r^2-2*Tabella34[[#This Row],[c_r]])</f>
        <v>1.0416760896489665</v>
      </c>
      <c r="AT81" s="262">
        <f>-sigma_r-SQRT(sigma_r^2-2*Tabella34[[#This Row],[c_r]])</f>
        <v>-1.7225306868426957</v>
      </c>
      <c r="AU81" s="262">
        <f>mu_r-LN(alpha*Kr/(Tabella34[[#This Row],[Lombardy velocity]]*sigma_r*SQRTPI(2)))</f>
        <v>-0.89715951508532399</v>
      </c>
      <c r="AV81" s="262">
        <f>Tabella34[[#This Row],[t_alpha_r+plus]]</f>
        <v>44.835507941912041</v>
      </c>
      <c r="AW81" s="90">
        <f>IFERROR(-Kl*_xlfn.LOGNORM.DIST((Tabella34[[#This Row],[Day]]-pl),mu_l,sigma_l,FALSE)*(1+(LN((Tabella34[[#This Row],[Day]]-pl))-mu_l)/sigma_l^2)/(Tabella34[[#This Row],[Day]]-pl),0)</f>
        <v>67.240163440892744</v>
      </c>
      <c r="AX81" s="95">
        <f>Tabella34[[#This Row],[Lombardy acc. fit]]/y_l_peak</f>
        <v>3.8249092628778215E-2</v>
      </c>
      <c r="AY81" s="157">
        <f>Tabella34[[#This Row],[Lombardy acc. fit]]*NOT(ISBLANK(Tabella34[[#This Row],[Lombardy data]]))</f>
        <v>67.240163440892744</v>
      </c>
      <c r="AZ81" s="95">
        <f>Tabella34[[#This Row],[Lombardy acc. fit]]+CIl</f>
        <v>2637.6224863573016</v>
      </c>
      <c r="BA81" s="95">
        <f>MAX(Tabella34[[#This Row],[Lombardy acc. fit]]-CIl,0)</f>
        <v>0</v>
      </c>
      <c r="BB81" s="10">
        <f>Tabella8[[#This Row],[rest of Italy ]]</f>
        <v>6391</v>
      </c>
      <c r="BC81" s="10">
        <f>(Tabella34[[#This Row],[rest of Italy cum. Data]]-BB80)</f>
        <v>1159</v>
      </c>
      <c r="BD81" s="10">
        <f>Tabella34[[#This Row],[rest of Italy data]]-BC80</f>
        <v>-1796</v>
      </c>
      <c r="BE81" s="95">
        <f>Tabella34[[#This Row],[rest of Italy data]]*NOT(ISBLANK(Tabella34[[#This Row],[rest of Italy data]]))</f>
        <v>1159</v>
      </c>
      <c r="BF81" s="95">
        <f>Tabella8[[#This Row],[rest of Italy fit]]</f>
        <v>11563.409946216672</v>
      </c>
      <c r="BG81" s="157">
        <f>_xlfn.LOGNORM.INV(alpha*Tabella34[[#This Row],[rest of Italy cumul. Fit]]/Ko,mu_o,sigma_o)-(Tabella34[[#This Row],[Day]]-po)</f>
        <v>5.08283220639251</v>
      </c>
      <c r="BH81" s="95">
        <f>Tabella34[[#This Row],[rest of Italy cumul. Fit]]/Ka</f>
        <v>7.8131157380613422E-2</v>
      </c>
      <c r="BI81" s="157">
        <f>IFERROR(Ko*_xlfn.LOGNORM.DIST((Tabella34[[#This Row],[Day]]-po),mu_o,sigma_o,FALSE),0)</f>
        <v>1852.8435850697485</v>
      </c>
      <c r="BJ81" s="199">
        <f>Tabella34[[#This Row],[rest of Italy velocity]]/Tabella34[[#This Row],[rest of Italy cumul. Fit]]</f>
        <v>0.16023332163156281</v>
      </c>
      <c r="BK81" s="254">
        <f>(LN(Tabella34[[#This Row],[Day]]-po)-mu_o)/sigma_o</f>
        <v>-1.4177549711421229</v>
      </c>
      <c r="BL81" s="262">
        <f>EXP(mu_o+sigma_o*Tabella34[[#This Row],[x_o_alpha©+plus]])-(Tabella34[[#This Row],[Day]]-po)</f>
        <v>50.288565131153732</v>
      </c>
      <c r="BM81" s="262">
        <f>EXP(mu_o+sigma_o*Tabella34[[#This Row],[x_o_alpha©-minus]])-(Tabella34[[#This Row],[Day]]-po)</f>
        <v>-5.5113640947715652</v>
      </c>
      <c r="BN81" s="262">
        <f>-sigma_o+SQRT(sigma_o^2-2*Tabella34[[#This Row],[c_o]])</f>
        <v>1.2872706365349145</v>
      </c>
      <c r="BO81" s="262">
        <f>-sigma_o-SQRT(sigma_o^2-2*Tabella34[[#This Row],[c_o]])</f>
        <v>-1.9302434138339404</v>
      </c>
      <c r="BP81" s="262">
        <f>mu_o-LN(alpha*Ko/(Tabella34[[#This Row],[rest of Italy velocity]]*sigma_o*SQRTPI(2)))</f>
        <v>-1.2423728339966713</v>
      </c>
      <c r="BQ81" s="262">
        <f>Tabella34[[#This Row],[t_alpha_o+plus]]</f>
        <v>50.288565131153732</v>
      </c>
      <c r="BR81" s="90">
        <f>IFERROR(-Ka*_xlfn.LOGNORM.DIST((Tabella34[[#This Row],[Day]]-pa),mu_a,sigma_a,FALSE)*(1+(LN((Tabella34[[#This Row],[Day]]-pa))-mu_a)/sigma_a^2)/(Tabella34[[#This Row],[Day]]-pa),0)</f>
        <v>174.13859645161847</v>
      </c>
      <c r="BS81" s="95">
        <f>Tabella34[[#This Row],[rest of Italy acc. fit]]/y_a_peak</f>
        <v>5.1533267963561363E-2</v>
      </c>
      <c r="BT81" s="95">
        <f>Tabella34[[#This Row],[rest of Italy acc. fit]]*NOT(ISBLANK(Tabella34[[#This Row],[rest of Italy data]]))</f>
        <v>174.13859645161847</v>
      </c>
      <c r="BU81" s="95">
        <f>Tabella34[[#This Row],[rest of Italy acc. fit]]+CIa</f>
        <v>5512.9780316116357</v>
      </c>
      <c r="BV81" s="95">
        <f>MAX(Tabella34[[#This Row],[rest of Italy acc. fit]]-CIa,0)</f>
        <v>0</v>
      </c>
    </row>
    <row r="82" spans="2:74" x14ac:dyDescent="0.3">
      <c r="B82" s="281">
        <v>43905</v>
      </c>
      <c r="C82" s="29">
        <v>75</v>
      </c>
      <c r="D82" s="10">
        <f>Tabella8[[#This Row],[Spain cum. Cases]]</f>
        <v>7798</v>
      </c>
      <c r="E82" s="90">
        <f>(Tabella34[[#This Row],[Spain cumul. Cases]]-D81)</f>
        <v>1407</v>
      </c>
      <c r="F82" s="90">
        <f>Tabella34[[#This Row],[Spain daily cases]]-E81</f>
        <v>248</v>
      </c>
      <c r="G82" s="95">
        <f>Tabella34[[#This Row],[Spain daily cases]]*NOT(ISBLANK(Tabella34[[#This Row],[Spain daily cases]]))</f>
        <v>1407</v>
      </c>
      <c r="H82" s="157">
        <f>Tabella8[[#This Row],[Spain cum. fit]]</f>
        <v>11949.39339252687</v>
      </c>
      <c r="I82" s="157">
        <f>_xlfn.LOGNORM.INV(alpha*Tabella34[[#This Row],[Spain cumul. Fit]]/Kt,mu_t,sigma_t)-(Tabella34[[#This Row],[Day]]-pt)</f>
        <v>4.0163920800251915</v>
      </c>
      <c r="J82" s="157">
        <f>Tabella34[[#This Row],[Spain fitted d.t.]]/Spain_dt_at_lockdown</f>
        <v>1.0717597068748408</v>
      </c>
      <c r="K82" s="95">
        <f>Tabella34[[#This Row],[Spain cumul. Fit]]/Kf</f>
        <v>4.2676420859711697E-2</v>
      </c>
      <c r="L82" s="160"/>
      <c r="M82" s="95"/>
      <c r="N82" s="157">
        <f>IFERROR(Kt*_xlfn.LOGNORM.DIST((Tabella34[[#This Row],[Day]]-pt),mu_t,sigma_t,FALSE),0)</f>
        <v>2326.9909343419145</v>
      </c>
      <c r="O82" s="157" t="e">
        <f>Kt*EXP(-0.5*Tabella34[[#This Row],[x_t]]^2)/(sigma_t*SQRTPI(2)*(Tabella34[[#This Row],[Day]]-D_bk))</f>
        <v>#NAME?</v>
      </c>
      <c r="P82" s="199">
        <f>Tabella34[[#This Row],[Spain fitted velocity]]/Tabella34[[#This Row],[Spain cumul. Fit]]</f>
        <v>0.19473716011368497</v>
      </c>
      <c r="Q82" s="262">
        <f>(LN(Tabella34[[#This Row],[Day]]-pt)-mu_t)/sigma_t</f>
        <v>-1.7204380707716878</v>
      </c>
      <c r="R82" s="262">
        <f>EXP(mu_t+sigma_t*Tabella34[[#This Row],[x_t_alpha©+plus]])-(Tabella34[[#This Row],[Day]]-pt)</f>
        <v>58.598530745640801</v>
      </c>
      <c r="S82" s="262">
        <f>EXP(mu_t+sigma_t*Tabella34[[#This Row],[x_t_alpha©-minus]])-(Tabella34[[#This Row],[Day]]-pt)</f>
        <v>-4.3152723000072442</v>
      </c>
      <c r="T82" s="262">
        <f>-sigma_t+SQRT(sigma_t^2-2*Tabella34[[#This Row],[c_t]])</f>
        <v>1.6004460913949003</v>
      </c>
      <c r="U82" s="262">
        <f>-sigma_t-SQRT(sigma_t^2-2*Tabella34[[#This Row],[c_t]])</f>
        <v>-2.1378854412380677</v>
      </c>
      <c r="V82" s="262">
        <f>mu_t-LN(alpha*Kt/(Tabella34[[#This Row],[Spain fitted velocity]]*sigma_t*SQRTPI(2)))</f>
        <v>-1.7107851991397638</v>
      </c>
      <c r="W82" s="262">
        <f>Tabella34[[#This Row],[Spain fitted g.r.]]/Spain_gr_at_lockdown</f>
        <v>0.93978281353574677</v>
      </c>
      <c r="X82" s="262">
        <f>Tabella34[[#This Row],[t_alpha_t+plus]]</f>
        <v>58.598530745640801</v>
      </c>
      <c r="Y82" s="262">
        <f>Tabella34[[#This Row],[Spain fitted h.t.]]/Spain_ht_at_lockdown</f>
        <v>0.95188415289820116</v>
      </c>
      <c r="Z82" s="90">
        <f>IFERROR(-Kf*_xlfn.LOGNORM.DIST((Tabella34[[#This Row],[Day]]-pf),mu_f,sigma_f,FALSE)*(1+(LN((Tabella34[[#This Row],[Day]]-pf))-mu_f)/sigma_f^2)/(Tabella34[[#This Row],[Day]]-pf),0)</f>
        <v>309.12882246624969</v>
      </c>
      <c r="AA82" s="90">
        <f>Tabella34[[#This Row],[Spain acc. fit]]/Spain_acc_at_lockdown</f>
        <v>1.0534088350221196</v>
      </c>
      <c r="AB82" s="95">
        <f>Tabella34[[#This Row],[Spain acc. fit]]/y_f_peak</f>
        <v>4.6313752736106793E-2</v>
      </c>
      <c r="AC82" s="157">
        <f>Tabella34[[#This Row],[Colonna4]]*NOT(ISBLANK(Tabella34[[#This Row],[Spain daily cases]]))</f>
        <v>0</v>
      </c>
      <c r="AD82" s="157">
        <f>Tabella34[[#This Row],[Spain acc. fit]]*NOT(ISBLANK(Tabella34[[#This Row],[Spain daily cases]]))</f>
        <v>309.12882246624969</v>
      </c>
      <c r="AE82" s="95">
        <f>Tabella34[[#This Row],[Spain acc. fit]]+CIf</f>
        <v>2651.8172401473425</v>
      </c>
      <c r="AF82" s="95">
        <f>MAX(Tabella34[[#This Row],[Spain acc. fit]]-CIf,0)</f>
        <v>0</v>
      </c>
      <c r="AG82" s="4">
        <f>Tabella8[[#This Row],[Lombardy]]</f>
        <v>0</v>
      </c>
      <c r="AH82" s="90">
        <f>(Tabella34[[#This Row],[Lombardy cumul. Data]]-AG81)</f>
        <v>0</v>
      </c>
      <c r="AI82" s="90">
        <f>Tabella34[[#This Row],[Lombardy data]]-AH81</f>
        <v>0</v>
      </c>
      <c r="AJ82" s="95">
        <f>Tabella34[[#This Row],[Lombardy data]]*NOT(ISBLANK(Tabella34[[#This Row],[Lombardy data]]))</f>
        <v>0</v>
      </c>
      <c r="AK82" s="95">
        <f>Tabella8[[#This Row],[Lombardy fit]]</f>
        <v>13879.579996701837</v>
      </c>
      <c r="AL82" s="157">
        <f>_xlfn.LOGNORM.INV(alpha*Tabella34[[#This Row],[Lombardy cumul. Fit]]/Kr,mu_r,sigma_r)-(Tabella34[[#This Row],[Day]]-pr)</f>
        <v>8.5860005352132518</v>
      </c>
      <c r="AM82" s="95">
        <f>Tabella34[[#This Row],[Lombardy cumul. Fit]]/Kl</f>
        <v>0.15953540226094065</v>
      </c>
      <c r="AN82" s="95">
        <f>IFERROR(Kr*_xlfn.LOGNORM.DIST((Tabella34[[#This Row],[Day]]-pr),mu_r,sigma_r,FALSE),0)</f>
        <v>1417.679002228017</v>
      </c>
      <c r="AO82" s="202">
        <f>Tabella34[[#This Row],[Lombardy velocity]]/Tabella34[[#This Row],[Lombardy cumul. Fit]]</f>
        <v>0.10214134740135478</v>
      </c>
      <c r="AP82" s="259">
        <f>(LN(Tabella34[[#This Row],[Day]]-pr)-mu_r)/sigma_r</f>
        <v>-0.99636917483366583</v>
      </c>
      <c r="AQ82" s="262">
        <f>EXP(mu_r+sigma_r*Tabella34[[#This Row],[x_r_alpha©+plus]])-(Tabella34[[#This Row],[Day]]-pr)</f>
        <v>42.818209972147045</v>
      </c>
      <c r="AR82" s="262">
        <f>EXP(mu_r+sigma_r*Tabella34[[#This Row],[x_r_alpha©-minus]])-(Tabella34[[#This Row],[Day]]-pr)</f>
        <v>-9.1865452049247693</v>
      </c>
      <c r="AS82" s="262">
        <f>-sigma_r+SQRT(sigma_r^2-2*Tabella34[[#This Row],[c_r]])</f>
        <v>1.0073687193973078</v>
      </c>
      <c r="AT82" s="262">
        <f>-sigma_r-SQRT(sigma_r^2-2*Tabella34[[#This Row],[c_r]])</f>
        <v>-1.688223316591037</v>
      </c>
      <c r="AU82" s="262">
        <f>mu_r-LN(alpha*Kr/(Tabella34[[#This Row],[Lombardy velocity]]*sigma_r*SQRTPI(2)))</f>
        <v>-0.85033168024549433</v>
      </c>
      <c r="AV82" s="262">
        <f>Tabella34[[#This Row],[t_alpha_r+plus]]</f>
        <v>42.818209972147045</v>
      </c>
      <c r="AW82" s="90">
        <f>IFERROR(-Kl*_xlfn.LOGNORM.DIST((Tabella34[[#This Row],[Day]]-pl),mu_l,sigma_l,FALSE)*(1+(LN((Tabella34[[#This Row],[Day]]-pl))-mu_l)/sigma_l^2)/(Tabella34[[#This Row],[Day]]-pl),0)</f>
        <v>62.397201106535142</v>
      </c>
      <c r="AX82" s="95">
        <f>Tabella34[[#This Row],[Lombardy acc. fit]]/y_l_peak</f>
        <v>3.5494207669473178E-2</v>
      </c>
      <c r="AY82" s="157">
        <f>Tabella34[[#This Row],[Lombardy acc. fit]]*NOT(ISBLANK(Tabella34[[#This Row],[Lombardy data]]))</f>
        <v>62.397201106535142</v>
      </c>
      <c r="AZ82" s="95">
        <f>Tabella34[[#This Row],[Lombardy acc. fit]]+CIl</f>
        <v>2632.7795240229439</v>
      </c>
      <c r="BA82" s="95">
        <f>MAX(Tabella34[[#This Row],[Lombardy acc. fit]]-CIl,0)</f>
        <v>0</v>
      </c>
      <c r="BB82" s="10">
        <f>Tabella8[[#This Row],[rest of Italy ]]</f>
        <v>7798</v>
      </c>
      <c r="BC82" s="10">
        <f>(Tabella34[[#This Row],[rest of Italy cum. Data]]-BB81)</f>
        <v>1407</v>
      </c>
      <c r="BD82" s="10">
        <f>Tabella34[[#This Row],[rest of Italy data]]-BC81</f>
        <v>248</v>
      </c>
      <c r="BE82" s="95">
        <f>Tabella34[[#This Row],[rest of Italy data]]*NOT(ISBLANK(Tabella34[[#This Row],[rest of Italy data]]))</f>
        <v>1407</v>
      </c>
      <c r="BF82" s="95">
        <f>Tabella8[[#This Row],[rest of Italy fit]]</f>
        <v>13502.887554047407</v>
      </c>
      <c r="BG82" s="157">
        <f>_xlfn.LOGNORM.INV(alpha*Tabella34[[#This Row],[rest of Italy cumul. Fit]]/Ko,mu_o,sigma_o)-(Tabella34[[#This Row],[Day]]-po)</f>
        <v>5.4885901760191018</v>
      </c>
      <c r="BH82" s="95">
        <f>Tabella34[[#This Row],[rest of Italy cumul. Fit]]/Ka</f>
        <v>9.1235737337426057E-2</v>
      </c>
      <c r="BI82" s="157">
        <f>IFERROR(Ko*_xlfn.LOGNORM.DIST((Tabella34[[#This Row],[Day]]-po),mu_o,sigma_o,FALSE),0)</f>
        <v>2025.5839876535661</v>
      </c>
      <c r="BJ82" s="199">
        <f>Tabella34[[#This Row],[rest of Italy velocity]]/Tabella34[[#This Row],[rest of Italy cumul. Fit]]</f>
        <v>0.15001117202123257</v>
      </c>
      <c r="BK82" s="254">
        <f>(LN(Tabella34[[#This Row],[Day]]-po)-mu_o)/sigma_o</f>
        <v>-1.3331838597804266</v>
      </c>
      <c r="BL82" s="262">
        <f>EXP(mu_o+sigma_o*Tabella34[[#This Row],[x_o_alpha©+plus]])-(Tabella34[[#This Row],[Day]]-po)</f>
        <v>47.733138318953664</v>
      </c>
      <c r="BM82" s="262">
        <f>EXP(mu_o+sigma_o*Tabella34[[#This Row],[x_o_alpha©-minus]])-(Tabella34[[#This Row],[Day]]-po)</f>
        <v>-5.948381509819999</v>
      </c>
      <c r="BN82" s="262">
        <f>-sigma_o+SQRT(sigma_o^2-2*Tabella34[[#This Row],[c_o]])</f>
        <v>1.2308750815669369</v>
      </c>
      <c r="BO82" s="262">
        <f>-sigma_o-SQRT(sigma_o^2-2*Tabella34[[#This Row],[c_o]])</f>
        <v>-1.8738478588659633</v>
      </c>
      <c r="BP82" s="262">
        <f>mu_o-LN(alpha*Ko/(Tabella34[[#This Row],[rest of Italy velocity]]*sigma_o*SQRTPI(2)))</f>
        <v>-1.1532363180628362</v>
      </c>
      <c r="BQ82" s="262">
        <f>Tabella34[[#This Row],[t_alpha_o+plus]]</f>
        <v>47.733138318953664</v>
      </c>
      <c r="BR82" s="90">
        <f>IFERROR(-Ka*_xlfn.LOGNORM.DIST((Tabella34[[#This Row],[Day]]-pa),mu_a,sigma_a,FALSE)*(1+(LN((Tabella34[[#This Row],[Day]]-pa))-mu_a)/sigma_a^2)/(Tabella34[[#This Row],[Day]]-pa),0)</f>
        <v>170.97492995786618</v>
      </c>
      <c r="BS82" s="95">
        <f>Tabella34[[#This Row],[rest of Italy acc. fit]]/y_a_peak</f>
        <v>5.0597036269428158E-2</v>
      </c>
      <c r="BT82" s="95">
        <f>Tabella34[[#This Row],[rest of Italy acc. fit]]*NOT(ISBLANK(Tabella34[[#This Row],[rest of Italy data]]))</f>
        <v>170.97492995786618</v>
      </c>
      <c r="BU82" s="95">
        <f>Tabella34[[#This Row],[rest of Italy acc. fit]]+CIa</f>
        <v>5509.8143651178834</v>
      </c>
      <c r="BV82" s="95">
        <f>MAX(Tabella34[[#This Row],[rest of Italy acc. fit]]-CIa,0)</f>
        <v>0</v>
      </c>
    </row>
    <row r="83" spans="2:74" x14ac:dyDescent="0.3">
      <c r="B83" s="281">
        <v>43906</v>
      </c>
      <c r="C83" s="29">
        <v>76</v>
      </c>
      <c r="D83" s="10">
        <f>Tabella8[[#This Row],[Spain cum. Cases]]</f>
        <v>9942</v>
      </c>
      <c r="E83" s="90">
        <f>(Tabella34[[#This Row],[Spain cumul. Cases]]-D82)</f>
        <v>2144</v>
      </c>
      <c r="F83" s="90">
        <f>Tabella34[[#This Row],[Spain daily cases]]-E82</f>
        <v>737</v>
      </c>
      <c r="G83" s="95">
        <f>Tabella34[[#This Row],[Spain daily cases]]*NOT(ISBLANK(Tabella34[[#This Row],[Spain daily cases]]))</f>
        <v>2144</v>
      </c>
      <c r="H83" s="157">
        <f>Tabella8[[#This Row],[Spain cum. fit]]</f>
        <v>14433.128402287939</v>
      </c>
      <c r="I83" s="157">
        <f>_xlfn.LOGNORM.INV(alpha*Tabella34[[#This Row],[Spain cumul. Fit]]/Kt,mu_t,sigma_t)-(Tabella34[[#This Row],[Day]]-pt)</f>
        <v>4.3052532647474209</v>
      </c>
      <c r="J83" s="157">
        <f>Tabella34[[#This Row],[Spain fitted d.t.]]/Spain_dt_at_lockdown</f>
        <v>1.1488412697543977</v>
      </c>
      <c r="K83" s="95">
        <f>Tabella34[[#This Row],[Spain cumul. Fit]]/Kf</f>
        <v>5.1546906339489593E-2</v>
      </c>
      <c r="L83" s="160"/>
      <c r="M83" s="95"/>
      <c r="N83" s="157">
        <f>IFERROR(Kt*_xlfn.LOGNORM.DIST((Tabella34[[#This Row],[Day]]-pt),mu_t,sigma_t,FALSE),0)</f>
        <v>2642.5056616012921</v>
      </c>
      <c r="O83" s="157" t="e">
        <f>Kt*EXP(-0.5*Tabella34[[#This Row],[x_t]]^2)/(sigma_t*SQRTPI(2)*(Tabella34[[#This Row],[Day]]-D_bk))</f>
        <v>#NAME?</v>
      </c>
      <c r="P83" s="199">
        <f>Tabella34[[#This Row],[Spain fitted velocity]]/Tabella34[[#This Row],[Spain cumul. Fit]]</f>
        <v>0.18308613267671076</v>
      </c>
      <c r="Q83" s="262">
        <f>(LN(Tabella34[[#This Row],[Day]]-pt)-mu_t)/sigma_t</f>
        <v>-1.6300363593149356</v>
      </c>
      <c r="R83" s="262">
        <f>EXP(mu_t+sigma_t*Tabella34[[#This Row],[x_t_alpha©+plus]])-(Tabella34[[#This Row],[Day]]-pt)</f>
        <v>55.766807751169466</v>
      </c>
      <c r="S83" s="262">
        <f>EXP(mu_t+sigma_t*Tabella34[[#This Row],[x_t_alpha©-minus]])-(Tabella34[[#This Row],[Day]]-pt)</f>
        <v>-4.6318764254851459</v>
      </c>
      <c r="T83" s="262">
        <f>-sigma_t+SQRT(sigma_t^2-2*Tabella34[[#This Row],[c_t]])</f>
        <v>1.5311351737613872</v>
      </c>
      <c r="U83" s="262">
        <f>-sigma_t-SQRT(sigma_t^2-2*Tabella34[[#This Row],[c_t]])</f>
        <v>-2.0685745236045543</v>
      </c>
      <c r="V83" s="262">
        <f>mu_t-LN(alpha*Kt/(Tabella34[[#This Row],[Spain fitted velocity]]*sigma_t*SQRTPI(2)))</f>
        <v>-1.583633606318819</v>
      </c>
      <c r="W83" s="262">
        <f>Tabella34[[#This Row],[Spain fitted g.r.]]/Spain_gr_at_lockdown</f>
        <v>0.88355607520337265</v>
      </c>
      <c r="X83" s="262">
        <f>Tabella34[[#This Row],[t_alpha_t+plus]]</f>
        <v>55.766807751169466</v>
      </c>
      <c r="Y83" s="262">
        <f>Tabella34[[#This Row],[Spain fitted h.t.]]/Spain_ht_at_lockdown</f>
        <v>0.90588517972368654</v>
      </c>
      <c r="Z83" s="90">
        <f>IFERROR(-Kf*_xlfn.LOGNORM.DIST((Tabella34[[#This Row],[Day]]-pf),mu_f,sigma_f,FALSE)*(1+(LN((Tabella34[[#This Row],[Day]]-pf))-mu_f)/sigma_f^2)/(Tabella34[[#This Row],[Day]]-pf),0)</f>
        <v>321.28269066285822</v>
      </c>
      <c r="AA83" s="90">
        <f>Tabella34[[#This Row],[Spain acc. fit]]/Spain_acc_at_lockdown</f>
        <v>1.0948252000050374</v>
      </c>
      <c r="AB83" s="95">
        <f>Tabella34[[#This Row],[Spain acc. fit]]/y_f_peak</f>
        <v>4.8134648121901547E-2</v>
      </c>
      <c r="AC83" s="157">
        <f>Tabella34[[#This Row],[Colonna4]]*NOT(ISBLANK(Tabella34[[#This Row],[Spain daily cases]]))</f>
        <v>0</v>
      </c>
      <c r="AD83" s="157">
        <f>Tabella34[[#This Row],[Spain acc. fit]]*NOT(ISBLANK(Tabella34[[#This Row],[Spain daily cases]]))</f>
        <v>321.28269066285822</v>
      </c>
      <c r="AE83" s="95">
        <f>Tabella34[[#This Row],[Spain acc. fit]]+CIf</f>
        <v>2663.9711083439511</v>
      </c>
      <c r="AF83" s="95">
        <f>MAX(Tabella34[[#This Row],[Spain acc. fit]]-CIf,0)</f>
        <v>0</v>
      </c>
      <c r="AG83" s="4">
        <f>Tabella8[[#This Row],[Lombardy]]</f>
        <v>0</v>
      </c>
      <c r="AH83" s="90">
        <f>(Tabella34[[#This Row],[Lombardy cumul. Data]]-AG82)</f>
        <v>0</v>
      </c>
      <c r="AI83" s="90">
        <f>Tabella34[[#This Row],[Lombardy data]]-AH82</f>
        <v>0</v>
      </c>
      <c r="AJ83" s="95">
        <f>Tabella34[[#This Row],[Lombardy data]]*NOT(ISBLANK(Tabella34[[#This Row],[Lombardy data]]))</f>
        <v>0</v>
      </c>
      <c r="AK83" s="95">
        <f>Tabella8[[#This Row],[Lombardy fit]]</f>
        <v>15327.597715323067</v>
      </c>
      <c r="AL83" s="157">
        <f>_xlfn.LOGNORM.INV(alpha*Tabella34[[#This Row],[Lombardy cumul. Fit]]/Kr,mu_r,sigma_r)-(Tabella34[[#This Row],[Day]]-pr)</f>
        <v>9.2397779525181605</v>
      </c>
      <c r="AM83" s="95">
        <f>Tabella34[[#This Row],[Lombardy cumul. Fit]]/Kl</f>
        <v>0.17617928408417319</v>
      </c>
      <c r="AN83" s="95">
        <f>IFERROR(Kr*_xlfn.LOGNORM.DIST((Tabella34[[#This Row],[Day]]-pr),mu_r,sigma_r,FALSE),0)</f>
        <v>1477.4810780998919</v>
      </c>
      <c r="AO83" s="202">
        <f>Tabella34[[#This Row],[Lombardy velocity]]/Tabella34[[#This Row],[Lombardy cumul. Fit]]</f>
        <v>9.6393518771884748E-2</v>
      </c>
      <c r="AP83" s="259">
        <f>(LN(Tabella34[[#This Row],[Day]]-pr)-mu_r)/sigma_r</f>
        <v>-0.93002417420510208</v>
      </c>
      <c r="AQ83" s="262">
        <f>EXP(mu_r+sigma_r*Tabella34[[#This Row],[x_r_alpha©+plus]])-(Tabella34[[#This Row],[Day]]-pr)</f>
        <v>40.908781756597364</v>
      </c>
      <c r="AR83" s="262">
        <f>EXP(mu_r+sigma_r*Tabella34[[#This Row],[x_r_alpha©-minus]])-(Tabella34[[#This Row],[Day]]-pr)</f>
        <v>-9.8194135730638337</v>
      </c>
      <c r="AS83" s="262">
        <f>-sigma_r+SQRT(sigma_r^2-2*Tabella34[[#This Row],[c_r]])</f>
        <v>0.97635622075887407</v>
      </c>
      <c r="AT83" s="262">
        <f>-sigma_r-SQRT(sigma_r^2-2*Tabella34[[#This Row],[c_r]])</f>
        <v>-1.6572108179526033</v>
      </c>
      <c r="AU83" s="262">
        <f>mu_r-LN(alpha*Kr/(Tabella34[[#This Row],[Lombardy velocity]]*sigma_r*SQRTPI(2)))</f>
        <v>-0.80901404560846313</v>
      </c>
      <c r="AV83" s="262">
        <f>Tabella34[[#This Row],[t_alpha_r+plus]]</f>
        <v>40.908781756597364</v>
      </c>
      <c r="AW83" s="90">
        <f>IFERROR(-Kl*_xlfn.LOGNORM.DIST((Tabella34[[#This Row],[Day]]-pl),mu_l,sigma_l,FALSE)*(1+(LN((Tabella34[[#This Row],[Day]]-pl))-mu_l)/sigma_l^2)/(Tabella34[[#This Row],[Day]]-pl),0)</f>
        <v>57.146563978544599</v>
      </c>
      <c r="AX83" s="95">
        <f>Tabella34[[#This Row],[Lombardy acc. fit]]/y_l_peak</f>
        <v>3.2507419779744841E-2</v>
      </c>
      <c r="AY83" s="157">
        <f>Tabella34[[#This Row],[Lombardy acc. fit]]*NOT(ISBLANK(Tabella34[[#This Row],[Lombardy data]]))</f>
        <v>57.146563978544599</v>
      </c>
      <c r="AZ83" s="95">
        <f>Tabella34[[#This Row],[Lombardy acc. fit]]+CIl</f>
        <v>2627.5288868949533</v>
      </c>
      <c r="BA83" s="95">
        <f>MAX(Tabella34[[#This Row],[Lombardy acc. fit]]-CIl,0)</f>
        <v>0</v>
      </c>
      <c r="BB83" s="10">
        <f>Tabella8[[#This Row],[rest of Italy ]]</f>
        <v>9942</v>
      </c>
      <c r="BC83" s="10">
        <f>(Tabella34[[#This Row],[rest of Italy cum. Data]]-BB82)</f>
        <v>2144</v>
      </c>
      <c r="BD83" s="10">
        <f>Tabella34[[#This Row],[rest of Italy data]]-BC82</f>
        <v>737</v>
      </c>
      <c r="BE83" s="95">
        <f>Tabella34[[#This Row],[rest of Italy data]]*NOT(ISBLANK(Tabella34[[#This Row],[rest of Italy data]]))</f>
        <v>2144</v>
      </c>
      <c r="BF83" s="95">
        <f>Tabella8[[#This Row],[rest of Italy fit]]</f>
        <v>15613.162473367664</v>
      </c>
      <c r="BG83" s="157">
        <f>_xlfn.LOGNORM.INV(alpha*Tabella34[[#This Row],[rest of Italy cumul. Fit]]/Ko,mu_o,sigma_o)-(Tabella34[[#This Row],[Day]]-po)</f>
        <v>5.9284610269048201</v>
      </c>
      <c r="BH83" s="95">
        <f>Tabella34[[#This Row],[rest of Italy cumul. Fit]]/Ka</f>
        <v>0.10549435331702446</v>
      </c>
      <c r="BI83" s="157">
        <f>IFERROR(Ko*_xlfn.LOGNORM.DIST((Tabella34[[#This Row],[Day]]-po),mu_o,sigma_o,FALSE),0)</f>
        <v>2194.0832257012048</v>
      </c>
      <c r="BJ83" s="199">
        <f>Tabella34[[#This Row],[rest of Italy velocity]]/Tabella34[[#This Row],[rest of Italy cumul. Fit]]</f>
        <v>0.14052779053851441</v>
      </c>
      <c r="BK83" s="254">
        <f>(LN(Tabella34[[#This Row],[Day]]-po)-mu_o)/sigma_o</f>
        <v>-1.2508513761987405</v>
      </c>
      <c r="BL83" s="262">
        <f>EXP(mu_o+sigma_o*Tabella34[[#This Row],[x_o_alpha©+plus]])-(Tabella34[[#This Row],[Day]]-po)</f>
        <v>45.314126529506694</v>
      </c>
      <c r="BM83" s="262">
        <f>EXP(mu_o+sigma_o*Tabella34[[#This Row],[x_o_alpha©-minus]])-(Tabella34[[#This Row],[Day]]-po)</f>
        <v>-6.4164994048026038</v>
      </c>
      <c r="BN83" s="262">
        <f>-sigma_o+SQRT(sigma_o^2-2*Tabella34[[#This Row],[c_o]])</f>
        <v>1.1785181584110176</v>
      </c>
      <c r="BO83" s="262">
        <f>-sigma_o-SQRT(sigma_o^2-2*Tabella34[[#This Row],[c_o]])</f>
        <v>-1.8214909357100439</v>
      </c>
      <c r="BP83" s="262">
        <f>mu_o-LN(alpha*Ko/(Tabella34[[#This Row],[rest of Italy velocity]]*sigma_o*SQRTPI(2)))</f>
        <v>-1.073330071557681</v>
      </c>
      <c r="BQ83" s="262">
        <f>Tabella34[[#This Row],[t_alpha_o+plus]]</f>
        <v>45.314126529506694</v>
      </c>
      <c r="BR83" s="90">
        <f>IFERROR(-Ka*_xlfn.LOGNORM.DIST((Tabella34[[#This Row],[Day]]-pa),mu_a,sigma_a,FALSE)*(1+(LN((Tabella34[[#This Row],[Day]]-pa))-mu_a)/sigma_a^2)/(Tabella34[[#This Row],[Day]]-pa),0)</f>
        <v>165.68213300763978</v>
      </c>
      <c r="BS83" s="95">
        <f>Tabella34[[#This Row],[rest of Italy acc. fit]]/y_a_peak</f>
        <v>4.9030725703760325E-2</v>
      </c>
      <c r="BT83" s="95">
        <f>Tabella34[[#This Row],[rest of Italy acc. fit]]*NOT(ISBLANK(Tabella34[[#This Row],[rest of Italy data]]))</f>
        <v>165.68213300763978</v>
      </c>
      <c r="BU83" s="95">
        <f>Tabella34[[#This Row],[rest of Italy acc. fit]]+CIa</f>
        <v>5504.5215681676573</v>
      </c>
      <c r="BV83" s="95">
        <f>MAX(Tabella34[[#This Row],[rest of Italy acc. fit]]-CIa,0)</f>
        <v>0</v>
      </c>
    </row>
    <row r="84" spans="2:74" x14ac:dyDescent="0.3">
      <c r="B84" s="281">
        <v>43907</v>
      </c>
      <c r="C84" s="29">
        <v>77</v>
      </c>
      <c r="D84" s="10">
        <f>Tabella8[[#This Row],[Spain cum. Cases]]</f>
        <v>11748</v>
      </c>
      <c r="E84" s="90">
        <f>(Tabella34[[#This Row],[Spain cumul. Cases]]-D83)</f>
        <v>1806</v>
      </c>
      <c r="F84" s="90">
        <f>Tabella34[[#This Row],[Spain daily cases]]-E83</f>
        <v>-338</v>
      </c>
      <c r="G84" s="95">
        <f>Tabella34[[#This Row],[Spain daily cases]]*NOT(ISBLANK(Tabella34[[#This Row],[Spain daily cases]]))</f>
        <v>1806</v>
      </c>
      <c r="H84" s="157">
        <f>Tabella8[[#This Row],[Spain cum. fit]]</f>
        <v>17237.824449785941</v>
      </c>
      <c r="I84" s="157">
        <f>_xlfn.LOGNORM.INV(alpha*Tabella34[[#This Row],[Spain cumul. Fit]]/Kt,mu_t,sigma_t)-(Tabella34[[#This Row],[Day]]-pt)</f>
        <v>4.6160680102898155</v>
      </c>
      <c r="J84" s="157">
        <f>Tabella34[[#This Row],[Spain fitted d.t.]]/Spain_dt_at_lockdown</f>
        <v>1.2317810609743838</v>
      </c>
      <c r="K84" s="95">
        <f>Tabella34[[#This Row],[Spain cumul. Fit]]/Kf</f>
        <v>6.1563681666465718E-2</v>
      </c>
      <c r="L84" s="160"/>
      <c r="M84" s="95"/>
      <c r="N84" s="157">
        <f>IFERROR(Kt*_xlfn.LOGNORM.DIST((Tabella34[[#This Row],[Day]]-pt),mu_t,sigma_t,FALSE),0)</f>
        <v>2968.2703579724789</v>
      </c>
      <c r="O84" s="157" t="e">
        <f>Kt*EXP(-0.5*Tabella34[[#This Row],[x_t]]^2)/(sigma_t*SQRTPI(2)*(Tabella34[[#This Row],[Day]]-D_bk))</f>
        <v>#NAME?</v>
      </c>
      <c r="P84" s="199">
        <f>Tabella34[[#This Row],[Spain fitted velocity]]/Tabella34[[#This Row],[Spain cumul. Fit]]</f>
        <v>0.1721951842948104</v>
      </c>
      <c r="Q84" s="262">
        <f>(LN(Tabella34[[#This Row],[Day]]-pt)-mu_t)/sigma_t</f>
        <v>-1.5417787676295207</v>
      </c>
      <c r="R84" s="262">
        <f>EXP(mu_t+sigma_t*Tabella34[[#This Row],[x_t_alpha©+plus]])-(Tabella34[[#This Row],[Day]]-pt)</f>
        <v>53.059360064343267</v>
      </c>
      <c r="S84" s="262">
        <f>EXP(mu_t+sigma_t*Tabella34[[#This Row],[x_t_alpha©-minus]])-(Tabella34[[#This Row],[Day]]-pt)</f>
        <v>-4.9712941046211725</v>
      </c>
      <c r="T84" s="262">
        <f>-sigma_t+SQRT(sigma_t^2-2*Tabella34[[#This Row],[c_t]])</f>
        <v>1.4653431309324163</v>
      </c>
      <c r="U84" s="262">
        <f>-sigma_t-SQRT(sigma_t^2-2*Tabella34[[#This Row],[c_t]])</f>
        <v>-2.0027824807755836</v>
      </c>
      <c r="V84" s="262">
        <f>mu_t-LN(alpha*Kt/(Tabella34[[#This Row],[Spain fitted velocity]]*sigma_t*SQRTPI(2)))</f>
        <v>-1.4673817754781426</v>
      </c>
      <c r="W84" s="262">
        <f>Tabella34[[#This Row],[Spain fitted g.r.]]/Spain_gr_at_lockdown</f>
        <v>0.83099740532013222</v>
      </c>
      <c r="X84" s="262">
        <f>Tabella34[[#This Row],[t_alpha_t+plus]]</f>
        <v>53.059360064343267</v>
      </c>
      <c r="Y84" s="262">
        <f>Tabella34[[#This Row],[Spain fitted h.t.]]/Spain_ht_at_lockdown</f>
        <v>0.86190495504744802</v>
      </c>
      <c r="Z84" s="90">
        <f>IFERROR(-Kf*_xlfn.LOGNORM.DIST((Tabella34[[#This Row],[Day]]-pf),mu_f,sigma_f,FALSE)*(1+(LN((Tabella34[[#This Row],[Day]]-pf))-mu_f)/sigma_f^2)/(Tabella34[[#This Row],[Day]]-pf),0)</f>
        <v>329.58260752038427</v>
      </c>
      <c r="AA84" s="90">
        <f>Tabella34[[#This Row],[Spain acc. fit]]/Spain_acc_at_lockdown</f>
        <v>1.1231085728653003</v>
      </c>
      <c r="AB84" s="95">
        <f>Tabella34[[#This Row],[Spain acc. fit]]/y_f_peak</f>
        <v>4.9378143613531655E-2</v>
      </c>
      <c r="AC84" s="157">
        <f>Tabella34[[#This Row],[Colonna4]]*NOT(ISBLANK(Tabella34[[#This Row],[Spain daily cases]]))</f>
        <v>0</v>
      </c>
      <c r="AD84" s="157">
        <f>Tabella34[[#This Row],[Spain acc. fit]]*NOT(ISBLANK(Tabella34[[#This Row],[Spain daily cases]]))</f>
        <v>329.58260752038427</v>
      </c>
      <c r="AE84" s="95">
        <f>Tabella34[[#This Row],[Spain acc. fit]]+CIf</f>
        <v>2672.2710252014767</v>
      </c>
      <c r="AF84" s="95">
        <f>MAX(Tabella34[[#This Row],[Spain acc. fit]]-CIf,0)</f>
        <v>0</v>
      </c>
      <c r="AG84" s="4">
        <f>Tabella8[[#This Row],[Lombardy]]</f>
        <v>0</v>
      </c>
      <c r="AH84" s="90">
        <f>(Tabella34[[#This Row],[Lombardy cumul. Data]]-AG83)</f>
        <v>0</v>
      </c>
      <c r="AI84" s="90">
        <f>Tabella34[[#This Row],[Lombardy data]]-AH83</f>
        <v>0</v>
      </c>
      <c r="AJ84" s="95">
        <f>Tabella34[[#This Row],[Lombardy data]]*NOT(ISBLANK(Tabella34[[#This Row],[Lombardy data]]))</f>
        <v>0</v>
      </c>
      <c r="AK84" s="95">
        <f>Tabella8[[#This Row],[Lombardy fit]]</f>
        <v>16832.735540922957</v>
      </c>
      <c r="AL84" s="157">
        <f>_xlfn.LOGNORM.INV(alpha*Tabella34[[#This Row],[Lombardy cumul. Fit]]/Kr,mu_r,sigma_r)-(Tabella34[[#This Row],[Day]]-pr)</f>
        <v>9.9528009911198438</v>
      </c>
      <c r="AM84" s="95">
        <f>Tabella34[[#This Row],[Lombardy cumul. Fit]]/Kl</f>
        <v>0.1934797188611834</v>
      </c>
      <c r="AN84" s="95">
        <f>IFERROR(Kr*_xlfn.LOGNORM.DIST((Tabella34[[#This Row],[Day]]-pr),mu_r,sigma_r,FALSE),0)</f>
        <v>1531.8662870557482</v>
      </c>
      <c r="AO84" s="202">
        <f>Tabella34[[#This Row],[Lombardy velocity]]/Tabella34[[#This Row],[Lombardy cumul. Fit]]</f>
        <v>9.1005189461424538E-2</v>
      </c>
      <c r="AP84" s="259">
        <f>(LN(Tabella34[[#This Row],[Day]]-pr)-mu_r)/sigma_r</f>
        <v>-0.86514458220674573</v>
      </c>
      <c r="AQ84" s="262">
        <f>EXP(mu_r+sigma_r*Tabella34[[#This Row],[x_r_alpha©+plus]])-(Tabella34[[#This Row],[Day]]-pr)</f>
        <v>39.103294515078701</v>
      </c>
      <c r="AR84" s="262">
        <f>EXP(mu_r+sigma_r*Tabella34[[#This Row],[x_r_alpha©-minus]])-(Tabella34[[#This Row],[Day]]-pr)</f>
        <v>-10.487672718902438</v>
      </c>
      <c r="AS84" s="262">
        <f>-sigma_r+SQRT(sigma_r^2-2*Tabella34[[#This Row],[c_r]])</f>
        <v>0.94861210686707431</v>
      </c>
      <c r="AT84" s="262">
        <f>-sigma_r-SQRT(sigma_r^2-2*Tabella34[[#This Row],[c_r]])</f>
        <v>-1.6294667040608035</v>
      </c>
      <c r="AU84" s="262">
        <f>mu_r-LN(alpha*Kr/(Tabella34[[#This Row],[Lombardy velocity]]*sigma_r*SQRTPI(2)))</f>
        <v>-0.77286592160443313</v>
      </c>
      <c r="AV84" s="262">
        <f>Tabella34[[#This Row],[t_alpha_r+plus]]</f>
        <v>39.103294515078701</v>
      </c>
      <c r="AW84" s="90">
        <f>IFERROR(-Kl*_xlfn.LOGNORM.DIST((Tabella34[[#This Row],[Day]]-pl),mu_l,sigma_l,FALSE)*(1+(LN((Tabella34[[#This Row],[Day]]-pl))-mu_l)/sigma_l^2)/(Tabella34[[#This Row],[Day]]-pl),0)</f>
        <v>51.578306828231305</v>
      </c>
      <c r="AX84" s="95">
        <f>Tabella34[[#This Row],[Lombardy acc. fit]]/y_l_peak</f>
        <v>2.9339955980963183E-2</v>
      </c>
      <c r="AY84" s="157">
        <f>Tabella34[[#This Row],[Lombardy acc. fit]]*NOT(ISBLANK(Tabella34[[#This Row],[Lombardy data]]))</f>
        <v>51.578306828231305</v>
      </c>
      <c r="AZ84" s="95">
        <f>Tabella34[[#This Row],[Lombardy acc. fit]]+CIl</f>
        <v>2621.9606297446398</v>
      </c>
      <c r="BA84" s="95">
        <f>MAX(Tabella34[[#This Row],[Lombardy acc. fit]]-CIl,0)</f>
        <v>0</v>
      </c>
      <c r="BB84" s="10">
        <f>Tabella8[[#This Row],[rest of Italy ]]</f>
        <v>11748</v>
      </c>
      <c r="BC84" s="10">
        <f>(Tabella34[[#This Row],[rest of Italy cum. Data]]-BB83)</f>
        <v>1806</v>
      </c>
      <c r="BD84" s="10">
        <f>Tabella34[[#This Row],[rest of Italy data]]-BC83</f>
        <v>-338</v>
      </c>
      <c r="BE84" s="95">
        <f>Tabella34[[#This Row],[rest of Italy data]]*NOT(ISBLANK(Tabella34[[#This Row],[rest of Italy data]]))</f>
        <v>1806</v>
      </c>
      <c r="BF84" s="95">
        <f>Tabella8[[#This Row],[rest of Italy fit]]</f>
        <v>17888.956629534136</v>
      </c>
      <c r="BG84" s="157">
        <f>_xlfn.LOGNORM.INV(alpha*Tabella34[[#This Row],[rest of Italy cumul. Fit]]/Ko,mu_o,sigma_o)-(Tabella34[[#This Row],[Day]]-po)</f>
        <v>6.4064672251588632</v>
      </c>
      <c r="BH84" s="95">
        <f>Tabella34[[#This Row],[rest of Italy cumul. Fit]]/Ka</f>
        <v>0.1208713426487483</v>
      </c>
      <c r="BI84" s="157">
        <f>IFERROR(Ko*_xlfn.LOGNORM.DIST((Tabella34[[#This Row],[Day]]-po),mu_o,sigma_o,FALSE),0)</f>
        <v>2356.2968636267587</v>
      </c>
      <c r="BJ84" s="199">
        <f>Tabella34[[#This Row],[rest of Italy velocity]]/Tabella34[[#This Row],[rest of Italy cumul. Fit]]</f>
        <v>0.13171795943294887</v>
      </c>
      <c r="BK84" s="254">
        <f>(LN(Tabella34[[#This Row],[Day]]-po)-mu_o)/sigma_o</f>
        <v>-1.1706420556561019</v>
      </c>
      <c r="BL84" s="262">
        <f>EXP(mu_o+sigma_o*Tabella34[[#This Row],[x_o_alpha©+plus]])-(Tabella34[[#This Row],[Day]]-po)</f>
        <v>43.025293140169225</v>
      </c>
      <c r="BM84" s="262">
        <f>EXP(mu_o+sigma_o*Tabella34[[#This Row],[x_o_alpha©-minus]])-(Tabella34[[#This Row],[Day]]-po)</f>
        <v>-6.9175184107367755</v>
      </c>
      <c r="BN84" s="262">
        <f>-sigma_o+SQRT(sigma_o^2-2*Tabella34[[#This Row],[c_o]])</f>
        <v>1.1301884054863143</v>
      </c>
      <c r="BO84" s="262">
        <f>-sigma_o-SQRT(sigma_o^2-2*Tabella34[[#This Row],[c_o]])</f>
        <v>-1.7731611827853406</v>
      </c>
      <c r="BP84" s="262">
        <f>mu_o-LN(alpha*Ko/(Tabella34[[#This Row],[rest of Italy velocity]]*sigma_o*SQRTPI(2)))</f>
        <v>-1.0020031049211955</v>
      </c>
      <c r="BQ84" s="262">
        <f>Tabella34[[#This Row],[t_alpha_o+plus]]</f>
        <v>43.025293140169225</v>
      </c>
      <c r="BR84" s="90">
        <f>IFERROR(-Ka*_xlfn.LOGNORM.DIST((Tabella34[[#This Row],[Day]]-pa),mu_a,sigma_a,FALSE)*(1+(LN((Tabella34[[#This Row],[Day]]-pa))-mu_a)/sigma_a^2)/(Tabella34[[#This Row],[Day]]-pa),0)</f>
        <v>158.43633364260052</v>
      </c>
      <c r="BS84" s="95">
        <f>Tabella34[[#This Row],[rest of Italy acc. fit]]/y_a_peak</f>
        <v>4.6886458275990431E-2</v>
      </c>
      <c r="BT84" s="95">
        <f>Tabella34[[#This Row],[rest of Italy acc. fit]]*NOT(ISBLANK(Tabella34[[#This Row],[rest of Italy data]]))</f>
        <v>158.43633364260052</v>
      </c>
      <c r="BU84" s="95">
        <f>Tabella34[[#This Row],[rest of Italy acc. fit]]+CIa</f>
        <v>5497.2757688026177</v>
      </c>
      <c r="BV84" s="95">
        <f>MAX(Tabella34[[#This Row],[rest of Italy acc. fit]]-CIa,0)</f>
        <v>0</v>
      </c>
    </row>
    <row r="85" spans="2:74" x14ac:dyDescent="0.3">
      <c r="B85" s="281">
        <v>43908</v>
      </c>
      <c r="C85" s="29">
        <v>78</v>
      </c>
      <c r="D85" s="10">
        <f>Tabella8[[#This Row],[Spain cum. Cases]]</f>
        <v>13910</v>
      </c>
      <c r="E85" s="90">
        <f>(Tabella34[[#This Row],[Spain cumul. Cases]]-D84)</f>
        <v>2162</v>
      </c>
      <c r="F85" s="90">
        <f>Tabella34[[#This Row],[Spain daily cases]]-E84</f>
        <v>356</v>
      </c>
      <c r="G85" s="95">
        <f>Tabella34[[#This Row],[Spain daily cases]]*NOT(ISBLANK(Tabella34[[#This Row],[Spain daily cases]]))</f>
        <v>2162</v>
      </c>
      <c r="H85" s="157">
        <f>Tabella8[[#This Row],[Spain cum. fit]]</f>
        <v>20371.763303539155</v>
      </c>
      <c r="I85" s="157">
        <f>_xlfn.LOGNORM.INV(alpha*Tabella34[[#This Row],[Spain cumul. Fit]]/Kt,mu_t,sigma_t)-(Tabella34[[#This Row],[Day]]-pt)</f>
        <v>4.9511340944421747</v>
      </c>
      <c r="J85" s="157">
        <f>Tabella34[[#This Row],[Spain fitted d.t.]]/Spain_dt_at_lockdown</f>
        <v>1.3211922342312987</v>
      </c>
      <c r="K85" s="95">
        <f>Tabella34[[#This Row],[Spain cumul. Fit]]/Kf</f>
        <v>7.2756324596358599E-2</v>
      </c>
      <c r="L85" s="160"/>
      <c r="M85" s="95"/>
      <c r="N85" s="157">
        <f>IFERROR(Kt*_xlfn.LOGNORM.DIST((Tabella34[[#This Row],[Day]]-pt),mu_t,sigma_t,FALSE),0)</f>
        <v>3300.312331208881</v>
      </c>
      <c r="O85" s="157" t="e">
        <f>Kt*EXP(-0.5*Tabella34[[#This Row],[x_t]]^2)/(sigma_t*SQRTPI(2)*(Tabella34[[#This Row],[Day]]-D_bk))</f>
        <v>#NAME?</v>
      </c>
      <c r="P85" s="199">
        <f>Tabella34[[#This Row],[Spain fitted velocity]]/Tabella34[[#This Row],[Spain cumul. Fit]]</f>
        <v>0.16200425471444205</v>
      </c>
      <c r="Q85" s="262">
        <f>(LN(Tabella34[[#This Row],[Day]]-pt)-mu_t)/sigma_t</f>
        <v>-1.4555659405062935</v>
      </c>
      <c r="R85" s="262">
        <f>EXP(mu_t+sigma_t*Tabella34[[#This Row],[x_t_alpha©+plus]])-(Tabella34[[#This Row],[Day]]-pt)</f>
        <v>50.470942406813791</v>
      </c>
      <c r="S85" s="262">
        <f>EXP(mu_t+sigma_t*Tabella34[[#This Row],[x_t_alpha©-minus]])-(Tabella34[[#This Row],[Day]]-pt)</f>
        <v>-5.3352470018315472</v>
      </c>
      <c r="T85" s="262">
        <f>-sigma_t+SQRT(sigma_t^2-2*Tabella34[[#This Row],[c_t]])</f>
        <v>1.4030752943411733</v>
      </c>
      <c r="U85" s="262">
        <f>-sigma_t-SQRT(sigma_t^2-2*Tabella34[[#This Row],[c_t]])</f>
        <v>-1.9405146441843406</v>
      </c>
      <c r="V85" s="262">
        <f>mu_t-LN(alpha*Kt/(Tabella34[[#This Row],[Spain fitted velocity]]*sigma_t*SQRTPI(2)))</f>
        <v>-1.3613440777811503</v>
      </c>
      <c r="W85" s="262">
        <f>Tabella34[[#This Row],[Spain fitted g.r.]]/Spain_gr_at_lockdown</f>
        <v>0.78181695887636071</v>
      </c>
      <c r="X85" s="262">
        <f>Tabella34[[#This Row],[t_alpha_t+plus]]</f>
        <v>50.470942406813791</v>
      </c>
      <c r="Y85" s="262">
        <f>Tabella34[[#This Row],[Spain fitted h.t.]]/Spain_ht_at_lockdown</f>
        <v>0.81985827370693543</v>
      </c>
      <c r="Z85" s="90">
        <f>IFERROR(-Kf*_xlfn.LOGNORM.DIST((Tabella34[[#This Row],[Day]]-pf),mu_f,sigma_f,FALSE)*(1+(LN((Tabella34[[#This Row],[Day]]-pf))-mu_f)/sigma_f^2)/(Tabella34[[#This Row],[Day]]-pf),0)</f>
        <v>333.81084380247569</v>
      </c>
      <c r="AA85" s="90">
        <f>Tabella34[[#This Row],[Spain acc. fit]]/Spain_acc_at_lockdown</f>
        <v>1.1375170043424474</v>
      </c>
      <c r="AB85" s="95">
        <f>Tabella34[[#This Row],[Spain acc. fit]]/y_f_peak</f>
        <v>5.0011618965704607E-2</v>
      </c>
      <c r="AC85" s="157">
        <f>Tabella34[[#This Row],[Colonna4]]*NOT(ISBLANK(Tabella34[[#This Row],[Spain daily cases]]))</f>
        <v>0</v>
      </c>
      <c r="AD85" s="157">
        <f>Tabella34[[#This Row],[Spain acc. fit]]*NOT(ISBLANK(Tabella34[[#This Row],[Spain daily cases]]))</f>
        <v>333.81084380247569</v>
      </c>
      <c r="AE85" s="95">
        <f>Tabella34[[#This Row],[Spain acc. fit]]+CIf</f>
        <v>2676.4992614835683</v>
      </c>
      <c r="AF85" s="95">
        <f>MAX(Tabella34[[#This Row],[Spain acc. fit]]-CIf,0)</f>
        <v>0</v>
      </c>
      <c r="AG85" s="4">
        <f>Tabella8[[#This Row],[Lombardy]]</f>
        <v>0</v>
      </c>
      <c r="AH85" s="90">
        <f>(Tabella34[[#This Row],[Lombardy cumul. Data]]-AG84)</f>
        <v>0</v>
      </c>
      <c r="AI85" s="90">
        <f>Tabella34[[#This Row],[Lombardy data]]-AH84</f>
        <v>0</v>
      </c>
      <c r="AJ85" s="95">
        <f>Tabella34[[#This Row],[Lombardy data]]*NOT(ISBLANK(Tabella34[[#This Row],[Lombardy data]]))</f>
        <v>0</v>
      </c>
      <c r="AK85" s="95">
        <f>Tabella8[[#This Row],[Lombardy fit]]</f>
        <v>18389.432504465833</v>
      </c>
      <c r="AL85" s="157">
        <f>_xlfn.LOGNORM.INV(alpha*Tabella34[[#This Row],[Lombardy cumul. Fit]]/Kr,mu_r,sigma_r)-(Tabella34[[#This Row],[Day]]-pr)</f>
        <v>10.733267061569258</v>
      </c>
      <c r="AM85" s="95">
        <f>Tabella34[[#This Row],[Lombardy cumul. Fit]]/Kl</f>
        <v>0.21137278740765325</v>
      </c>
      <c r="AN85" s="95">
        <f>IFERROR(Kr*_xlfn.LOGNORM.DIST((Tabella34[[#This Row],[Day]]-pr),mu_r,sigma_r,FALSE),0)</f>
        <v>1580.5609923813795</v>
      </c>
      <c r="AO85" s="202">
        <f>Tabella34[[#This Row],[Lombardy velocity]]/Tabella34[[#This Row],[Lombardy cumul. Fit]]</f>
        <v>8.5949416437812523E-2</v>
      </c>
      <c r="AP85" s="259">
        <f>(LN(Tabella34[[#This Row],[Day]]-pr)-mu_r)/sigma_r</f>
        <v>-0.80166706030278034</v>
      </c>
      <c r="AQ85" s="262">
        <f>EXP(mu_r+sigma_r*Tabella34[[#This Row],[x_r_alpha©+plus]])-(Tabella34[[#This Row],[Day]]-pr)</f>
        <v>37.398025178104874</v>
      </c>
      <c r="AR85" s="262">
        <f>EXP(mu_r+sigma_r*Tabella34[[#This Row],[x_r_alpha©-minus]])-(Tabella34[[#This Row],[Day]]-pr)</f>
        <v>-11.191993547694921</v>
      </c>
      <c r="AS85" s="262">
        <f>-sigma_r+SQRT(sigma_r^2-2*Tabella34[[#This Row],[c_r]])</f>
        <v>0.92410284295707323</v>
      </c>
      <c r="AT85" s="262">
        <f>-sigma_r-SQRT(sigma_r^2-2*Tabella34[[#This Row],[c_r]])</f>
        <v>-1.6049574401508024</v>
      </c>
      <c r="AU85" s="262">
        <f>mu_r-LN(alpha*Kr/(Tabella34[[#This Row],[Lombardy velocity]]*sigma_r*SQRTPI(2)))</f>
        <v>-0.74157286663423161</v>
      </c>
      <c r="AV85" s="262">
        <f>Tabella34[[#This Row],[t_alpha_r+plus]]</f>
        <v>37.398025178104874</v>
      </c>
      <c r="AW85" s="90">
        <f>IFERROR(-Kl*_xlfn.LOGNORM.DIST((Tabella34[[#This Row],[Day]]-pl),mu_l,sigma_l,FALSE)*(1+(LN((Tabella34[[#This Row],[Day]]-pl))-mu_l)/sigma_l^2)/(Tabella34[[#This Row],[Day]]-pl),0)</f>
        <v>45.779808688402092</v>
      </c>
      <c r="AX85" s="95">
        <f>Tabella34[[#This Row],[Lombardy acc. fit]]/y_l_peak</f>
        <v>2.6041521219526485E-2</v>
      </c>
      <c r="AY85" s="157">
        <f>Tabella34[[#This Row],[Lombardy acc. fit]]*NOT(ISBLANK(Tabella34[[#This Row],[Lombardy data]]))</f>
        <v>45.779808688402092</v>
      </c>
      <c r="AZ85" s="95">
        <f>Tabella34[[#This Row],[Lombardy acc. fit]]+CIl</f>
        <v>2616.1621316048108</v>
      </c>
      <c r="BA85" s="95">
        <f>MAX(Tabella34[[#This Row],[Lombardy acc. fit]]-CIl,0)</f>
        <v>0</v>
      </c>
      <c r="BB85" s="10">
        <f>Tabella8[[#This Row],[rest of Italy ]]</f>
        <v>13910</v>
      </c>
      <c r="BC85" s="10">
        <f>(Tabella34[[#This Row],[rest of Italy cum. Data]]-BB84)</f>
        <v>2162</v>
      </c>
      <c r="BD85" s="10">
        <f>Tabella34[[#This Row],[rest of Italy data]]-BC84</f>
        <v>356</v>
      </c>
      <c r="BE85" s="95">
        <f>Tabella34[[#This Row],[rest of Italy data]]*NOT(ISBLANK(Tabella34[[#This Row],[rest of Italy data]]))</f>
        <v>2162</v>
      </c>
      <c r="BF85" s="95">
        <f>Tabella8[[#This Row],[rest of Italy fit]]</f>
        <v>20323.041866037074</v>
      </c>
      <c r="BG85" s="157">
        <f>_xlfn.LOGNORM.INV(alpha*Tabella34[[#This Row],[rest of Italy cumul. Fit]]/Ko,mu_o,sigma_o)-(Tabella34[[#This Row],[Day]]-po)</f>
        <v>6.9273288618755302</v>
      </c>
      <c r="BH85" s="95">
        <f>Tabella34[[#This Row],[rest of Italy cumul. Fit]]/Ka</f>
        <v>0.13731786643157598</v>
      </c>
      <c r="BI85" s="157">
        <f>IFERROR(Ko*_xlfn.LOGNORM.DIST((Tabella34[[#This Row],[Day]]-po),mu_o,sigma_o,FALSE),0)</f>
        <v>2510.3750155728749</v>
      </c>
      <c r="BJ85" s="199">
        <f>Tabella34[[#This Row],[rest of Italy velocity]]/Tabella34[[#This Row],[rest of Italy cumul. Fit]]</f>
        <v>0.12352358628794134</v>
      </c>
      <c r="BK85" s="254">
        <f>(LN(Tabella34[[#This Row],[Day]]-po)-mu_o)/sigma_o</f>
        <v>-1.0924491425038811</v>
      </c>
      <c r="BL85" s="262">
        <f>EXP(mu_o+sigma_o*Tabella34[[#This Row],[x_o_alpha©+plus]])-(Tabella34[[#This Row],[Day]]-po)</f>
        <v>40.861144981946424</v>
      </c>
      <c r="BM85" s="262">
        <f>EXP(mu_o+sigma_o*Tabella34[[#This Row],[x_o_alpha©-minus]])-(Tabella34[[#This Row],[Day]]-po)</f>
        <v>-7.4531852409332018</v>
      </c>
      <c r="BN85" s="262">
        <f>-sigma_o+SQRT(sigma_o^2-2*Tabella34[[#This Row],[c_o]])</f>
        <v>1.0858792102446051</v>
      </c>
      <c r="BO85" s="262">
        <f>-sigma_o-SQRT(sigma_o^2-2*Tabella34[[#This Row],[c_o]])</f>
        <v>-1.7288519875436315</v>
      </c>
      <c r="BP85" s="262">
        <f>mu_o-LN(alpha*Ko/(Tabella34[[#This Row],[rest of Italy velocity]]*sigma_o*SQRTPI(2)))</f>
        <v>-0.93866221543184736</v>
      </c>
      <c r="BQ85" s="262">
        <f>Tabella34[[#This Row],[t_alpha_o+plus]]</f>
        <v>40.861144981946424</v>
      </c>
      <c r="BR85" s="90">
        <f>IFERROR(-Ka*_xlfn.LOGNORM.DIST((Tabella34[[#This Row],[Day]]-pa),mu_a,sigma_a,FALSE)*(1+(LN((Tabella34[[#This Row],[Day]]-pa))-mu_a)/sigma_a^2)/(Tabella34[[#This Row],[Day]]-pa),0)</f>
        <v>149.44871716774392</v>
      </c>
      <c r="BS85" s="95">
        <f>Tabella34[[#This Row],[rest of Italy acc. fit]]/y_a_peak</f>
        <v>4.4226730578683621E-2</v>
      </c>
      <c r="BT85" s="95">
        <f>Tabella34[[#This Row],[rest of Italy acc. fit]]*NOT(ISBLANK(Tabella34[[#This Row],[rest of Italy data]]))</f>
        <v>149.44871716774392</v>
      </c>
      <c r="BU85" s="95">
        <f>Tabella34[[#This Row],[rest of Italy acc. fit]]+CIa</f>
        <v>5488.2881523277611</v>
      </c>
      <c r="BV85" s="95">
        <f>MAX(Tabella34[[#This Row],[rest of Italy acc. fit]]-CIa,0)</f>
        <v>0</v>
      </c>
    </row>
    <row r="86" spans="2:74" x14ac:dyDescent="0.3">
      <c r="B86" s="281">
        <v>43909</v>
      </c>
      <c r="C86" s="29">
        <v>79</v>
      </c>
      <c r="D86" s="10">
        <f>Tabella8[[#This Row],[Spain cum. Cases]]</f>
        <v>17963</v>
      </c>
      <c r="E86" s="90">
        <f>(Tabella34[[#This Row],[Spain cumul. Cases]]-D85)</f>
        <v>4053</v>
      </c>
      <c r="F86" s="90">
        <f>Tabella34[[#This Row],[Spain daily cases]]-E85</f>
        <v>1891</v>
      </c>
      <c r="G86" s="95">
        <f>Tabella34[[#This Row],[Spain daily cases]]*NOT(ISBLANK(Tabella34[[#This Row],[Spain daily cases]]))</f>
        <v>4053</v>
      </c>
      <c r="H86" s="157">
        <f>Tabella8[[#This Row],[Spain cum. fit]]</f>
        <v>23839.164911236599</v>
      </c>
      <c r="I86" s="157">
        <f>_xlfn.LOGNORM.INV(alpha*Tabella34[[#This Row],[Spain cumul. Fit]]/Kt,mu_t,sigma_t)-(Tabella34[[#This Row],[Day]]-pt)</f>
        <v>5.313092959978178</v>
      </c>
      <c r="J86" s="157">
        <f>Tabella34[[#This Row],[Spain fitted d.t.]]/Spain_dt_at_lockdown</f>
        <v>1.4177796489802053</v>
      </c>
      <c r="K86" s="95">
        <f>Tabella34[[#This Row],[Spain cumul. Fit]]/Kf</f>
        <v>8.5139906376525049E-2</v>
      </c>
      <c r="L86" s="160"/>
      <c r="M86" s="95"/>
      <c r="N86" s="157">
        <f>IFERROR(Kt*_xlfn.LOGNORM.DIST((Tabella34[[#This Row],[Day]]-pt),mu_t,sigma_t,FALSE),0)</f>
        <v>3634.5003228955043</v>
      </c>
      <c r="O86" s="157" t="e">
        <f>Kt*EXP(-0.5*Tabella34[[#This Row],[x_t]]^2)/(sigma_t*SQRTPI(2)*(Tabella34[[#This Row],[Day]]-D_bk))</f>
        <v>#NAME?</v>
      </c>
      <c r="P86" s="199">
        <f>Tabella34[[#This Row],[Spain fitted velocity]]/Tabella34[[#This Row],[Spain cumul. Fit]]</f>
        <v>0.15245921308184673</v>
      </c>
      <c r="Q86" s="262">
        <f>(LN(Tabella34[[#This Row],[Day]]-pt)-mu_t)/sigma_t</f>
        <v>-1.3713052725932715</v>
      </c>
      <c r="R86" s="262">
        <f>EXP(mu_t+sigma_t*Tabella34[[#This Row],[x_t_alpha©+plus]])-(Tabella34[[#This Row],[Day]]-pt)</f>
        <v>47.9970171781641</v>
      </c>
      <c r="S86" s="262">
        <f>EXP(mu_t+sigma_t*Tabella34[[#This Row],[x_t_alpha©-minus]])-(Tabella34[[#This Row],[Day]]-pt)</f>
        <v>-5.7255409535152282</v>
      </c>
      <c r="T86" s="262">
        <f>-sigma_t+SQRT(sigma_t^2-2*Tabella34[[#This Row],[c_t]])</f>
        <v>1.3443486315406452</v>
      </c>
      <c r="U86" s="262">
        <f>-sigma_t-SQRT(sigma_t^2-2*Tabella34[[#This Row],[c_t]])</f>
        <v>-1.8817879813838125</v>
      </c>
      <c r="V86" s="262">
        <f>mu_t-LN(alpha*Kt/(Tabella34[[#This Row],[Spain fitted velocity]]*sigma_t*SQRTPI(2)))</f>
        <v>-1.2648895488114809</v>
      </c>
      <c r="W86" s="262">
        <f>Tabella34[[#This Row],[Spain fitted g.r.]]/Spain_gr_at_lockdown</f>
        <v>0.73575350557571928</v>
      </c>
      <c r="X86" s="262">
        <f>Tabella34[[#This Row],[t_alpha_t+plus]]</f>
        <v>47.9970171781641</v>
      </c>
      <c r="Y86" s="262">
        <f>Tabella34[[#This Row],[Spain fitted h.t.]]/Spain_ht_at_lockdown</f>
        <v>0.77967142617608876</v>
      </c>
      <c r="Z86" s="90">
        <f>IFERROR(-Kf*_xlfn.LOGNORM.DIST((Tabella34[[#This Row],[Day]]-pf),mu_f,sigma_f,FALSE)*(1+(LN((Tabella34[[#This Row],[Day]]-pf))-mu_f)/sigma_f^2)/(Tabella34[[#This Row],[Day]]-pf),0)</f>
        <v>333.86773084120313</v>
      </c>
      <c r="AA86" s="90">
        <f>Tabella34[[#This Row],[Spain acc. fit]]/Spain_acc_at_lockdown</f>
        <v>1.1377108565646881</v>
      </c>
      <c r="AB86" s="95">
        <f>Tabella34[[#This Row],[Spain acc. fit]]/y_f_peak</f>
        <v>5.0020141795198453E-2</v>
      </c>
      <c r="AC86" s="157">
        <f>Tabella34[[#This Row],[Colonna4]]*NOT(ISBLANK(Tabella34[[#This Row],[Spain daily cases]]))</f>
        <v>0</v>
      </c>
      <c r="AD86" s="157">
        <f>Tabella34[[#This Row],[Spain acc. fit]]*NOT(ISBLANK(Tabella34[[#This Row],[Spain daily cases]]))</f>
        <v>333.86773084120313</v>
      </c>
      <c r="AE86" s="95">
        <f>Tabella34[[#This Row],[Spain acc. fit]]+CIf</f>
        <v>2676.5561485222956</v>
      </c>
      <c r="AF86" s="95">
        <f>MAX(Tabella34[[#This Row],[Spain acc. fit]]-CIf,0)</f>
        <v>0</v>
      </c>
      <c r="AG86" s="4">
        <f>Tabella8[[#This Row],[Lombardy]]</f>
        <v>0</v>
      </c>
      <c r="AH86" s="90">
        <f>(Tabella34[[#This Row],[Lombardy cumul. Data]]-AG85)</f>
        <v>0</v>
      </c>
      <c r="AI86" s="90">
        <f>Tabella34[[#This Row],[Lombardy data]]-AH85</f>
        <v>0</v>
      </c>
      <c r="AJ86" s="95">
        <f>Tabella34[[#This Row],[Lombardy data]]*NOT(ISBLANK(Tabella34[[#This Row],[Lombardy data]]))</f>
        <v>0</v>
      </c>
      <c r="AK86" s="95">
        <f>Tabella8[[#This Row],[Lombardy fit]]</f>
        <v>19991.897040773845</v>
      </c>
      <c r="AL86" s="157">
        <f>_xlfn.LOGNORM.INV(alpha*Tabella34[[#This Row],[Lombardy cumul. Fit]]/Kr,mu_r,sigma_r)-(Tabella34[[#This Row],[Day]]-pr)</f>
        <v>11.591110530717224</v>
      </c>
      <c r="AM86" s="95">
        <f>Tabella34[[#This Row],[Lombardy cumul. Fit]]/Kl</f>
        <v>0.22979192000889478</v>
      </c>
      <c r="AN86" s="95">
        <f>IFERROR(Kr*_xlfn.LOGNORM.DIST((Tabella34[[#This Row],[Day]]-pr),mu_r,sigma_r,FALSE),0)</f>
        <v>1623.3769301389393</v>
      </c>
      <c r="AO86" s="202">
        <f>Tabella34[[#This Row],[Lombardy velocity]]/Tabella34[[#This Row],[Lombardy cumul. Fit]]</f>
        <v>8.120174522848092E-2</v>
      </c>
      <c r="AP86" s="259">
        <f>(LN(Tabella34[[#This Row],[Day]]-pr)-mu_r)/sigma_r</f>
        <v>-0.73953228970782614</v>
      </c>
      <c r="AQ86" s="262">
        <f>EXP(mu_r+sigma_r*Tabella34[[#This Row],[x_r_alpha©+plus]])-(Tabella34[[#This Row],[Day]]-pr)</f>
        <v>35.789384538142386</v>
      </c>
      <c r="AR86" s="262">
        <f>EXP(mu_r+sigma_r*Tabella34[[#This Row],[x_r_alpha©-minus]])-(Tabella34[[#This Row],[Day]]-pr)</f>
        <v>-11.932813312849582</v>
      </c>
      <c r="AS86" s="262">
        <f>-sigma_r+SQRT(sigma_r^2-2*Tabella34[[#This Row],[c_r]])</f>
        <v>0.9027859393673916</v>
      </c>
      <c r="AT86" s="262">
        <f>-sigma_r-SQRT(sigma_r^2-2*Tabella34[[#This Row],[c_r]])</f>
        <v>-1.5836405365611208</v>
      </c>
      <c r="AU86" s="262">
        <f>mu_r-LN(alpha*Kr/(Tabella34[[#This Row],[Lombardy velocity]]*sigma_r*SQRTPI(2)))</f>
        <v>-0.71484420470980581</v>
      </c>
      <c r="AV86" s="262">
        <f>Tabella34[[#This Row],[t_alpha_r+plus]]</f>
        <v>35.789384538142386</v>
      </c>
      <c r="AW86" s="90">
        <f>IFERROR(-Kl*_xlfn.LOGNORM.DIST((Tabella34[[#This Row],[Day]]-pl),mu_l,sigma_l,FALSE)*(1+(LN((Tabella34[[#This Row],[Day]]-pl))-mu_l)/sigma_l^2)/(Tabella34[[#This Row],[Day]]-pl),0)</f>
        <v>39.834204192229926</v>
      </c>
      <c r="AX86" s="95">
        <f>Tabella34[[#This Row],[Lombardy acc. fit]]/y_l_peak</f>
        <v>2.2659406045043351E-2</v>
      </c>
      <c r="AY86" s="157">
        <f>Tabella34[[#This Row],[Lombardy acc. fit]]*NOT(ISBLANK(Tabella34[[#This Row],[Lombardy data]]))</f>
        <v>39.834204192229926</v>
      </c>
      <c r="AZ86" s="95">
        <f>Tabella34[[#This Row],[Lombardy acc. fit]]+CIl</f>
        <v>2610.2165271086387</v>
      </c>
      <c r="BA86" s="95">
        <f>MAX(Tabella34[[#This Row],[Lombardy acc. fit]]-CIl,0)</f>
        <v>0</v>
      </c>
      <c r="BB86" s="10">
        <f>Tabella8[[#This Row],[rest of Italy ]]</f>
        <v>17963</v>
      </c>
      <c r="BC86" s="10">
        <f>(Tabella34[[#This Row],[rest of Italy cum. Data]]-BB85)</f>
        <v>4053</v>
      </c>
      <c r="BD86" s="10">
        <f>Tabella34[[#This Row],[rest of Italy data]]-BC85</f>
        <v>1891</v>
      </c>
      <c r="BE86" s="95">
        <f>Tabella34[[#This Row],[rest of Italy data]]*NOT(ISBLANK(Tabella34[[#This Row],[rest of Italy data]]))</f>
        <v>4053</v>
      </c>
      <c r="BF86" s="95">
        <f>Tabella8[[#This Row],[rest of Italy fit]]</f>
        <v>22906.450250895345</v>
      </c>
      <c r="BG86" s="157">
        <f>_xlfn.LOGNORM.INV(alpha*Tabella34[[#This Row],[rest of Italy cumul. Fit]]/Ko,mu_o,sigma_o)-(Tabella34[[#This Row],[Day]]-po)</f>
        <v>7.4966323122490337</v>
      </c>
      <c r="BH86" s="95">
        <f>Tabella34[[#This Row],[rest of Italy cumul. Fit]]/Ka</f>
        <v>0.15477333052344602</v>
      </c>
      <c r="BI86" s="157">
        <f>IFERROR(Ko*_xlfn.LOGNORM.DIST((Tabella34[[#This Row],[Day]]-po),mu_o,sigma_o,FALSE),0)</f>
        <v>2654.692103379326</v>
      </c>
      <c r="BJ86" s="199">
        <f>Tabella34[[#This Row],[rest of Italy velocity]]/Tabella34[[#This Row],[rest of Italy cumul. Fit]]</f>
        <v>0.11589277580342515</v>
      </c>
      <c r="BK86" s="254">
        <f>(LN(Tabella34[[#This Row],[Day]]-po)-mu_o)/sigma_o</f>
        <v>-1.0161737357630169</v>
      </c>
      <c r="BL86" s="262">
        <f>EXP(mu_o+sigma_o*Tabella34[[#This Row],[x_o_alpha©+plus]])-(Tabella34[[#This Row],[Day]]-po)</f>
        <v>38.816791423312154</v>
      </c>
      <c r="BM86" s="262">
        <f>EXP(mu_o+sigma_o*Tabella34[[#This Row],[x_o_alpha©-minus]])-(Tabella34[[#This Row],[Day]]-po)</f>
        <v>-8.0251482753446908</v>
      </c>
      <c r="BN86" s="262">
        <f>-sigma_o+SQRT(sigma_o^2-2*Tabella34[[#This Row],[c_o]])</f>
        <v>1.0455852522528528</v>
      </c>
      <c r="BO86" s="262">
        <f>-sigma_o-SQRT(sigma_o^2-2*Tabella34[[#This Row],[c_o]])</f>
        <v>-1.6885580295518792</v>
      </c>
      <c r="BP86" s="262">
        <f>mu_o-LN(alpha*Ko/(Tabella34[[#This Row],[rest of Italy velocity]]*sigma_o*SQRTPI(2)))</f>
        <v>-0.88276568663629096</v>
      </c>
      <c r="BQ86" s="262">
        <f>Tabella34[[#This Row],[t_alpha_o+plus]]</f>
        <v>38.816791423312154</v>
      </c>
      <c r="BR86" s="90">
        <f>IFERROR(-Ka*_xlfn.LOGNORM.DIST((Tabella34[[#This Row],[Day]]-pa),mu_a,sigma_a,FALSE)*(1+(LN((Tabella34[[#This Row],[Day]]-pa))-mu_a)/sigma_a^2)/(Tabella34[[#This Row],[Day]]-pa),0)</f>
        <v>138.95500133363271</v>
      </c>
      <c r="BS86" s="95">
        <f>Tabella34[[#This Row],[rest of Italy acc. fit]]/y_a_peak</f>
        <v>4.1121299152038548E-2</v>
      </c>
      <c r="BT86" s="95">
        <f>Tabella34[[#This Row],[rest of Italy acc. fit]]*NOT(ISBLANK(Tabella34[[#This Row],[rest of Italy data]]))</f>
        <v>138.95500133363271</v>
      </c>
      <c r="BU86" s="95">
        <f>Tabella34[[#This Row],[rest of Italy acc. fit]]+CIa</f>
        <v>5477.7944364936502</v>
      </c>
      <c r="BV86" s="95">
        <f>MAX(Tabella34[[#This Row],[rest of Italy acc. fit]]-CIa,0)</f>
        <v>0</v>
      </c>
    </row>
    <row r="87" spans="2:74" x14ac:dyDescent="0.3">
      <c r="B87" s="281">
        <v>43910</v>
      </c>
      <c r="C87" s="29">
        <v>80</v>
      </c>
      <c r="D87" s="10">
        <f>Tabella8[[#This Row],[Spain cum. Cases]]</f>
        <v>20410</v>
      </c>
      <c r="E87" s="90">
        <f>(Tabella34[[#This Row],[Spain cumul. Cases]]-D86)</f>
        <v>2447</v>
      </c>
      <c r="F87" s="90">
        <f>Tabella34[[#This Row],[Spain daily cases]]-E86</f>
        <v>-1606</v>
      </c>
      <c r="G87" s="95">
        <f>Tabella34[[#This Row],[Spain daily cases]]*NOT(ISBLANK(Tabella34[[#This Row],[Spain daily cases]]))</f>
        <v>2447</v>
      </c>
      <c r="H87" s="157">
        <f>Tabella8[[#This Row],[Spain cum. fit]]</f>
        <v>27640.087393667127</v>
      </c>
      <c r="I87" s="157">
        <f>_xlfn.LOGNORM.INV(alpha*Tabella34[[#This Row],[Spain cumul. Fit]]/Kt,mu_t,sigma_t)-(Tabella34[[#This Row],[Day]]-pt)</f>
        <v>5.7049999200930372</v>
      </c>
      <c r="J87" s="157">
        <f>Tabella34[[#This Row],[Spain fitted d.t.]]/Spain_dt_at_lockdown</f>
        <v>1.5223586045019672</v>
      </c>
      <c r="K87" s="95">
        <f>Tabella34[[#This Row],[Spain cumul. Fit]]/Kf</f>
        <v>9.8714634581288235E-2</v>
      </c>
      <c r="L87" s="160"/>
      <c r="M87" s="95"/>
      <c r="N87" s="157">
        <f>IFERROR(Kt*_xlfn.LOGNORM.DIST((Tabella34[[#This Row],[Day]]-pt),mu_t,sigma_t,FALSE),0)</f>
        <v>3966.6609585455972</v>
      </c>
      <c r="O87" s="157" t="e">
        <f>Kt*EXP(-0.5*Tabella34[[#This Row],[x_t]]^2)/(sigma_t*SQRTPI(2)*(Tabella34[[#This Row],[Day]]-D_bk))</f>
        <v>#NAME?</v>
      </c>
      <c r="P87" s="199">
        <f>Tabella34[[#This Row],[Spain fitted velocity]]/Tabella34[[#This Row],[Spain cumul. Fit]]</f>
        <v>0.14351115834222852</v>
      </c>
      <c r="Q87" s="262">
        <f>(LN(Tabella34[[#This Row],[Day]]-pt)-mu_t)/sigma_t</f>
        <v>-1.2889103104938191</v>
      </c>
      <c r="R87" s="262">
        <f>EXP(mu_t+sigma_t*Tabella34[[#This Row],[x_t_alpha©+plus]])-(Tabella34[[#This Row],[Day]]-pt)</f>
        <v>45.633672006267602</v>
      </c>
      <c r="S87" s="262">
        <f>EXP(mu_t+sigma_t*Tabella34[[#This Row],[x_t_alpha©-minus]])-(Tabella34[[#This Row],[Day]]-pt)</f>
        <v>-6.1440517484648254</v>
      </c>
      <c r="T87" s="262">
        <f>-sigma_t+SQRT(sigma_t^2-2*Tabella34[[#This Row],[c_t]])</f>
        <v>1.2891902371173543</v>
      </c>
      <c r="U87" s="262">
        <f>-sigma_t-SQRT(sigma_t^2-2*Tabella34[[#This Row],[c_t]])</f>
        <v>-1.8266295869605216</v>
      </c>
      <c r="V87" s="262">
        <f>mu_t-LN(alpha*Kt/(Tabella34[[#This Row],[Spain fitted velocity]]*sigma_t*SQRTPI(2)))</f>
        <v>-1.1774365151696049</v>
      </c>
      <c r="W87" s="262">
        <f>Tabella34[[#This Row],[Spain fitted g.r.]]/Spain_gr_at_lockdown</f>
        <v>0.69257105362889471</v>
      </c>
      <c r="X87" s="262">
        <f>Tabella34[[#This Row],[t_alpha_t+plus]]</f>
        <v>45.633672006267602</v>
      </c>
      <c r="Y87" s="262">
        <f>Tabella34[[#This Row],[Spain fitted h.t.]]/Spain_ht_at_lockdown</f>
        <v>0.74128085923983322</v>
      </c>
      <c r="Z87" s="90">
        <f>IFERROR(-Kf*_xlfn.LOGNORM.DIST((Tabella34[[#This Row],[Day]]-pf),mu_f,sigma_f,FALSE)*(1+(LN((Tabella34[[#This Row],[Day]]-pf))-mu_f)/sigma_f^2)/(Tabella34[[#This Row],[Day]]-pf),0)</f>
        <v>329.76765404326522</v>
      </c>
      <c r="AA87" s="90">
        <f>Tabella34[[#This Row],[Spain acc. fit]]/Spain_acc_at_lockdown</f>
        <v>1.1237391502425171</v>
      </c>
      <c r="AB87" s="95">
        <f>Tabella34[[#This Row],[Spain acc. fit]]/y_f_peak</f>
        <v>4.9405867327021104E-2</v>
      </c>
      <c r="AC87" s="157">
        <f>Tabella34[[#This Row],[Colonna4]]*NOT(ISBLANK(Tabella34[[#This Row],[Spain daily cases]]))</f>
        <v>0</v>
      </c>
      <c r="AD87" s="157">
        <f>Tabella34[[#This Row],[Spain acc. fit]]*NOT(ISBLANK(Tabella34[[#This Row],[Spain daily cases]]))</f>
        <v>329.76765404326522</v>
      </c>
      <c r="AE87" s="95">
        <f>Tabella34[[#This Row],[Spain acc. fit]]+CIf</f>
        <v>2672.456071724358</v>
      </c>
      <c r="AF87" s="95">
        <f>MAX(Tabella34[[#This Row],[Spain acc. fit]]-CIf,0)</f>
        <v>0</v>
      </c>
      <c r="AG87" s="4">
        <f>Tabella8[[#This Row],[Lombardy]]</f>
        <v>0</v>
      </c>
      <c r="AH87" s="90">
        <f>(Tabella34[[#This Row],[Lombardy cumul. Data]]-AG86)</f>
        <v>0</v>
      </c>
      <c r="AI87" s="90">
        <f>Tabella34[[#This Row],[Lombardy data]]-AH86</f>
        <v>0</v>
      </c>
      <c r="AJ87" s="95">
        <f>Tabella34[[#This Row],[Lombardy data]]*NOT(ISBLANK(Tabella34[[#This Row],[Lombardy data]]))</f>
        <v>0</v>
      </c>
      <c r="AK87" s="95">
        <f>Tabella8[[#This Row],[Lombardy fit]]</f>
        <v>21634.190021491242</v>
      </c>
      <c r="AL87" s="157">
        <f>_xlfn.LOGNORM.INV(alpha*Tabella34[[#This Row],[Lombardy cumul. Fit]]/Kr,mu_r,sigma_r)-(Tabella34[[#This Row],[Day]]-pr)</f>
        <v>12.538528732472578</v>
      </c>
      <c r="AM87" s="95">
        <f>Tabella34[[#This Row],[Lombardy cumul. Fit]]/Kl</f>
        <v>0.24866885082173842</v>
      </c>
      <c r="AN87" s="95">
        <f>IFERROR(Kr*_xlfn.LOGNORM.DIST((Tabella34[[#This Row],[Day]]-pr),mu_r,sigma_r,FALSE),0)</f>
        <v>1660.2063260677619</v>
      </c>
      <c r="AO87" s="202">
        <f>Tabella34[[#This Row],[Lombardy velocity]]/Tabella34[[#This Row],[Lombardy cumul. Fit]]</f>
        <v>7.6739934539658078E-2</v>
      </c>
      <c r="AP87" s="259">
        <f>(LN(Tabella34[[#This Row],[Day]]-pr)-mu_r)/sigma_r</f>
        <v>-0.67868463827297931</v>
      </c>
      <c r="AQ87" s="262">
        <f>EXP(mu_r+sigma_r*Tabella34[[#This Row],[x_r_alpha©+plus]])-(Tabella34[[#This Row],[Day]]-pr)</f>
        <v>34.273855851298123</v>
      </c>
      <c r="AR87" s="262">
        <f>EXP(mu_r+sigma_r*Tabella34[[#This Row],[x_r_alpha©-minus]])-(Tabella34[[#This Row],[Day]]-pr)</f>
        <v>-12.71031185738088</v>
      </c>
      <c r="AS87" s="262">
        <f>-sigma_r+SQRT(sigma_r^2-2*Tabella34[[#This Row],[c_r]])</f>
        <v>0.88460836984901925</v>
      </c>
      <c r="AT87" s="262">
        <f>-sigma_r-SQRT(sigma_r^2-2*Tabella34[[#This Row],[c_r]])</f>
        <v>-1.5654629670427485</v>
      </c>
      <c r="AU87" s="262">
        <f>mu_r-LN(alpha*Kr/(Tabella34[[#This Row],[Lombardy velocity]]*sigma_r*SQRTPI(2)))</f>
        <v>-0.69241082166734724</v>
      </c>
      <c r="AV87" s="262">
        <f>Tabella34[[#This Row],[t_alpha_r+plus]]</f>
        <v>34.273855851298123</v>
      </c>
      <c r="AW87" s="90">
        <f>IFERROR(-Kl*_xlfn.LOGNORM.DIST((Tabella34[[#This Row],[Day]]-pl),mu_l,sigma_l,FALSE)*(1+(LN((Tabella34[[#This Row],[Day]]-pl))-mu_l)/sigma_l^2)/(Tabella34[[#This Row],[Day]]-pl),0)</f>
        <v>33.819162319102674</v>
      </c>
      <c r="AX87" s="95">
        <f>Tabella34[[#This Row],[Lombardy acc. fit]]/y_l_peak</f>
        <v>1.9237791908524093E-2</v>
      </c>
      <c r="AY87" s="157">
        <f>Tabella34[[#This Row],[Lombardy acc. fit]]*NOT(ISBLANK(Tabella34[[#This Row],[Lombardy data]]))</f>
        <v>33.819162319102674</v>
      </c>
      <c r="AZ87" s="95">
        <f>Tabella34[[#This Row],[Lombardy acc. fit]]+CIl</f>
        <v>2604.2014852355114</v>
      </c>
      <c r="BA87" s="95">
        <f>MAX(Tabella34[[#This Row],[Lombardy acc. fit]]-CIl,0)</f>
        <v>0</v>
      </c>
      <c r="BB87" s="10">
        <f>Tabella8[[#This Row],[rest of Italy ]]</f>
        <v>20410</v>
      </c>
      <c r="BC87" s="10">
        <f>(Tabella34[[#This Row],[rest of Italy cum. Data]]-BB86)</f>
        <v>2447</v>
      </c>
      <c r="BD87" s="10">
        <f>Tabella34[[#This Row],[rest of Italy data]]-BC86</f>
        <v>-1606</v>
      </c>
      <c r="BE87" s="95">
        <f>Tabella34[[#This Row],[rest of Italy data]]*NOT(ISBLANK(Tabella34[[#This Row],[rest of Italy data]]))</f>
        <v>2447</v>
      </c>
      <c r="BF87" s="95">
        <f>Tabella8[[#This Row],[rest of Italy fit]]</f>
        <v>25628.708969359228</v>
      </c>
      <c r="BG87" s="157">
        <f>_xlfn.LOGNORM.INV(alpha*Tabella34[[#This Row],[rest of Italy cumul. Fit]]/Ko,mu_o,sigma_o)-(Tabella34[[#This Row],[Day]]-po)</f>
        <v>8.121053278192349</v>
      </c>
      <c r="BH87" s="95">
        <f>Tabella34[[#This Row],[rest of Italy cumul. Fit]]/Ka</f>
        <v>0.17316697265429842</v>
      </c>
      <c r="BI87" s="157">
        <f>IFERROR(Ko*_xlfn.LOGNORM.DIST((Tabella34[[#This Row],[Day]]-po),mu_o,sigma_o,FALSE),0)</f>
        <v>2787.8663782449853</v>
      </c>
      <c r="BJ87" s="199">
        <f>Tabella34[[#This Row],[rest of Italy velocity]]/Tabella34[[#This Row],[rest of Italy cumul. Fit]]</f>
        <v>0.10877904078500635</v>
      </c>
      <c r="BK87" s="254">
        <f>(LN(Tabella34[[#This Row],[Day]]-po)-mu_o)/sigma_o</f>
        <v>-0.94172403697876905</v>
      </c>
      <c r="BL87" s="262">
        <f>EXP(mu_o+sigma_o*Tabella34[[#This Row],[x_o_alpha©+plus]])-(Tabella34[[#This Row],[Day]]-po)</f>
        <v>36.887812182076928</v>
      </c>
      <c r="BM87" s="262">
        <f>EXP(mu_o+sigma_o*Tabella34[[#This Row],[x_o_alpha©-minus]])-(Tabella34[[#This Row],[Day]]-po)</f>
        <v>-8.6349081880481933</v>
      </c>
      <c r="BN87" s="262">
        <f>-sigma_o+SQRT(sigma_o^2-2*Tabella34[[#This Row],[c_o]])</f>
        <v>1.0092987561146205</v>
      </c>
      <c r="BO87" s="262">
        <f>-sigma_o-SQRT(sigma_o^2-2*Tabella34[[#This Row],[c_o]])</f>
        <v>-1.6522715334136464</v>
      </c>
      <c r="BP87" s="262">
        <f>mu_o-LN(alpha*Ko/(Tabella34[[#This Row],[rest of Italy velocity]]*sigma_o*SQRTPI(2)))</f>
        <v>-0.833817801718995</v>
      </c>
      <c r="BQ87" s="262">
        <f>Tabella34[[#This Row],[t_alpha_o+plus]]</f>
        <v>36.887812182076928</v>
      </c>
      <c r="BR87" s="90">
        <f>IFERROR(-Ka*_xlfn.LOGNORM.DIST((Tabella34[[#This Row],[Day]]-pa),mu_a,sigma_a,FALSE)*(1+(LN((Tabella34[[#This Row],[Day]]-pa))-mu_a)/sigma_a^2)/(Tabella34[[#This Row],[Day]]-pa),0)</f>
        <v>127.20555148449284</v>
      </c>
      <c r="BS87" s="95">
        <f>Tabella34[[#This Row],[rest of Italy acc. fit]]/y_a_peak</f>
        <v>3.7644255235077986E-2</v>
      </c>
      <c r="BT87" s="95">
        <f>Tabella34[[#This Row],[rest of Italy acc. fit]]*NOT(ISBLANK(Tabella34[[#This Row],[rest of Italy data]]))</f>
        <v>127.20555148449284</v>
      </c>
      <c r="BU87" s="95">
        <f>Tabella34[[#This Row],[rest of Italy acc. fit]]+CIa</f>
        <v>5466.0449866445106</v>
      </c>
      <c r="BV87" s="95">
        <f>MAX(Tabella34[[#This Row],[rest of Italy acc. fit]]-CIa,0)</f>
        <v>0</v>
      </c>
    </row>
    <row r="88" spans="2:74" x14ac:dyDescent="0.3">
      <c r="B88" s="281">
        <v>43911</v>
      </c>
      <c r="C88" s="29">
        <v>81</v>
      </c>
      <c r="D88" s="10">
        <f>Tabella8[[#This Row],[Spain cum. Cases]]</f>
        <v>25374</v>
      </c>
      <c r="E88" s="90">
        <f>(Tabella34[[#This Row],[Spain cumul. Cases]]-D87)</f>
        <v>4964</v>
      </c>
      <c r="F88" s="90">
        <f>Tabella34[[#This Row],[Spain daily cases]]-E87</f>
        <v>2517</v>
      </c>
      <c r="G88" s="95">
        <f>Tabella34[[#This Row],[Spain daily cases]]*NOT(ISBLANK(Tabella34[[#This Row],[Spain daily cases]]))</f>
        <v>4964</v>
      </c>
      <c r="H88" s="157">
        <f>Tabella8[[#This Row],[Spain cum. fit]]</f>
        <v>31770.44073662578</v>
      </c>
      <c r="I88" s="157">
        <f>_xlfn.LOGNORM.INV(alpha*Tabella34[[#This Row],[Spain cumul. Fit]]/Kt,mu_t,sigma_t)-(Tabella34[[#This Row],[Day]]-pt)</f>
        <v>6.1304132618487372</v>
      </c>
      <c r="J88" s="157">
        <f>Tabella34[[#This Row],[Spain fitted d.t.]]/Spain_dt_at_lockdown</f>
        <v>1.6358786168354931</v>
      </c>
      <c r="K88" s="95">
        <f>Tabella34[[#This Row],[Spain cumul. Fit]]/Kf</f>
        <v>0.11346590201162145</v>
      </c>
      <c r="L88" s="160"/>
      <c r="M88" s="95"/>
      <c r="N88" s="157">
        <f>IFERROR(Kt*_xlfn.LOGNORM.DIST((Tabella34[[#This Row],[Day]]-pt),mu_t,sigma_t,FALSE),0)</f>
        <v>4292.6889818532982</v>
      </c>
      <c r="O88" s="157" t="e">
        <f>Kt*EXP(-0.5*Tabella34[[#This Row],[x_t]]^2)/(sigma_t*SQRTPI(2)*(Tabella34[[#This Row],[Day]]-D_bk))</f>
        <v>#NAME?</v>
      </c>
      <c r="P88" s="199">
        <f>Tabella34[[#This Row],[Spain fitted velocity]]/Tabella34[[#This Row],[Spain cumul. Fit]]</f>
        <v>0.13511581464794023</v>
      </c>
      <c r="Q88" s="262">
        <f>(LN(Tabella34[[#This Row],[Day]]-pt)-mu_t)/sigma_t</f>
        <v>-1.2083002196357027</v>
      </c>
      <c r="R88" s="262">
        <f>EXP(mu_t+sigma_t*Tabella34[[#This Row],[x_t_alpha©+plus]])-(Tabella34[[#This Row],[Day]]-pt)</f>
        <v>43.37754008393577</v>
      </c>
      <c r="S88" s="262">
        <f>EXP(mu_t+sigma_t*Tabella34[[#This Row],[x_t_alpha©-minus]])-(Tabella34[[#This Row],[Day]]-pt)</f>
        <v>-6.5927049260629644</v>
      </c>
      <c r="T88" s="262">
        <f>-sigma_t+SQRT(sigma_t^2-2*Tabella34[[#This Row],[c_t]])</f>
        <v>1.2376355159697183</v>
      </c>
      <c r="U88" s="262">
        <f>-sigma_t-SQRT(sigma_t^2-2*Tabella34[[#This Row],[c_t]])</f>
        <v>-1.7750748658128856</v>
      </c>
      <c r="V88" s="262">
        <f>mu_t-LN(alpha*Kt/(Tabella34[[#This Row],[Spain fitted velocity]]*sigma_t*SQRTPI(2)))</f>
        <v>-1.0984478487176048</v>
      </c>
      <c r="W88" s="262">
        <f>Tabella34[[#This Row],[Spain fitted g.r.]]/Spain_gr_at_lockdown</f>
        <v>0.65205593205162682</v>
      </c>
      <c r="X88" s="262">
        <f>Tabella34[[#This Row],[t_alpha_t+plus]]</f>
        <v>43.37754008393577</v>
      </c>
      <c r="Y88" s="262">
        <f>Tabella34[[#This Row],[Spain fitted h.t.]]/Spain_ht_at_lockdown</f>
        <v>0.70463188192950721</v>
      </c>
      <c r="Z88" s="90">
        <f>IFERROR(-Kf*_xlfn.LOGNORM.DIST((Tabella34[[#This Row],[Day]]-pf),mu_f,sigma_f,FALSE)*(1+(LN((Tabella34[[#This Row],[Day]]-pf))-mu_f)/sigma_f^2)/(Tabella34[[#This Row],[Day]]-pf),0)</f>
        <v>321.63077851943666</v>
      </c>
      <c r="AA88" s="90">
        <f>Tabella34[[#This Row],[Spain acc. fit]]/Spain_acc_at_lockdown</f>
        <v>1.096011368349219</v>
      </c>
      <c r="AB88" s="95">
        <f>Tabella34[[#This Row],[Spain acc. fit]]/y_f_peak</f>
        <v>4.818679872627224E-2</v>
      </c>
      <c r="AC88" s="157">
        <f>Tabella34[[#This Row],[Colonna4]]*NOT(ISBLANK(Tabella34[[#This Row],[Spain daily cases]]))</f>
        <v>0</v>
      </c>
      <c r="AD88" s="157">
        <f>Tabella34[[#This Row],[Spain acc. fit]]*NOT(ISBLANK(Tabella34[[#This Row],[Spain daily cases]]))</f>
        <v>321.63077851943666</v>
      </c>
      <c r="AE88" s="95">
        <f>Tabella34[[#This Row],[Spain acc. fit]]+CIf</f>
        <v>2664.3191962005294</v>
      </c>
      <c r="AF88" s="95">
        <f>MAX(Tabella34[[#This Row],[Spain acc. fit]]-CIf,0)</f>
        <v>0</v>
      </c>
      <c r="AG88" s="4">
        <f>Tabella8[[#This Row],[Lombardy]]</f>
        <v>0</v>
      </c>
      <c r="AH88" s="90">
        <f>(Tabella34[[#This Row],[Lombardy cumul. Data]]-AG87)</f>
        <v>0</v>
      </c>
      <c r="AI88" s="90">
        <f>Tabella34[[#This Row],[Lombardy data]]-AH87</f>
        <v>0</v>
      </c>
      <c r="AJ88" s="95">
        <f>Tabella34[[#This Row],[Lombardy data]]*NOT(ISBLANK(Tabella34[[#This Row],[Lombardy data]]))</f>
        <v>0</v>
      </c>
      <c r="AK88" s="95">
        <f>Tabella8[[#This Row],[Lombardy fit]]</f>
        <v>23310.302349365797</v>
      </c>
      <c r="AL88" s="157">
        <f>_xlfn.LOGNORM.INV(alpha*Tabella34[[#This Row],[Lombardy cumul. Fit]]/Kr,mu_r,sigma_r)-(Tabella34[[#This Row],[Day]]-pr)</f>
        <v>13.590723953151617</v>
      </c>
      <c r="AM88" s="95">
        <f>Tabella34[[#This Row],[Lombardy cumul. Fit]]/Kl</f>
        <v>0.26793450976282523</v>
      </c>
      <c r="AN88" s="95">
        <f>IFERROR(Kr*_xlfn.LOGNORM.DIST((Tabella34[[#This Row],[Day]]-pr),mu_r,sigma_r,FALSE),0)</f>
        <v>1691.0159552256368</v>
      </c>
      <c r="AO88" s="202">
        <f>Tabella34[[#This Row],[Lombardy velocity]]/Tabella34[[#This Row],[Lombardy cumul. Fit]]</f>
        <v>7.2543716073749015E-2</v>
      </c>
      <c r="AP88" s="259">
        <f>(LN(Tabella34[[#This Row],[Day]]-pr)-mu_r)/sigma_r</f>
        <v>-0.6190718611788224</v>
      </c>
      <c r="AQ88" s="262">
        <f>EXP(mu_r+sigma_r*Tabella34[[#This Row],[x_r_alpha©+plus]])-(Tabella34[[#This Row],[Day]]-pr)</f>
        <v>32.847944951181603</v>
      </c>
      <c r="AR88" s="262">
        <f>EXP(mu_r+sigma_r*Tabella34[[#This Row],[x_r_alpha©-minus]])-(Tabella34[[#This Row],[Day]]-pr)</f>
        <v>-13.524394833909021</v>
      </c>
      <c r="AS88" s="262">
        <f>-sigma_r+SQRT(sigma_r^2-2*Tabella34[[#This Row],[c_r]])</f>
        <v>0.86950540753863792</v>
      </c>
      <c r="AT88" s="262">
        <f>-sigma_r-SQRT(sigma_r^2-2*Tabella34[[#This Row],[c_r]])</f>
        <v>-1.5503600047323671</v>
      </c>
      <c r="AU88" s="262">
        <f>mu_r-LN(alpha*Kr/(Tabella34[[#This Row],[Lombardy velocity]]*sigma_r*SQRTPI(2)))</f>
        <v>-0.6740232038732108</v>
      </c>
      <c r="AV88" s="262">
        <f>Tabella34[[#This Row],[t_alpha_r+plus]]</f>
        <v>32.847944951181603</v>
      </c>
      <c r="AW88" s="90">
        <f>IFERROR(-Kl*_xlfn.LOGNORM.DIST((Tabella34[[#This Row],[Day]]-pl),mu_l,sigma_l,FALSE)*(1+(LN((Tabella34[[#This Row],[Day]]-pl))-mu_l)/sigma_l^2)/(Tabella34[[#This Row],[Day]]-pl),0)</f>
        <v>27.805988470199658</v>
      </c>
      <c r="AX88" s="95">
        <f>Tabella34[[#This Row],[Lombardy acc. fit]]/y_l_peak</f>
        <v>1.581724038440685E-2</v>
      </c>
      <c r="AY88" s="157">
        <f>Tabella34[[#This Row],[Lombardy acc. fit]]*NOT(ISBLANK(Tabella34[[#This Row],[Lombardy data]]))</f>
        <v>27.805988470199658</v>
      </c>
      <c r="AZ88" s="95">
        <f>Tabella34[[#This Row],[Lombardy acc. fit]]+CIl</f>
        <v>2598.1883113866083</v>
      </c>
      <c r="BA88" s="95">
        <f>MAX(Tabella34[[#This Row],[Lombardy acc. fit]]-CIl,0)</f>
        <v>0</v>
      </c>
      <c r="BB88" s="10">
        <f>Tabella8[[#This Row],[rest of Italy ]]</f>
        <v>25374</v>
      </c>
      <c r="BC88" s="10">
        <f>(Tabella34[[#This Row],[rest of Italy cum. Data]]-BB87)</f>
        <v>4964</v>
      </c>
      <c r="BD88" s="10">
        <f>Tabella34[[#This Row],[rest of Italy data]]-BC87</f>
        <v>2517</v>
      </c>
      <c r="BE88" s="95">
        <f>Tabella34[[#This Row],[rest of Italy data]]*NOT(ISBLANK(Tabella34[[#This Row],[rest of Italy data]]))</f>
        <v>4964</v>
      </c>
      <c r="BF88" s="95">
        <f>Tabella8[[#This Row],[rest of Italy fit]]</f>
        <v>28478.089944348303</v>
      </c>
      <c r="BG88" s="157">
        <f>_xlfn.LOGNORM.INV(alpha*Tabella34[[#This Row],[rest of Italy cumul. Fit]]/Ko,mu_o,sigma_o)-(Tabella34[[#This Row],[Day]]-po)</f>
        <v>8.808656756494436</v>
      </c>
      <c r="BH88" s="95">
        <f>Tabella34[[#This Row],[rest of Italy cumul. Fit]]/Ka</f>
        <v>0.1924195490508514</v>
      </c>
      <c r="BI88" s="157">
        <f>IFERROR(Ko*_xlfn.LOGNORM.DIST((Tabella34[[#This Row],[Day]]-po),mu_o,sigma_o,FALSE),0)</f>
        <v>2908.7700141799401</v>
      </c>
      <c r="BJ88" s="199">
        <f>Tabella34[[#This Row],[rest of Italy velocity]]/Tabella34[[#This Row],[rest of Italy cumul. Fit]]</f>
        <v>0.10214062880847133</v>
      </c>
      <c r="BK88" s="254">
        <f>(LN(Tabella34[[#This Row],[Day]]-po)-mu_o)/sigma_o</f>
        <v>-0.86901468600425003</v>
      </c>
      <c r="BL88" s="262">
        <f>EXP(mu_o+sigma_o*Tabella34[[#This Row],[x_o_alpha©+plus]])-(Tabella34[[#This Row],[Day]]-po)</f>
        <v>35.070133585781235</v>
      </c>
      <c r="BM88" s="262">
        <f>EXP(mu_o+sigma_o*Tabella34[[#This Row],[x_o_alpha©-minus]])-(Tabella34[[#This Row],[Day]]-po)</f>
        <v>-9.2837655503889209</v>
      </c>
      <c r="BN88" s="262">
        <f>-sigma_o+SQRT(sigma_o^2-2*Tabella34[[#This Row],[c_o]])</f>
        <v>0.97700565889027435</v>
      </c>
      <c r="BO88" s="262">
        <f>-sigma_o-SQRT(sigma_o^2-2*Tabella34[[#This Row],[c_o]])</f>
        <v>-1.6199784361893004</v>
      </c>
      <c r="BP88" s="262">
        <f>mu_o-LN(alpha*Ko/(Tabella34[[#This Row],[rest of Italy velocity]]*sigma_o*SQRTPI(2)))</f>
        <v>-0.79136404971858187</v>
      </c>
      <c r="BQ88" s="262">
        <f>Tabella34[[#This Row],[t_alpha_o+plus]]</f>
        <v>35.070133585781235</v>
      </c>
      <c r="BR88" s="90">
        <f>IFERROR(-Ka*_xlfn.LOGNORM.DIST((Tabella34[[#This Row],[Day]]-pa),mu_a,sigma_a,FALSE)*(1+(LN((Tabella34[[#This Row],[Day]]-pa))-mu_a)/sigma_a^2)/(Tabella34[[#This Row],[Day]]-pa),0)</f>
        <v>114.45645164856597</v>
      </c>
      <c r="BS88" s="95">
        <f>Tabella34[[#This Row],[rest of Italy acc. fit]]/y_a_peak</f>
        <v>3.3871382411208906E-2</v>
      </c>
      <c r="BT88" s="95">
        <f>Tabella34[[#This Row],[rest of Italy acc. fit]]*NOT(ISBLANK(Tabella34[[#This Row],[rest of Italy data]]))</f>
        <v>114.45645164856597</v>
      </c>
      <c r="BU88" s="95">
        <f>Tabella34[[#This Row],[rest of Italy acc. fit]]+CIa</f>
        <v>5453.2958868085834</v>
      </c>
      <c r="BV88" s="95">
        <f>MAX(Tabella34[[#This Row],[rest of Italy acc. fit]]-CIa,0)</f>
        <v>0</v>
      </c>
    </row>
    <row r="89" spans="2:74" x14ac:dyDescent="0.3">
      <c r="B89" s="281">
        <v>43912</v>
      </c>
      <c r="C89" s="29">
        <v>82</v>
      </c>
      <c r="D89" s="10">
        <f>Tabella8[[#This Row],[Spain cum. Cases]]</f>
        <v>28768</v>
      </c>
      <c r="E89" s="90">
        <f>(Tabella34[[#This Row],[Spain cumul. Cases]]-D88)</f>
        <v>3394</v>
      </c>
      <c r="F89" s="90">
        <f>Tabella34[[#This Row],[Spain daily cases]]-E88</f>
        <v>-1570</v>
      </c>
      <c r="G89" s="95">
        <f>Tabella34[[#This Row],[Spain daily cases]]*NOT(ISBLANK(Tabella34[[#This Row],[Spain daily cases]]))</f>
        <v>3394</v>
      </c>
      <c r="H89" s="157">
        <f>Tabella8[[#This Row],[Spain cum. fit]]</f>
        <v>36222.10598532758</v>
      </c>
      <c r="I89" s="157">
        <f>_xlfn.LOGNORM.INV(alpha*Tabella34[[#This Row],[Spain cumul. Fit]]/Kt,mu_t,sigma_t)-(Tabella34[[#This Row],[Day]]-pt)</f>
        <v>6.5935087183775565</v>
      </c>
      <c r="J89" s="157">
        <f>Tabella34[[#This Row],[Spain fitted d.t.]]/Spain_dt_at_lockdown</f>
        <v>1.759453965271417</v>
      </c>
      <c r="K89" s="95">
        <f>Tabella34[[#This Row],[Spain cumul. Fit]]/Kf</f>
        <v>0.12936471238964156</v>
      </c>
      <c r="L89" s="160"/>
      <c r="M89" s="95"/>
      <c r="N89" s="157">
        <f>IFERROR(Kt*_xlfn.LOGNORM.DIST((Tabella34[[#This Row],[Day]]-pt),mu_t,sigma_t,FALSE),0)</f>
        <v>4608.6474712069685</v>
      </c>
      <c r="O89" s="157" t="e">
        <f>Kt*EXP(-0.5*Tabella34[[#This Row],[x_t]]^2)/(sigma_t*SQRTPI(2)*(Tabella34[[#This Row],[Day]]-D_bk))</f>
        <v>#NAME?</v>
      </c>
      <c r="P89" s="199">
        <f>Tabella34[[#This Row],[Spain fitted velocity]]/Tabella34[[#This Row],[Spain cumul. Fit]]</f>
        <v>0.1272330071883116</v>
      </c>
      <c r="Q89" s="262">
        <f>(LN(Tabella34[[#This Row],[Day]]-pt)-mu_t)/sigma_t</f>
        <v>-1.1293993076692654</v>
      </c>
      <c r="R89" s="262">
        <f>EXP(mu_t+sigma_t*Tabella34[[#This Row],[x_t_alpha©+plus]])-(Tabella34[[#This Row],[Day]]-pt)</f>
        <v>41.225721199679825</v>
      </c>
      <c r="S89" s="262">
        <f>EXP(mu_t+sigma_t*Tabella34[[#This Row],[x_t_alpha©-minus]])-(Tabella34[[#This Row],[Day]]-pt)</f>
        <v>-7.0734487872896707</v>
      </c>
      <c r="T89" s="262">
        <f>-sigma_t+SQRT(sigma_t^2-2*Tabella34[[#This Row],[c_t]])</f>
        <v>1.1897260015938547</v>
      </c>
      <c r="U89" s="262">
        <f>-sigma_t-SQRT(sigma_t^2-2*Tabella34[[#This Row],[c_t]])</f>
        <v>-1.727165351437022</v>
      </c>
      <c r="V89" s="262">
        <f>mu_t-LN(alpha*Kt/(Tabella34[[#This Row],[Spain fitted velocity]]*sigma_t*SQRTPI(2)))</f>
        <v>-1.0274267638283066</v>
      </c>
      <c r="W89" s="262">
        <f>Tabella34[[#This Row],[Spain fitted g.r.]]/Spain_gr_at_lockdown</f>
        <v>0.61401426106985013</v>
      </c>
      <c r="X89" s="262">
        <f>Tabella34[[#This Row],[t_alpha_t+plus]]</f>
        <v>41.225721199679825</v>
      </c>
      <c r="Y89" s="262">
        <f>Tabella34[[#This Row],[Spain fitted h.t.]]/Spain_ht_at_lockdown</f>
        <v>0.6696773827335919</v>
      </c>
      <c r="Z89" s="90">
        <f>IFERROR(-Kf*_xlfn.LOGNORM.DIST((Tabella34[[#This Row],[Day]]-pf),mu_f,sigma_f,FALSE)*(1+(LN((Tabella34[[#This Row],[Day]]-pf))-mu_f)/sigma_f^2)/(Tabella34[[#This Row],[Day]]-pf),0)</f>
        <v>309.67144967376419</v>
      </c>
      <c r="AA89" s="90">
        <f>Tabella34[[#This Row],[Spain acc. fit]]/Spain_acc_at_lockdown</f>
        <v>1.0552579291633866</v>
      </c>
      <c r="AB89" s="95">
        <f>Tabella34[[#This Row],[Spain acc. fit]]/y_f_peak</f>
        <v>4.6395049271694168E-2</v>
      </c>
      <c r="AC89" s="157">
        <f>Tabella34[[#This Row],[Colonna4]]*NOT(ISBLANK(Tabella34[[#This Row],[Spain daily cases]]))</f>
        <v>0</v>
      </c>
      <c r="AD89" s="157">
        <f>Tabella34[[#This Row],[Spain acc. fit]]*NOT(ISBLANK(Tabella34[[#This Row],[Spain daily cases]]))</f>
        <v>309.67144967376419</v>
      </c>
      <c r="AE89" s="95">
        <f>Tabella34[[#This Row],[Spain acc. fit]]+CIf</f>
        <v>2652.3598673548568</v>
      </c>
      <c r="AF89" s="95">
        <f>MAX(Tabella34[[#This Row],[Spain acc. fit]]-CIf,0)</f>
        <v>0</v>
      </c>
      <c r="AG89" s="4">
        <f>Tabella8[[#This Row],[Lombardy]]</f>
        <v>0</v>
      </c>
      <c r="AH89" s="90">
        <f>(Tabella34[[#This Row],[Lombardy cumul. Data]]-AG88)</f>
        <v>0</v>
      </c>
      <c r="AI89" s="90">
        <f>Tabella34[[#This Row],[Lombardy data]]-AH88</f>
        <v>0</v>
      </c>
      <c r="AJ89" s="95">
        <f>Tabella34[[#This Row],[Lombardy data]]*NOT(ISBLANK(Tabella34[[#This Row],[Lombardy data]]))</f>
        <v>0</v>
      </c>
      <c r="AK89" s="95">
        <f>Tabella8[[#This Row],[Lombardy fit]]</f>
        <v>25014.226213352795</v>
      </c>
      <c r="AL89" s="157">
        <f>_xlfn.LOGNORM.INV(alpha*Tabella34[[#This Row],[Lombardy cumul. Fit]]/Kr,mu_r,sigma_r)-(Tabella34[[#This Row],[Day]]-pr)</f>
        <v>14.766977540909892</v>
      </c>
      <c r="AM89" s="95">
        <f>Tabella34[[#This Row],[Lombardy cumul. Fit]]/Kl</f>
        <v>0.28751984153279075</v>
      </c>
      <c r="AN89" s="95">
        <f>IFERROR(Kr*_xlfn.LOGNORM.DIST((Tabella34[[#This Row],[Day]]-pr),mu_r,sigma_r,FALSE),0)</f>
        <v>1715.840452770231</v>
      </c>
      <c r="AO89" s="202">
        <f>Tabella34[[#This Row],[Lombardy velocity]]/Tabella34[[#This Row],[Lombardy cumul. Fit]]</f>
        <v>6.8594584463072525E-2</v>
      </c>
      <c r="AP89" s="259">
        <f>(LN(Tabella34[[#This Row],[Day]]-pr)-mu_r)/sigma_r</f>
        <v>-0.56064483139994548</v>
      </c>
      <c r="AQ89" s="262">
        <f>EXP(mu_r+sigma_r*Tabella34[[#This Row],[x_r_alpha©+plus]])-(Tabella34[[#This Row],[Day]]-pr)</f>
        <v>31.508142701776976</v>
      </c>
      <c r="AR89" s="262">
        <f>EXP(mu_r+sigma_r*Tabella34[[#This Row],[x_r_alpha©-minus]])-(Tabella34[[#This Row],[Day]]-pr)</f>
        <v>-14.374685354641635</v>
      </c>
      <c r="AS89" s="262">
        <f>-sigma_r+SQRT(sigma_r^2-2*Tabella34[[#This Row],[c_r]])</f>
        <v>0.85739995225100563</v>
      </c>
      <c r="AT89" s="262">
        <f>-sigma_r-SQRT(sigma_r^2-2*Tabella34[[#This Row],[c_r]])</f>
        <v>-1.5382545494447348</v>
      </c>
      <c r="AU89" s="262">
        <f>mu_r-LN(alpha*Kr/(Tabella34[[#This Row],[Lombardy velocity]]*sigma_r*SQRTPI(2)))</f>
        <v>-0.6594496886219039</v>
      </c>
      <c r="AV89" s="262">
        <f>Tabella34[[#This Row],[t_alpha_r+plus]]</f>
        <v>31.508142701776976</v>
      </c>
      <c r="AW89" s="90">
        <f>IFERROR(-Kl*_xlfn.LOGNORM.DIST((Tabella34[[#This Row],[Day]]-pl),mu_l,sigma_l,FALSE)*(1+(LN((Tabella34[[#This Row],[Day]]-pl))-mu_l)/sigma_l^2)/(Tabella34[[#This Row],[Day]]-pl),0)</f>
        <v>21.859019154803104</v>
      </c>
      <c r="AX89" s="95">
        <f>Tabella34[[#This Row],[Lombardy acc. fit]]/y_l_peak</f>
        <v>1.2434348842136017E-2</v>
      </c>
      <c r="AY89" s="157">
        <f>Tabella34[[#This Row],[Lombardy acc. fit]]*NOT(ISBLANK(Tabella34[[#This Row],[Lombardy data]]))</f>
        <v>21.859019154803104</v>
      </c>
      <c r="AZ89" s="95">
        <f>Tabella34[[#This Row],[Lombardy acc. fit]]+CIl</f>
        <v>2592.2413420712119</v>
      </c>
      <c r="BA89" s="95">
        <f>MAX(Tabella34[[#This Row],[Lombardy acc. fit]]-CIl,0)</f>
        <v>0</v>
      </c>
      <c r="BB89" s="10">
        <f>Tabella8[[#This Row],[rest of Italy ]]</f>
        <v>28768</v>
      </c>
      <c r="BC89" s="10">
        <f>(Tabella34[[#This Row],[rest of Italy cum. Data]]-BB88)</f>
        <v>3394</v>
      </c>
      <c r="BD89" s="10">
        <f>Tabella34[[#This Row],[rest of Italy data]]-BC88</f>
        <v>-1570</v>
      </c>
      <c r="BE89" s="95">
        <f>Tabella34[[#This Row],[rest of Italy data]]*NOT(ISBLANK(Tabella34[[#This Row],[rest of Italy data]]))</f>
        <v>3394</v>
      </c>
      <c r="BF89" s="95">
        <f>Tabella8[[#This Row],[rest of Italy fit]]</f>
        <v>31441.865272423573</v>
      </c>
      <c r="BG89" s="157">
        <f>_xlfn.LOGNORM.INV(alpha*Tabella34[[#This Row],[rest of Italy cumul. Fit]]/Ko,mu_o,sigma_o)-(Tabella34[[#This Row],[Day]]-po)</f>
        <v>9.5693082042581068</v>
      </c>
      <c r="BH89" s="95">
        <f>Tabella34[[#This Row],[rest of Italy cumul. Fit]]/Ka</f>
        <v>0.21244506035553287</v>
      </c>
      <c r="BI89" s="157">
        <f>IFERROR(Ko*_xlfn.LOGNORM.DIST((Tabella34[[#This Row],[Day]]-po),mu_o,sigma_o,FALSE),0)</f>
        <v>3016.5308387721075</v>
      </c>
      <c r="BJ89" s="199">
        <f>Tabella34[[#This Row],[rest of Italy velocity]]/Tabella34[[#This Row],[rest of Italy cumul. Fit]]</f>
        <v>9.5939945440125921E-2</v>
      </c>
      <c r="BK89" s="254">
        <f>(LN(Tabella34[[#This Row],[Day]]-po)-mu_o)/sigma_o</f>
        <v>-0.79796617265893766</v>
      </c>
      <c r="BL89" s="262">
        <f>EXP(mu_o+sigma_o*Tabella34[[#This Row],[x_o_alpha©+plus]])-(Tabella34[[#This Row],[Day]]-po)</f>
        <v>33.359914189656564</v>
      </c>
      <c r="BM89" s="262">
        <f>EXP(mu_o+sigma_o*Tabella34[[#This Row],[x_o_alpha©-minus]])-(Tabella34[[#This Row],[Day]]-po)</f>
        <v>-9.9727681314336465</v>
      </c>
      <c r="BN89" s="262">
        <f>-sigma_o+SQRT(sigma_o^2-2*Tabella34[[#This Row],[c_o]])</f>
        <v>0.94868184654201426</v>
      </c>
      <c r="BO89" s="262">
        <f>-sigma_o-SQRT(sigma_o^2-2*Tabella34[[#This Row],[c_o]])</f>
        <v>-1.5916546238410403</v>
      </c>
      <c r="BP89" s="262">
        <f>mu_o-LN(alpha*Ko/(Tabella34[[#This Row],[rest of Italy velocity]]*sigma_o*SQRTPI(2)))</f>
        <v>-0.7549869238013267</v>
      </c>
      <c r="BQ89" s="262">
        <f>Tabella34[[#This Row],[t_alpha_o+plus]]</f>
        <v>33.359914189656564</v>
      </c>
      <c r="BR89" s="90">
        <f>IFERROR(-Ka*_xlfn.LOGNORM.DIST((Tabella34[[#This Row],[Day]]-pa),mu_a,sigma_a,FALSE)*(1+(LN((Tabella34[[#This Row],[Day]]-pa))-mu_a)/sigma_a^2)/(Tabella34[[#This Row],[Day]]-pa),0)</f>
        <v>100.96173289446709</v>
      </c>
      <c r="BS89" s="95">
        <f>Tabella34[[#This Row],[rest of Italy acc. fit]]/y_a_peak</f>
        <v>2.9877856726389873E-2</v>
      </c>
      <c r="BT89" s="95">
        <f>Tabella34[[#This Row],[rest of Italy acc. fit]]*NOT(ISBLANK(Tabella34[[#This Row],[rest of Italy data]]))</f>
        <v>100.96173289446709</v>
      </c>
      <c r="BU89" s="95">
        <f>Tabella34[[#This Row],[rest of Italy acc. fit]]+CIa</f>
        <v>5439.8011680544842</v>
      </c>
      <c r="BV89" s="95">
        <f>MAX(Tabella34[[#This Row],[rest of Italy acc. fit]]-CIa,0)</f>
        <v>0</v>
      </c>
    </row>
    <row r="90" spans="2:74" x14ac:dyDescent="0.3">
      <c r="B90" s="281">
        <v>43913</v>
      </c>
      <c r="C90" s="29">
        <v>83</v>
      </c>
      <c r="D90" s="10">
        <f>Tabella8[[#This Row],[Spain cum. Cases]]</f>
        <v>35136</v>
      </c>
      <c r="E90" s="90">
        <f>(Tabella34[[#This Row],[Spain cumul. Cases]]-D89)</f>
        <v>6368</v>
      </c>
      <c r="F90" s="90">
        <f>Tabella34[[#This Row],[Spain daily cases]]-E89</f>
        <v>2974</v>
      </c>
      <c r="G90" s="95">
        <f>Tabella34[[#This Row],[Spain daily cases]]*NOT(ISBLANK(Tabella34[[#This Row],[Spain daily cases]]))</f>
        <v>6368</v>
      </c>
      <c r="H90" s="157">
        <f>Tabella8[[#This Row],[Spain cum. fit]]</f>
        <v>40983.148423120147</v>
      </c>
      <c r="I90" s="157">
        <f>_xlfn.LOGNORM.INV(alpha*Tabella34[[#This Row],[Spain cumul. Fit]]/Kt,mu_t,sigma_t)-(Tabella34[[#This Row],[Day]]-pt)</f>
        <v>7.0992285286095012</v>
      </c>
      <c r="J90" s="157">
        <f>Tabella34[[#This Row],[Spain fitted d.t.]]/Spain_dt_at_lockdown</f>
        <v>1.8944034684014972</v>
      </c>
      <c r="K90" s="95">
        <f>Tabella34[[#This Row],[Spain cumul. Fit]]/Kf</f>
        <v>0.14636844171143745</v>
      </c>
      <c r="L90" s="160"/>
      <c r="M90" s="95"/>
      <c r="N90" s="157">
        <f>IFERROR(Kt*_xlfn.LOGNORM.DIST((Tabella34[[#This Row],[Day]]-pt),mu_t,sigma_t,FALSE),0)</f>
        <v>4910.8551995771786</v>
      </c>
      <c r="O90" s="157" t="e">
        <f>Kt*EXP(-0.5*Tabella34[[#This Row],[x_t]]^2)/(sigma_t*SQRTPI(2)*(Tabella34[[#This Row],[Day]]-D_bk))</f>
        <v>#NAME?</v>
      </c>
      <c r="P90" s="199">
        <f>Tabella34[[#This Row],[Spain fitted velocity]]/Tabella34[[#This Row],[Spain cumul. Fit]]</f>
        <v>0.11982620634403918</v>
      </c>
      <c r="Q90" s="262">
        <f>(LN(Tabella34[[#This Row],[Day]]-pt)-mu_t)/sigma_t</f>
        <v>-1.0521365973511576</v>
      </c>
      <c r="R90" s="262">
        <f>EXP(mu_t+sigma_t*Tabella34[[#This Row],[x_t_alpha©+plus]])-(Tabella34[[#This Row],[Day]]-pt)</f>
        <v>39.175701836506391</v>
      </c>
      <c r="S90" s="262">
        <f>EXP(mu_t+sigma_t*Tabella34[[#This Row],[x_t_alpha©-minus]])-(Tabella34[[#This Row],[Day]]-pt)</f>
        <v>-7.5882200681335661</v>
      </c>
      <c r="T90" s="262">
        <f>-sigma_t+SQRT(sigma_t^2-2*Tabella34[[#This Row],[c_t]])</f>
        <v>1.1455067692764149</v>
      </c>
      <c r="U90" s="262">
        <f>-sigma_t-SQRT(sigma_t^2-2*Tabella34[[#This Row],[c_t]])</f>
        <v>-1.6829461191195823</v>
      </c>
      <c r="V90" s="262">
        <f>mu_t-LN(alpha*Kt/(Tabella34[[#This Row],[Spain fitted velocity]]*sigma_t*SQRTPI(2)))</f>
        <v>-0.96391308588947666</v>
      </c>
      <c r="W90" s="262">
        <f>Tabella34[[#This Row],[Spain fitted g.r.]]/Spain_gr_at_lockdown</f>
        <v>0.57826975225260291</v>
      </c>
      <c r="X90" s="262">
        <f>Tabella34[[#This Row],[t_alpha_t+plus]]</f>
        <v>39.175701836506391</v>
      </c>
      <c r="Y90" s="262">
        <f>Tabella34[[#This Row],[Spain fitted h.t.]]/Spain_ht_at_lockdown</f>
        <v>0.63637653166943076</v>
      </c>
      <c r="Z90" s="90">
        <f>IFERROR(-Kf*_xlfn.LOGNORM.DIST((Tabella34[[#This Row],[Day]]-pf),mu_f,sigma_f,FALSE)*(1+(LN((Tabella34[[#This Row],[Day]]-pf))-mu_f)/sigma_f^2)/(Tabella34[[#This Row],[Day]]-pf),0)</f>
        <v>294.18423999213786</v>
      </c>
      <c r="AA90" s="90">
        <f>Tabella34[[#This Row],[Spain acc. fit]]/Spain_acc_at_lockdown</f>
        <v>1.0024826383370307</v>
      </c>
      <c r="AB90" s="95">
        <f>Tabella34[[#This Row],[Spain acc. fit]]/y_f_peak</f>
        <v>4.4074751882260697E-2</v>
      </c>
      <c r="AC90" s="157">
        <f>Tabella34[[#This Row],[Colonna4]]*NOT(ISBLANK(Tabella34[[#This Row],[Spain daily cases]]))</f>
        <v>0</v>
      </c>
      <c r="AD90" s="157">
        <f>Tabella34[[#This Row],[Spain acc. fit]]*NOT(ISBLANK(Tabella34[[#This Row],[Spain daily cases]]))</f>
        <v>294.18423999213786</v>
      </c>
      <c r="AE90" s="95">
        <f>Tabella34[[#This Row],[Spain acc. fit]]+CIf</f>
        <v>2636.8726576732306</v>
      </c>
      <c r="AF90" s="95">
        <f>MAX(Tabella34[[#This Row],[Spain acc. fit]]-CIf,0)</f>
        <v>0</v>
      </c>
      <c r="AG90" s="4">
        <f>Tabella8[[#This Row],[Lombardy]]</f>
        <v>0</v>
      </c>
      <c r="AH90" s="90">
        <f>(Tabella34[[#This Row],[Lombardy cumul. Data]]-AG89)</f>
        <v>0</v>
      </c>
      <c r="AI90" s="90">
        <f>Tabella34[[#This Row],[Lombardy data]]-AH89</f>
        <v>0</v>
      </c>
      <c r="AJ90" s="95">
        <f>Tabella34[[#This Row],[Lombardy data]]*NOT(ISBLANK(Tabella34[[#This Row],[Lombardy data]]))</f>
        <v>0</v>
      </c>
      <c r="AK90" s="95">
        <f>Tabella8[[#This Row],[Lombardy fit]]</f>
        <v>26740.019396335363</v>
      </c>
      <c r="AL90" s="157">
        <f>_xlfn.LOGNORM.INV(alpha*Tabella34[[#This Row],[Lombardy cumul. Fit]]/Kr,mu_r,sigma_r)-(Tabella34[[#This Row],[Day]]-pr)</f>
        <v>16.092252467244421</v>
      </c>
      <c r="AM90" s="95">
        <f>Tabella34[[#This Row],[Lombardy cumul. Fit]]/Kl</f>
        <v>0.30735654478546393</v>
      </c>
      <c r="AN90" s="95">
        <f>IFERROR(Kr*_xlfn.LOGNORM.DIST((Tabella34[[#This Row],[Day]]-pr),mu_r,sigma_r,FALSE),0)</f>
        <v>1734.7751514208735</v>
      </c>
      <c r="AO90" s="202">
        <f>Tabella34[[#This Row],[Lombardy velocity]]/Tabella34[[#This Row],[Lombardy cumul. Fit]]</f>
        <v>6.4875613054290418E-2</v>
      </c>
      <c r="AP90" s="259">
        <f>(LN(Tabella34[[#This Row],[Day]]-pr)-mu_r)/sigma_r</f>
        <v>-0.50335729645664617</v>
      </c>
      <c r="AQ90" s="262">
        <f>EXP(mu_r+sigma_r*Tabella34[[#This Row],[x_r_alpha©+plus]])-(Tabella34[[#This Row],[Day]]-pr)</f>
        <v>30.250900170112018</v>
      </c>
      <c r="AR90" s="262">
        <f>EXP(mu_r+sigma_r*Tabella34[[#This Row],[x_r_alpha©-minus]])-(Tabella34[[#This Row],[Day]]-pr)</f>
        <v>-15.260524980272102</v>
      </c>
      <c r="AS90" s="262">
        <f>-sigma_r+SQRT(sigma_r^2-2*Tabella34[[#This Row],[c_r]])</f>
        <v>0.84820239366329453</v>
      </c>
      <c r="AT90" s="262">
        <f>-sigma_r-SQRT(sigma_r^2-2*Tabella34[[#This Row],[c_r]])</f>
        <v>-1.5290569908570237</v>
      </c>
      <c r="AU90" s="262">
        <f>mu_r-LN(alpha*Kr/(Tabella34[[#This Row],[Lombardy velocity]]*sigma_r*SQRTPI(2)))</f>
        <v>-0.64847489984626083</v>
      </c>
      <c r="AV90" s="262">
        <f>Tabella34[[#This Row],[t_alpha_r+plus]]</f>
        <v>30.250900170112018</v>
      </c>
      <c r="AW90" s="90">
        <f>IFERROR(-Kl*_xlfn.LOGNORM.DIST((Tabella34[[#This Row],[Day]]-pl),mu_l,sigma_l,FALSE)*(1+(LN((Tabella34[[#This Row],[Day]]-pl))-mu_l)/sigma_l^2)/(Tabella34[[#This Row],[Day]]-pl),0)</f>
        <v>16.035274705755985</v>
      </c>
      <c r="AX90" s="95">
        <f>Tabella34[[#This Row],[Lombardy acc. fit]]/y_l_peak</f>
        <v>9.1215528958003642E-3</v>
      </c>
      <c r="AY90" s="157">
        <f>Tabella34[[#This Row],[Lombardy acc. fit]]*NOT(ISBLANK(Tabella34[[#This Row],[Lombardy data]]))</f>
        <v>16.035274705755985</v>
      </c>
      <c r="AZ90" s="95">
        <f>Tabella34[[#This Row],[Lombardy acc. fit]]+CIl</f>
        <v>2586.4175976221645</v>
      </c>
      <c r="BA90" s="95">
        <f>MAX(Tabella34[[#This Row],[Lombardy acc. fit]]-CIl,0)</f>
        <v>0</v>
      </c>
      <c r="BB90" s="10">
        <f>Tabella8[[#This Row],[rest of Italy ]]</f>
        <v>35136</v>
      </c>
      <c r="BC90" s="10">
        <f>(Tabella34[[#This Row],[rest of Italy cum. Data]]-BB89)</f>
        <v>6368</v>
      </c>
      <c r="BD90" s="10">
        <f>Tabella34[[#This Row],[rest of Italy data]]-BC89</f>
        <v>2974</v>
      </c>
      <c r="BE90" s="95">
        <f>Tabella34[[#This Row],[rest of Italy data]]*NOT(ISBLANK(Tabella34[[#This Row],[rest of Italy data]]))</f>
        <v>6368</v>
      </c>
      <c r="BF90" s="95">
        <f>Tabella8[[#This Row],[rest of Italy fit]]</f>
        <v>34506.560712151368</v>
      </c>
      <c r="BG90" s="157">
        <f>_xlfn.LOGNORM.INV(alpha*Tabella34[[#This Row],[rest of Italy cumul. Fit]]/Ko,mu_o,sigma_o)-(Tabella34[[#This Row],[Day]]-po)</f>
        <v>10.415249449034846</v>
      </c>
      <c r="BH90" s="95">
        <f>Tabella34[[#This Row],[rest of Italy cumul. Fit]]/Ka</f>
        <v>0.23315246438589535</v>
      </c>
      <c r="BI90" s="157">
        <f>IFERROR(Ko*_xlfn.LOGNORM.DIST((Tabella34[[#This Row],[Day]]-po),mu_o,sigma_o,FALSE),0)</f>
        <v>3110.5269174635955</v>
      </c>
      <c r="BJ90" s="199">
        <f>Tabella34[[#This Row],[rest of Italy velocity]]/Tabella34[[#This Row],[rest of Italy cumul. Fit]]</f>
        <v>9.0143058400144582E-2</v>
      </c>
      <c r="BK90" s="254">
        <f>(LN(Tabella34[[#This Row],[Day]]-po)-mu_o)/sigma_o</f>
        <v>-0.72850431409324556</v>
      </c>
      <c r="BL90" s="262">
        <f>EXP(mu_o+sigma_o*Tabella34[[#This Row],[x_o_alpha©+plus]])-(Tabella34[[#This Row],[Day]]-po)</f>
        <v>31.753441647094405</v>
      </c>
      <c r="BM90" s="262">
        <f>EXP(mu_o+sigma_o*Tabella34[[#This Row],[x_o_alpha©-minus]])-(Tabella34[[#This Row],[Day]]-po)</f>
        <v>-10.70266128319701</v>
      </c>
      <c r="BN90" s="262">
        <f>-sigma_o+SQRT(sigma_o^2-2*Tabella34[[#This Row],[c_o]])</f>
        <v>0.92428965573102106</v>
      </c>
      <c r="BO90" s="262">
        <f>-sigma_o-SQRT(sigma_o^2-2*Tabella34[[#This Row],[c_o]])</f>
        <v>-1.5672624330300473</v>
      </c>
      <c r="BP90" s="262">
        <f>mu_o-LN(alpha*Ko/(Tabella34[[#This Row],[rest of Italy velocity]]*sigma_o*SQRTPI(2)))</f>
        <v>-0.7243022273327524</v>
      </c>
      <c r="BQ90" s="262">
        <f>Tabella34[[#This Row],[t_alpha_o+plus]]</f>
        <v>31.753441647094405</v>
      </c>
      <c r="BR90" s="90">
        <f>IFERROR(-Ka*_xlfn.LOGNORM.DIST((Tabella34[[#This Row],[Day]]-pa),mu_a,sigma_a,FALSE)*(1+(LN((Tabella34[[#This Row],[Day]]-pa))-mu_a)/sigma_a^2)/(Tabella34[[#This Row],[Day]]-pa),0)</f>
        <v>86.966861897501289</v>
      </c>
      <c r="BS90" s="95">
        <f>Tabella34[[#This Row],[rest of Italy acc. fit]]/y_a_peak</f>
        <v>2.5736319744365986E-2</v>
      </c>
      <c r="BT90" s="95">
        <f>Tabella34[[#This Row],[rest of Italy acc. fit]]*NOT(ISBLANK(Tabella34[[#This Row],[rest of Italy data]]))</f>
        <v>86.966861897501289</v>
      </c>
      <c r="BU90" s="95">
        <f>Tabella34[[#This Row],[rest of Italy acc. fit]]+CIa</f>
        <v>5425.8062970575183</v>
      </c>
      <c r="BV90" s="95">
        <f>MAX(Tabella34[[#This Row],[rest of Italy acc. fit]]-CIa,0)</f>
        <v>0</v>
      </c>
    </row>
    <row r="91" spans="2:74" x14ac:dyDescent="0.3">
      <c r="B91" s="281">
        <v>43914</v>
      </c>
      <c r="C91" s="29">
        <v>84</v>
      </c>
      <c r="D91" s="10">
        <f>Tabella8[[#This Row],[Spain cum. Cases]]</f>
        <v>39885</v>
      </c>
      <c r="E91" s="90">
        <f>(Tabella34[[#This Row],[Spain cumul. Cases]]-D90)</f>
        <v>4749</v>
      </c>
      <c r="F91" s="90">
        <f>Tabella34[[#This Row],[Spain daily cases]]-E90</f>
        <v>-1619</v>
      </c>
      <c r="G91" s="95">
        <f>Tabella34[[#This Row],[Spain daily cases]]*NOT(ISBLANK(Tabella34[[#This Row],[Spain daily cases]]))</f>
        <v>4749</v>
      </c>
      <c r="H91" s="157">
        <f>Tabella8[[#This Row],[Spain cum. fit]]</f>
        <v>46038.110859469307</v>
      </c>
      <c r="I91" s="157">
        <f>_xlfn.LOGNORM.INV(alpha*Tabella34[[#This Row],[Spain cumul. Fit]]/Kt,mu_t,sigma_t)-(Tabella34[[#This Row],[Day]]-pt)</f>
        <v>7.6534784737245261</v>
      </c>
      <c r="J91" s="157">
        <f>Tabella34[[#This Row],[Spain fitted d.t.]]/Spain_dt_at_lockdown</f>
        <v>2.0423030625835845</v>
      </c>
      <c r="K91" s="95">
        <f>Tabella34[[#This Row],[Spain cumul. Fit]]/Kf</f>
        <v>0.16442188570455146</v>
      </c>
      <c r="L91" s="160"/>
      <c r="M91" s="95"/>
      <c r="N91" s="157">
        <f>IFERROR(Kt*_xlfn.LOGNORM.DIST((Tabella34[[#This Row],[Day]]-pt),mu_t,sigma_t,FALSE),0)</f>
        <v>5195.9592570829636</v>
      </c>
      <c r="O91" s="157" t="e">
        <f>Kt*EXP(-0.5*Tabella34[[#This Row],[x_t]]^2)/(sigma_t*SQRTPI(2)*(Tabella34[[#This Row],[Day]]-D_bk))</f>
        <v>#NAME?</v>
      </c>
      <c r="P91" s="199">
        <f>Tabella34[[#This Row],[Spain fitted velocity]]/Tabella34[[#This Row],[Spain cumul. Fit]]</f>
        <v>0.11286213009355568</v>
      </c>
      <c r="Q91" s="262">
        <f>(LN(Tabella34[[#This Row],[Day]]-pt)-mu_t)/sigma_t</f>
        <v>-0.9764454428731274</v>
      </c>
      <c r="R91" s="262">
        <f>EXP(mu_t+sigma_t*Tabella34[[#This Row],[x_t_alpha©+plus]])-(Tabella34[[#This Row],[Day]]-pt)</f>
        <v>37.225273314582154</v>
      </c>
      <c r="S91" s="262">
        <f>EXP(mu_t+sigma_t*Tabella34[[#This Row],[x_t_alpha©-minus]])-(Tabella34[[#This Row],[Day]]-pt)</f>
        <v>-8.1389021537078037</v>
      </c>
      <c r="T91" s="262">
        <f>-sigma_t+SQRT(sigma_t^2-2*Tabella34[[#This Row],[c_t]])</f>
        <v>1.1050234319737682</v>
      </c>
      <c r="U91" s="262">
        <f>-sigma_t-SQRT(sigma_t^2-2*Tabella34[[#This Row],[c_t]])</f>
        <v>-1.6424627818169355</v>
      </c>
      <c r="V91" s="262">
        <f>mu_t-LN(alpha*Kt/(Tabella34[[#This Row],[Spain fitted velocity]]*sigma_t*SQRTPI(2)))</f>
        <v>-0.90747993002626615</v>
      </c>
      <c r="W91" s="262">
        <f>Tabella34[[#This Row],[Spain fitted g.r.]]/Spain_gr_at_lockdown</f>
        <v>0.54466178976338864</v>
      </c>
      <c r="X91" s="262">
        <f>Tabella34[[#This Row],[t_alpha_t+plus]]</f>
        <v>37.225273314582154</v>
      </c>
      <c r="Y91" s="262">
        <f>Tabella34[[#This Row],[Spain fitted h.t.]]/Spain_ht_at_lockdown</f>
        <v>0.60469345057923707</v>
      </c>
      <c r="Z91" s="90">
        <f>IFERROR(-Kf*_xlfn.LOGNORM.DIST((Tabella34[[#This Row],[Day]]-pf),mu_f,sigma_f,FALSE)*(1+(LN((Tabella34[[#This Row],[Day]]-pf))-mu_f)/sigma_f^2)/(Tabella34[[#This Row],[Day]]-pf),0)</f>
        <v>275.52857787027568</v>
      </c>
      <c r="AA91" s="90">
        <f>Tabella34[[#This Row],[Spain acc. fit]]/Spain_acc_at_lockdown</f>
        <v>0.93891030902276018</v>
      </c>
      <c r="AB91" s="95">
        <f>Tabella34[[#This Row],[Spain acc. fit]]/y_f_peak</f>
        <v>4.1279756204578105E-2</v>
      </c>
      <c r="AC91" s="157">
        <f>Tabella34[[#This Row],[Colonna4]]*NOT(ISBLANK(Tabella34[[#This Row],[Spain daily cases]]))</f>
        <v>0</v>
      </c>
      <c r="AD91" s="157">
        <f>Tabella34[[#This Row],[Spain acc. fit]]*NOT(ISBLANK(Tabella34[[#This Row],[Spain daily cases]]))</f>
        <v>275.52857787027568</v>
      </c>
      <c r="AE91" s="95">
        <f>Tabella34[[#This Row],[Spain acc. fit]]+CIf</f>
        <v>2618.2169955513682</v>
      </c>
      <c r="AF91" s="95">
        <f>MAX(Tabella34[[#This Row],[Spain acc. fit]]-CIf,0)</f>
        <v>0</v>
      </c>
      <c r="AG91" s="4">
        <f>Tabella8[[#This Row],[Lombardy]]</f>
        <v>0</v>
      </c>
      <c r="AH91" s="90">
        <f>(Tabella34[[#This Row],[Lombardy cumul. Data]]-AG90)</f>
        <v>0</v>
      </c>
      <c r="AI91" s="90">
        <f>Tabella34[[#This Row],[Lombardy data]]-AH90</f>
        <v>0</v>
      </c>
      <c r="AJ91" s="95">
        <f>Tabella34[[#This Row],[Lombardy data]]*NOT(ISBLANK(Tabella34[[#This Row],[Lombardy data]]))</f>
        <v>0</v>
      </c>
      <c r="AK91" s="95">
        <f>Tabella8[[#This Row],[Lombardy fit]]</f>
        <v>28481.862285154002</v>
      </c>
      <c r="AL91" s="157">
        <f>_xlfn.LOGNORM.INV(alpha*Tabella34[[#This Row],[Lombardy cumul. Fit]]/Kr,mu_r,sigma_r)-(Tabella34[[#This Row],[Day]]-pr)</f>
        <v>17.599671131563994</v>
      </c>
      <c r="AM91" s="95">
        <f>Tabella34[[#This Row],[Lombardy cumul. Fit]]/Kl</f>
        <v>0.32737772741556326</v>
      </c>
      <c r="AN91" s="95">
        <f>IFERROR(Kr*_xlfn.LOGNORM.DIST((Tabella34[[#This Row],[Day]]-pr),mu_r,sigma_r,FALSE),0)</f>
        <v>1747.968685586088</v>
      </c>
      <c r="AO91" s="202">
        <f>Tabella34[[#This Row],[Lombardy velocity]]/Tabella34[[#This Row],[Lombardy cumul. Fit]]</f>
        <v>6.1371291950147726E-2</v>
      </c>
      <c r="AP91" s="259">
        <f>(LN(Tabella34[[#This Row],[Day]]-pr)-mu_r)/sigma_r</f>
        <v>-0.44716565843607092</v>
      </c>
      <c r="AQ91" s="262">
        <f>EXP(mu_r+sigma_r*Tabella34[[#This Row],[x_r_alpha©+plus]])-(Tabella34[[#This Row],[Day]]-pr)</f>
        <v>29.072616302125709</v>
      </c>
      <c r="AR91" s="262">
        <f>EXP(mu_r+sigma_r*Tabella34[[#This Row],[x_r_alpha©-minus]])-(Tabella34[[#This Row],[Day]]-pr)</f>
        <v>-16.180984279329486</v>
      </c>
      <c r="AS91" s="262">
        <f>-sigma_r+SQRT(sigma_r^2-2*Tabella34[[#This Row],[c_r]])</f>
        <v>0.8418110185714871</v>
      </c>
      <c r="AT91" s="262">
        <f>-sigma_r-SQRT(sigma_r^2-2*Tabella34[[#This Row],[c_r]])</f>
        <v>-1.5226656157652163</v>
      </c>
      <c r="AU91" s="262">
        <f>mu_r-LN(alpha*Kr/(Tabella34[[#This Row],[Lombardy velocity]]*sigma_r*SQRTPI(2)))</f>
        <v>-0.64089834647554866</v>
      </c>
      <c r="AV91" s="262">
        <f>Tabella34[[#This Row],[t_alpha_r+plus]]</f>
        <v>29.072616302125709</v>
      </c>
      <c r="AW91" s="90">
        <f>IFERROR(-Kl*_xlfn.LOGNORM.DIST((Tabella34[[#This Row],[Day]]-pl),mu_l,sigma_l,FALSE)*(1+(LN((Tabella34[[#This Row],[Day]]-pl))-mu_l)/sigma_l^2)/(Tabella34[[#This Row],[Day]]-pl),0)</f>
        <v>10.384333827829417</v>
      </c>
      <c r="AX91" s="95">
        <f>Tabella34[[#This Row],[Lombardy acc. fit]]/y_l_peak</f>
        <v>5.9070550418568249E-3</v>
      </c>
      <c r="AY91" s="157">
        <f>Tabella34[[#This Row],[Lombardy acc. fit]]*NOT(ISBLANK(Tabella34[[#This Row],[Lombardy data]]))</f>
        <v>10.384333827829417</v>
      </c>
      <c r="AZ91" s="95">
        <f>Tabella34[[#This Row],[Lombardy acc. fit]]+CIl</f>
        <v>2580.7666567442379</v>
      </c>
      <c r="BA91" s="95">
        <f>MAX(Tabella34[[#This Row],[Lombardy acc. fit]]-CIl,0)</f>
        <v>0</v>
      </c>
      <c r="BB91" s="10">
        <f>Tabella8[[#This Row],[rest of Italy ]]</f>
        <v>39885</v>
      </c>
      <c r="BC91" s="10">
        <f>(Tabella34[[#This Row],[rest of Italy cum. Data]]-BB90)</f>
        <v>4749</v>
      </c>
      <c r="BD91" s="10">
        <f>Tabella34[[#This Row],[rest of Italy data]]-BC90</f>
        <v>-1619</v>
      </c>
      <c r="BE91" s="95">
        <f>Tabella34[[#This Row],[rest of Italy data]]*NOT(ISBLANK(Tabella34[[#This Row],[rest of Italy data]]))</f>
        <v>4749</v>
      </c>
      <c r="BF91" s="95">
        <f>Tabella8[[#This Row],[rest of Italy fit]]</f>
        <v>37658.20071523654</v>
      </c>
      <c r="BG91" s="157">
        <f>_xlfn.LOGNORM.INV(alpha*Tabella34[[#This Row],[rest of Italy cumul. Fit]]/Ko,mu_o,sigma_o)-(Tabella34[[#This Row],[Day]]-po)</f>
        <v>11.361925659387857</v>
      </c>
      <c r="BH91" s="95">
        <f>Tabella34[[#This Row],[rest of Italy cumul. Fit]]/Ka</f>
        <v>0.25444733175057355</v>
      </c>
      <c r="BI91" s="157">
        <f>IFERROR(Ko*_xlfn.LOGNORM.DIST((Tabella34[[#This Row],[Day]]-po),mu_o,sigma_o,FALSE),0)</f>
        <v>3190.3752687921292</v>
      </c>
      <c r="BJ91" s="199">
        <f>Tabella34[[#This Row],[rest of Italy velocity]]/Tabella34[[#This Row],[rest of Italy cumul. Fit]]</f>
        <v>8.471926985883052E-2</v>
      </c>
      <c r="BK91" s="254">
        <f>(LN(Tabella34[[#This Row],[Day]]-po)-mu_o)/sigma_o</f>
        <v>-0.66055978924549352</v>
      </c>
      <c r="BL91" s="262">
        <f>EXP(mu_o+sigma_o*Tabella34[[#This Row],[x_o_alpha©+plus]])-(Tabella34[[#This Row],[Day]]-po)</f>
        <v>30.247043375867236</v>
      </c>
      <c r="BM91" s="262">
        <f>EXP(mu_o+sigma_o*Tabella34[[#This Row],[x_o_alpha©-minus]])-(Tabella34[[#This Row],[Day]]-po)</f>
        <v>-11.473845188540849</v>
      </c>
      <c r="BN91" s="262">
        <f>-sigma_o+SQRT(sigma_o^2-2*Tabella34[[#This Row],[c_o]])</f>
        <v>0.90377486190549183</v>
      </c>
      <c r="BO91" s="262">
        <f>-sigma_o-SQRT(sigma_o^2-2*Tabella34[[#This Row],[c_o]])</f>
        <v>-1.5467476392045181</v>
      </c>
      <c r="BP91" s="262">
        <f>mu_o-LN(alpha*Ko/(Tabella34[[#This Row],[rest of Italy velocity]]*sigma_o*SQRTPI(2)))</f>
        <v>-0.69895581701235443</v>
      </c>
      <c r="BQ91" s="262">
        <f>Tabella34[[#This Row],[t_alpha_o+plus]]</f>
        <v>30.247043375867236</v>
      </c>
      <c r="BR91" s="90">
        <f>IFERROR(-Ka*_xlfn.LOGNORM.DIST((Tabella34[[#This Row],[Day]]-pa),mu_a,sigma_a,FALSE)*(1+(LN((Tabella34[[#This Row],[Day]]-pa))-mu_a)/sigma_a^2)/(Tabella34[[#This Row],[Day]]-pa),0)</f>
        <v>72.703512350311613</v>
      </c>
      <c r="BS91" s="95">
        <f>Tabella34[[#This Row],[rest of Italy acc. fit]]/y_a_peak</f>
        <v>2.1515331237217397E-2</v>
      </c>
      <c r="BT91" s="95">
        <f>Tabella34[[#This Row],[rest of Italy acc. fit]]*NOT(ISBLANK(Tabella34[[#This Row],[rest of Italy data]]))</f>
        <v>72.703512350311613</v>
      </c>
      <c r="BU91" s="95">
        <f>Tabella34[[#This Row],[rest of Italy acc. fit]]+CIa</f>
        <v>5411.5429475103292</v>
      </c>
      <c r="BV91" s="95">
        <f>MAX(Tabella34[[#This Row],[rest of Italy acc. fit]]-CIa,0)</f>
        <v>0</v>
      </c>
    </row>
    <row r="92" spans="2:74" x14ac:dyDescent="0.3">
      <c r="B92" s="281">
        <v>43915</v>
      </c>
      <c r="C92" s="29">
        <v>85</v>
      </c>
      <c r="D92" s="10">
        <f>Tabella8[[#This Row],[Spain cum. Cases]]</f>
        <v>49515</v>
      </c>
      <c r="E92" s="90">
        <f>(Tabella34[[#This Row],[Spain cumul. Cases]]-D91)</f>
        <v>9630</v>
      </c>
      <c r="F92" s="90">
        <f>Tabella34[[#This Row],[Spain daily cases]]-E91</f>
        <v>4881</v>
      </c>
      <c r="G92" s="95">
        <f>Tabella34[[#This Row],[Spain daily cases]]*NOT(ISBLANK(Tabella34[[#This Row],[Spain daily cases]]))</f>
        <v>9630</v>
      </c>
      <c r="H92" s="157">
        <f>Tabella8[[#This Row],[Spain cum. fit]]</f>
        <v>51368.371727240708</v>
      </c>
      <c r="I92" s="277">
        <f>_xlfn.LOGNORM.INV(alpha*Tabella34[[#This Row],[Spain cumul. Fit]]/Kt,mu_t,sigma_t)-(Tabella34[[#This Row],[Day]]-pt)</f>
        <v>8.2633927593510066</v>
      </c>
      <c r="J92" s="277">
        <f>Tabella34[[#This Row],[Spain fitted d.t.]]/Spain_dt_at_lockdown</f>
        <v>2.2050564847987073</v>
      </c>
      <c r="K92" s="95">
        <f>Tabella34[[#This Row],[Spain cumul. Fit]]/Kf</f>
        <v>0.18345853874731829</v>
      </c>
      <c r="L92" s="160"/>
      <c r="M92" s="95"/>
      <c r="N92" s="157">
        <f>IFERROR(Kt*_xlfn.LOGNORM.DIST((Tabella34[[#This Row],[Day]]-pt),mu_t,sigma_t,FALSE),0)</f>
        <v>5460.9919531422902</v>
      </c>
      <c r="O92" s="157" t="e">
        <f>Kt*EXP(-0.5*Tabella34[[#This Row],[x_t]]^2)/(sigma_t*SQRTPI(2)*(Tabella34[[#This Row],[Day]]-D_bk))</f>
        <v>#NAME?</v>
      </c>
      <c r="P92" s="199">
        <f>Tabella34[[#This Row],[Spain fitted velocity]]/Tabella34[[#This Row],[Spain cumul. Fit]]</f>
        <v>0.10631039625198631</v>
      </c>
      <c r="Q92" s="262">
        <f>(LN(Tabella34[[#This Row],[Day]]-pt)-mu_t)/sigma_t</f>
        <v>-0.90226318443852083</v>
      </c>
      <c r="R92" s="262">
        <f>EXP(mu_t+sigma_t*Tabella34[[#This Row],[x_t_alpha©+plus]])-(Tabella34[[#This Row],[Day]]-pt)</f>
        <v>35.372447715628994</v>
      </c>
      <c r="S92" s="262">
        <f>EXP(mu_t+sigma_t*Tabella34[[#This Row],[x_t_alpha©-minus]])-(Tabella34[[#This Row],[Day]]-pt)</f>
        <v>-8.7272763309488539</v>
      </c>
      <c r="T92" s="262">
        <f>-sigma_t+SQRT(sigma_t^2-2*Tabella34[[#This Row],[c_t]])</f>
        <v>1.0683187462058452</v>
      </c>
      <c r="U92" s="262">
        <f>-sigma_t-SQRT(sigma_t^2-2*Tabella34[[#This Row],[c_t]])</f>
        <v>-1.6057580960490125</v>
      </c>
      <c r="V92" s="262">
        <f>mu_t-LN(alpha*Kt/(Tabella34[[#This Row],[Spain fitted velocity]]*sigma_t*SQRTPI(2)))</f>
        <v>-0.85773073794048305</v>
      </c>
      <c r="W92" s="262">
        <f>Tabella34[[#This Row],[Spain fitted g.r.]]/Spain_gr_at_lockdown</f>
        <v>0.5130437520988107</v>
      </c>
      <c r="X92" s="262">
        <f>Tabella34[[#This Row],[t_alpha_t+plus]]</f>
        <v>35.372447715628994</v>
      </c>
      <c r="Y92" s="262">
        <f>Tabella34[[#This Row],[Spain fitted h.t.]]/Spain_ht_at_lockdown</f>
        <v>0.57459584739216685</v>
      </c>
      <c r="Z92" s="90">
        <f>IFERROR(-Kf*_xlfn.LOGNORM.DIST((Tabella34[[#This Row],[Day]]-pf),mu_f,sigma_f,FALSE)*(1+(LN((Tabella34[[#This Row],[Day]]-pf))-mu_f)/sigma_f^2)/(Tabella34[[#This Row],[Day]]-pf),0)</f>
        <v>254.11281124074449</v>
      </c>
      <c r="AA92" s="90">
        <f>Tabella34[[#This Row],[Spain acc. fit]]/Spain_acc_at_lockdown</f>
        <v>0.86593245598292246</v>
      </c>
      <c r="AB92" s="95">
        <f>Tabella34[[#This Row],[Spain acc. fit]]/y_f_peak</f>
        <v>3.8071241021745021E-2</v>
      </c>
      <c r="AC92" s="157">
        <f>Tabella34[[#This Row],[Colonna4]]*NOT(ISBLANK(Tabella34[[#This Row],[Spain daily cases]]))</f>
        <v>0</v>
      </c>
      <c r="AD92" s="157">
        <f>Tabella34[[#This Row],[Spain acc. fit]]*NOT(ISBLANK(Tabella34[[#This Row],[Spain daily cases]]))</f>
        <v>254.11281124074449</v>
      </c>
      <c r="AE92" s="95">
        <f>Tabella34[[#This Row],[Spain acc. fit]]+CIf</f>
        <v>2596.8012289218373</v>
      </c>
      <c r="AF92" s="95">
        <f>MAX(Tabella34[[#This Row],[Spain acc. fit]]-CIf,0)</f>
        <v>0</v>
      </c>
      <c r="AG92" s="4">
        <f>Tabella8[[#This Row],[Lombardy]]</f>
        <v>0</v>
      </c>
      <c r="AH92" s="90">
        <f>(Tabella34[[#This Row],[Lombardy cumul. Data]]-AG91)</f>
        <v>0</v>
      </c>
      <c r="AI92" s="90">
        <f>Tabella34[[#This Row],[Lombardy data]]-AH91</f>
        <v>0</v>
      </c>
      <c r="AJ92" s="95">
        <f>Tabella34[[#This Row],[Lombardy data]]*NOT(ISBLANK(Tabella34[[#This Row],[Lombardy data]]))</f>
        <v>0</v>
      </c>
      <c r="AK92" s="95">
        <f>Tabella8[[#This Row],[Lombardy fit]]</f>
        <v>30234.107454482848</v>
      </c>
      <c r="AL92" s="157">
        <f>_xlfn.LOGNORM.INV(alpha*Tabella34[[#This Row],[Lombardy cumul. Fit]]/Kr,mu_r,sigma_r)-(Tabella34[[#This Row],[Day]]-pr)</f>
        <v>19.33451392052477</v>
      </c>
      <c r="AM92" s="95">
        <f>Tabella34[[#This Row],[Lombardy cumul. Fit]]/Kl</f>
        <v>0.34751847648830858</v>
      </c>
      <c r="AN92" s="95">
        <f>IFERROR(Kr*_xlfn.LOGNORM.DIST((Tabella34[[#This Row],[Day]]-pr),mu_r,sigma_r,FALSE),0)</f>
        <v>1755.6155658875773</v>
      </c>
      <c r="AO92" s="202">
        <f>Tabella34[[#This Row],[Lombardy velocity]]/Tabella34[[#This Row],[Lombardy cumul. Fit]]</f>
        <v>5.8067385271109433E-2</v>
      </c>
      <c r="AP92" s="259">
        <f>(LN(Tabella34[[#This Row],[Day]]-pr)-mu_r)/sigma_r</f>
        <v>-0.39202877466170027</v>
      </c>
      <c r="AQ92" s="262">
        <f>EXP(mu_r+sigma_r*Tabella34[[#This Row],[x_r_alpha©+plus]])-(Tabella34[[#This Row],[Day]]-pr)</f>
        <v>27.969637223739355</v>
      </c>
      <c r="AR92" s="262">
        <f>EXP(mu_r+sigma_r*Tabella34[[#This Row],[x_r_alpha©-minus]])-(Tabella34[[#This Row],[Day]]-pr)</f>
        <v>-17.134882461488836</v>
      </c>
      <c r="AS92" s="262">
        <f>-sigma_r+SQRT(sigma_r^2-2*Tabella34[[#This Row],[c_r]])</f>
        <v>0.83811293128583197</v>
      </c>
      <c r="AT92" s="262">
        <f>-sigma_r-SQRT(sigma_r^2-2*Tabella34[[#This Row],[c_r]])</f>
        <v>-1.5189675284795612</v>
      </c>
      <c r="AU92" s="262">
        <f>mu_r-LN(alpha*Kr/(Tabella34[[#This Row],[Lombardy velocity]]*sigma_r*SQRTPI(2)))</f>
        <v>-0.63653316391100034</v>
      </c>
      <c r="AV92" s="262">
        <f>Tabella34[[#This Row],[t_alpha_r+plus]]</f>
        <v>27.969637223739355</v>
      </c>
      <c r="AW92" s="90">
        <f>IFERROR(-Kl*_xlfn.LOGNORM.DIST((Tabella34[[#This Row],[Day]]-pl),mu_l,sigma_l,FALSE)*(1+(LN((Tabella34[[#This Row],[Day]]-pl))-mu_l)/sigma_l^2)/(Tabella34[[#This Row],[Day]]-pl),0)</f>
        <v>4.9483939186029984</v>
      </c>
      <c r="AX92" s="95">
        <f>Tabella34[[#This Row],[Lombardy acc. fit]]/y_l_peak</f>
        <v>2.8148589722377382E-3</v>
      </c>
      <c r="AY92" s="157">
        <f>Tabella34[[#This Row],[Lombardy acc. fit]]*NOT(ISBLANK(Tabella34[[#This Row],[Lombardy data]]))</f>
        <v>4.9483939186029984</v>
      </c>
      <c r="AZ92" s="95">
        <f>Tabella34[[#This Row],[Lombardy acc. fit]]+CIl</f>
        <v>2575.3307168350116</v>
      </c>
      <c r="BA92" s="95">
        <f>MAX(Tabella34[[#This Row],[Lombardy acc. fit]]-CIl,0)</f>
        <v>0</v>
      </c>
      <c r="BB92" s="10">
        <f>Tabella8[[#This Row],[rest of Italy ]]</f>
        <v>49515</v>
      </c>
      <c r="BC92" s="10">
        <f>(Tabella34[[#This Row],[rest of Italy cum. Data]]-BB91)</f>
        <v>9630</v>
      </c>
      <c r="BD92" s="10">
        <f>Tabella34[[#This Row],[rest of Italy data]]-BC91</f>
        <v>4881</v>
      </c>
      <c r="BE92" s="95">
        <f>Tabella34[[#This Row],[rest of Italy data]]*NOT(ISBLANK(Tabella34[[#This Row],[rest of Italy data]]))</f>
        <v>9630</v>
      </c>
      <c r="BF92" s="95">
        <f>Tabella8[[#This Row],[rest of Italy fit]]</f>
        <v>40882.539768465918</v>
      </c>
      <c r="BG92" s="157">
        <f>_xlfn.LOGNORM.INV(alpha*Tabella34[[#This Row],[rest of Italy cumul. Fit]]/Ko,mu_o,sigma_o)-(Tabella34[[#This Row],[Day]]-po)</f>
        <v>12.429207613467682</v>
      </c>
      <c r="BH92" s="95">
        <f>Tabella34[[#This Row],[rest of Italy cumul. Fit]]/Ka</f>
        <v>0.27623340897070586</v>
      </c>
      <c r="BI92" s="157">
        <f>IFERROR(Ko*_xlfn.LOGNORM.DIST((Tabella34[[#This Row],[Day]]-po),mu_o,sigma_o,FALSE),0)</f>
        <v>3255.9159781051599</v>
      </c>
      <c r="BJ92" s="199">
        <f>Tabella34[[#This Row],[rest of Italy velocity]]/Tabella34[[#This Row],[rest of Italy cumul. Fit]]</f>
        <v>7.964074630746297E-2</v>
      </c>
      <c r="BK92" s="254">
        <f>(LN(Tabella34[[#This Row],[Day]]-po)-mu_o)/sigma_o</f>
        <v>-0.59406772306693501</v>
      </c>
      <c r="BL92" s="262">
        <f>EXP(mu_o+sigma_o*Tabella34[[#This Row],[x_o_alpha©+plus]])-(Tabella34[[#This Row],[Day]]-po)</f>
        <v>28.837013746623839</v>
      </c>
      <c r="BM92" s="262">
        <f>EXP(mu_o+sigma_o*Tabella34[[#This Row],[x_o_alpha©-minus]])-(Tabella34[[#This Row],[Day]]-po)</f>
        <v>-12.286342724124395</v>
      </c>
      <c r="BN92" s="262">
        <f>-sigma_o+SQRT(sigma_o^2-2*Tabella34[[#This Row],[c_o]])</f>
        <v>0.88706437362432433</v>
      </c>
      <c r="BO92" s="262">
        <f>-sigma_o-SQRT(sigma_o^2-2*Tabella34[[#This Row],[c_o]])</f>
        <v>-1.5300371509233504</v>
      </c>
      <c r="BP92" s="262">
        <f>mu_o-LN(alpha*Ko/(Tabella34[[#This Row],[rest of Italy velocity]]*sigma_o*SQRTPI(2)))</f>
        <v>-0.67862072345288382</v>
      </c>
      <c r="BQ92" s="262">
        <f>Tabella34[[#This Row],[t_alpha_o+plus]]</f>
        <v>28.837013746623839</v>
      </c>
      <c r="BR92" s="90">
        <f>IFERROR(-Ka*_xlfn.LOGNORM.DIST((Tabella34[[#This Row],[Day]]-pa),mu_a,sigma_a,FALSE)*(1+(LN((Tabella34[[#This Row],[Day]]-pa))-mu_a)/sigma_a^2)/(Tabella34[[#This Row],[Day]]-pa),0)</f>
        <v>58.385579633296679</v>
      </c>
      <c r="BS92" s="95">
        <f>Tabella34[[#This Row],[rest of Italy acc. fit]]/y_a_peak</f>
        <v>1.7278189796863751E-2</v>
      </c>
      <c r="BT92" s="95">
        <f>Tabella34[[#This Row],[rest of Italy acc. fit]]*NOT(ISBLANK(Tabella34[[#This Row],[rest of Italy data]]))</f>
        <v>58.385579633296679</v>
      </c>
      <c r="BU92" s="95">
        <f>Tabella34[[#This Row],[rest of Italy acc. fit]]+CIa</f>
        <v>5397.2250147933137</v>
      </c>
      <c r="BV92" s="95">
        <f>MAX(Tabella34[[#This Row],[rest of Italy acc. fit]]-CIa,0)</f>
        <v>0</v>
      </c>
    </row>
    <row r="93" spans="2:74" x14ac:dyDescent="0.3">
      <c r="B93" s="281">
        <v>43916</v>
      </c>
      <c r="C93" s="29">
        <v>86</v>
      </c>
      <c r="D93" s="10">
        <f>Tabella8[[#This Row],[Spain cum. Cases]]</f>
        <v>57786</v>
      </c>
      <c r="E93" s="90">
        <f>(Tabella34[[#This Row],[Spain cumul. Cases]]-D92)</f>
        <v>8271</v>
      </c>
      <c r="F93" s="90">
        <f>Tabella34[[#This Row],[Spain daily cases]]-E92</f>
        <v>-1359</v>
      </c>
      <c r="G93" s="95">
        <f>Tabella34[[#This Row],[Spain daily cases]]*NOT(ISBLANK(Tabella34[[#This Row],[Spain daily cases]]))</f>
        <v>8271</v>
      </c>
      <c r="H93" s="157">
        <f>Tabella8[[#This Row],[Spain cum. fit]]</f>
        <v>56952.552114453429</v>
      </c>
      <c r="I93" s="157">
        <f>_xlfn.LOGNORM.INV(alpha*Tabella34[[#This Row],[Spain cumul. Fit]]/Kt,mu_t,sigma_t)-(Tabella34[[#This Row],[Day]]-pt)</f>
        <v>8.937696949947302</v>
      </c>
      <c r="J93" s="157">
        <f>Tabella34[[#This Row],[Spain fitted d.t.]]/Spain_dt_at_lockdown</f>
        <v>2.3849921203787452</v>
      </c>
      <c r="K93" s="95">
        <f>Tabella34[[#This Row],[Spain cumul. Fit]]/Kf</f>
        <v>0.20340204755424052</v>
      </c>
      <c r="L93" s="160"/>
      <c r="M93" s="95"/>
      <c r="N93" s="157">
        <f>IFERROR(Kt*_xlfn.LOGNORM.DIST((Tabella34[[#This Row],[Day]]-pt),mu_t,sigma_t,FALSE),0)</f>
        <v>5703.4118123852231</v>
      </c>
      <c r="O93" s="157" t="e">
        <f>Kt*EXP(-0.5*Tabella34[[#This Row],[x_t]]^2)/(sigma_t*SQRTPI(2)*(Tabella34[[#This Row],[Day]]-D_bk))</f>
        <v>#NAME?</v>
      </c>
      <c r="P93" s="199">
        <f>Tabella34[[#This Row],[Spain fitted velocity]]/Tabella34[[#This Row],[Spain cumul. Fit]]</f>
        <v>0.10014321747906026</v>
      </c>
      <c r="Q93" s="262">
        <f>(LN(Tabella34[[#This Row],[Day]]-pt)-mu_t)/sigma_t</f>
        <v>-0.82953083660031923</v>
      </c>
      <c r="R93" s="262">
        <f>EXP(mu_t+sigma_t*Tabella34[[#This Row],[x_t_alpha©+plus]])-(Tabella34[[#This Row],[Day]]-pt)</f>
        <v>33.615372241114784</v>
      </c>
      <c r="S93" s="262">
        <f>EXP(mu_t+sigma_t*Tabella34[[#This Row],[x_t_alpha©-minus]])-(Tabella34[[#This Row],[Day]]-pt)</f>
        <v>-9.3549673743381376</v>
      </c>
      <c r="T93" s="262">
        <f>-sigma_t+SQRT(sigma_t^2-2*Tabella34[[#This Row],[c_t]])</f>
        <v>1.0354289056409776</v>
      </c>
      <c r="U93" s="262">
        <f>-sigma_t-SQRT(sigma_t^2-2*Tabella34[[#This Row],[c_t]])</f>
        <v>-1.5728682554841449</v>
      </c>
      <c r="V93" s="262">
        <f>mu_t-LN(alpha*Kt/(Tabella34[[#This Row],[Spain fitted velocity]]*sigma_t*SQRTPI(2)))</f>
        <v>-0.8142966282466908</v>
      </c>
      <c r="W93" s="262">
        <f>Tabella34[[#This Row],[Spain fitted g.r.]]/Spain_gr_at_lockdown</f>
        <v>0.48328154022607483</v>
      </c>
      <c r="X93" s="262">
        <f>Tabella34[[#This Row],[t_alpha_t+plus]]</f>
        <v>33.615372241114784</v>
      </c>
      <c r="Y93" s="262">
        <f>Tabella34[[#This Row],[Spain fitted h.t.]]/Spain_ht_at_lockdown</f>
        <v>0.54605362494471088</v>
      </c>
      <c r="Z93" s="90">
        <f>IFERROR(-Kf*_xlfn.LOGNORM.DIST((Tabella34[[#This Row],[Day]]-pf),mu_f,sigma_f,FALSE)*(1+(LN((Tabella34[[#This Row],[Day]]-pf))-mu_f)/sigma_f^2)/(Tabella34[[#This Row],[Day]]-pf),0)</f>
        <v>230.37844369198402</v>
      </c>
      <c r="AA93" s="90">
        <f>Tabella34[[#This Row],[Spain acc. fit]]/Spain_acc_at_lockdown</f>
        <v>0.7850535774944688</v>
      </c>
      <c r="AB93" s="95">
        <f>Tabella34[[#This Row],[Spain acc. fit]]/y_f_peak</f>
        <v>3.451535250500478E-2</v>
      </c>
      <c r="AC93" s="157">
        <f>Tabella34[[#This Row],[Colonna4]]*NOT(ISBLANK(Tabella34[[#This Row],[Spain daily cases]]))</f>
        <v>0</v>
      </c>
      <c r="AD93" s="157">
        <f>Tabella34[[#This Row],[Spain acc. fit]]*NOT(ISBLANK(Tabella34[[#This Row],[Spain daily cases]]))</f>
        <v>230.37844369198402</v>
      </c>
      <c r="AE93" s="95">
        <f>Tabella34[[#This Row],[Spain acc. fit]]+CIf</f>
        <v>2573.0668613730768</v>
      </c>
      <c r="AF93" s="95">
        <f>MAX(Tabella34[[#This Row],[Spain acc. fit]]-CIf,0)</f>
        <v>0</v>
      </c>
      <c r="AG93" s="4">
        <f>Tabella8[[#This Row],[Lombardy]]</f>
        <v>0</v>
      </c>
      <c r="AH93" s="90">
        <f>(Tabella34[[#This Row],[Lombardy cumul. Data]]-AG92)</f>
        <v>0</v>
      </c>
      <c r="AI93" s="90">
        <f>Tabella34[[#This Row],[Lombardy data]]-AH92</f>
        <v>0</v>
      </c>
      <c r="AJ93" s="95">
        <f>Tabella34[[#This Row],[Lombardy data]]*NOT(ISBLANK(Tabella34[[#This Row],[Lombardy data]]))</f>
        <v>0</v>
      </c>
      <c r="AK93" s="95">
        <f>Tabella8[[#This Row],[Lombardy fit]]</f>
        <v>31991.321881984775</v>
      </c>
      <c r="AL93" s="157">
        <f>_xlfn.LOGNORM.INV(alpha*Tabella34[[#This Row],[Lombardy cumul. Fit]]/Kr,mu_r,sigma_r)-(Tabella34[[#This Row],[Day]]-pr)</f>
        <v>21.36101882592969</v>
      </c>
      <c r="AM93" s="95">
        <f>Tabella34[[#This Row],[Lombardy cumul. Fit]]/Kl</f>
        <v>0.36771634347108939</v>
      </c>
      <c r="AN93" s="95">
        <f>IFERROR(Kr*_xlfn.LOGNORM.DIST((Tabella34[[#This Row],[Day]]-pr),mu_r,sigma_r,FALSE),0)</f>
        <v>1757.9488923792978</v>
      </c>
      <c r="AO93" s="202">
        <f>Tabella34[[#This Row],[Lombardy velocity]]/Tabella34[[#This Row],[Lombardy cumul. Fit]]</f>
        <v>5.4950805060957765E-2</v>
      </c>
      <c r="AP93" s="259">
        <f>(LN(Tabella34[[#This Row],[Day]]-pr)-mu_r)/sigma_r</f>
        <v>-0.33790777672817202</v>
      </c>
      <c r="AQ93" s="262">
        <f>EXP(mu_r+sigma_r*Tabella34[[#This Row],[x_r_alpha©+plus]])-(Tabella34[[#This Row],[Day]]-pr)</f>
        <v>26.938265663087549</v>
      </c>
      <c r="AR93" s="262">
        <f>EXP(mu_r+sigma_r*Tabella34[[#This Row],[x_r_alpha©-minus]])-(Tabella34[[#This Row],[Day]]-pr)</f>
        <v>-18.120814906615621</v>
      </c>
      <c r="AS93" s="262">
        <f>-sigma_r+SQRT(sigma_r^2-2*Tabella34[[#This Row],[c_r]])</f>
        <v>0.83698541965886131</v>
      </c>
      <c r="AT93" s="262">
        <f>-sigma_r-SQRT(sigma_r^2-2*Tabella34[[#This Row],[c_r]])</f>
        <v>-1.5178400168525905</v>
      </c>
      <c r="AU93" s="262">
        <f>mu_r-LN(alpha*Kr/(Tabella34[[#This Row],[Lombardy velocity]]*sigma_r*SQRTPI(2)))</f>
        <v>-0.63520498174018947</v>
      </c>
      <c r="AV93" s="262">
        <f>Tabella34[[#This Row],[t_alpha_r+plus]]</f>
        <v>26.938265663087549</v>
      </c>
      <c r="AW93" s="90">
        <f>IFERROR(-Kl*_xlfn.LOGNORM.DIST((Tabella34[[#This Row],[Day]]-pl),mu_l,sigma_l,FALSE)*(1+(LN((Tabella34[[#This Row],[Day]]-pl))-mu_l)/sigma_l^2)/(Tabella34[[#This Row],[Day]]-pl),0)</f>
        <v>-0.23751745843241842</v>
      </c>
      <c r="AX93" s="95">
        <f>Tabella34[[#This Row],[Lombardy acc. fit]]/y_l_peak</f>
        <v>-1.3511013066646604E-4</v>
      </c>
      <c r="AY93" s="157">
        <f>Tabella34[[#This Row],[Lombardy acc. fit]]*NOT(ISBLANK(Tabella34[[#This Row],[Lombardy data]]))</f>
        <v>-0.23751745843241842</v>
      </c>
      <c r="AZ93" s="95">
        <f>Tabella34[[#This Row],[Lombardy acc. fit]]+CIl</f>
        <v>2570.1448054579764</v>
      </c>
      <c r="BA93" s="95">
        <f>MAX(Tabella34[[#This Row],[Lombardy acc. fit]]-CIl,0)</f>
        <v>0</v>
      </c>
      <c r="BB93" s="10">
        <f>Tabella8[[#This Row],[rest of Italy ]]</f>
        <v>57786</v>
      </c>
      <c r="BC93" s="10">
        <f>(Tabella34[[#This Row],[rest of Italy cum. Data]]-BB92)</f>
        <v>8271</v>
      </c>
      <c r="BD93" s="10">
        <f>Tabella34[[#This Row],[rest of Italy data]]-BC92</f>
        <v>-1359</v>
      </c>
      <c r="BE93" s="95">
        <f>Tabella34[[#This Row],[rest of Italy data]]*NOT(ISBLANK(Tabella34[[#This Row],[rest of Italy data]]))</f>
        <v>8271</v>
      </c>
      <c r="BF93" s="95">
        <f>Tabella8[[#This Row],[rest of Italy fit]]</f>
        <v>44165.276053994246</v>
      </c>
      <c r="BG93" s="157">
        <f>_xlfn.LOGNORM.INV(alpha*Tabella34[[#This Row],[rest of Italy cumul. Fit]]/Ko,mu_o,sigma_o)-(Tabella34[[#This Row],[Day]]-po)</f>
        <v>13.64326064508996</v>
      </c>
      <c r="BH93" s="95">
        <f>Tabella34[[#This Row],[rest of Italy cumul. Fit]]/Ka</f>
        <v>0.29841406213068317</v>
      </c>
      <c r="BI93" s="157">
        <f>IFERROR(Ko*_xlfn.LOGNORM.DIST((Tabella34[[#This Row],[Day]]-po),mu_o,sigma_o,FALSE),0)</f>
        <v>3307.192913674166</v>
      </c>
      <c r="BJ93" s="199">
        <f>Tabella34[[#This Row],[rest of Italy velocity]]/Tabella34[[#This Row],[rest of Italy cumul. Fit]]</f>
        <v>7.4882197263546099E-2</v>
      </c>
      <c r="BK93" s="254">
        <f>(LN(Tabella34[[#This Row],[Day]]-po)-mu_o)/sigma_o</f>
        <v>-0.52896731426382182</v>
      </c>
      <c r="BL93" s="262">
        <f>EXP(mu_o+sigma_o*Tabella34[[#This Row],[x_o_alpha©+plus]])-(Tabella34[[#This Row],[Day]]-po)</f>
        <v>27.519560161501218</v>
      </c>
      <c r="BM93" s="262">
        <f>EXP(mu_o+sigma_o*Tabella34[[#This Row],[x_o_alpha©-minus]])-(Tabella34[[#This Row],[Day]]-po)</f>
        <v>-13.139781162206432</v>
      </c>
      <c r="BN93" s="262">
        <f>-sigma_o+SQRT(sigma_o^2-2*Tabella34[[#This Row],[c_o]])</f>
        <v>0.87406482130080165</v>
      </c>
      <c r="BO93" s="262">
        <f>-sigma_o-SQRT(sigma_o^2-2*Tabella34[[#This Row],[c_o]])</f>
        <v>-1.5170375985998277</v>
      </c>
      <c r="BP93" s="262">
        <f>mu_o-LN(alpha*Ko/(Tabella34[[#This Row],[rest of Italy velocity]]*sigma_o*SQRTPI(2)))</f>
        <v>-0.66299459876337785</v>
      </c>
      <c r="BQ93" s="262">
        <f>Tabella34[[#This Row],[t_alpha_o+plus]]</f>
        <v>27.519560161501218</v>
      </c>
      <c r="BR93" s="90">
        <f>IFERROR(-Ka*_xlfn.LOGNORM.DIST((Tabella34[[#This Row],[Day]]-pa),mu_a,sigma_a,FALSE)*(1+(LN((Tabella34[[#This Row],[Day]]-pa))-mu_a)/sigma_a^2)/(Tabella34[[#This Row],[Day]]-pa),0)</f>
        <v>44.206353841394645</v>
      </c>
      <c r="BS93" s="95">
        <f>Tabella34[[#This Row],[rest of Italy acc. fit]]/y_a_peak</f>
        <v>1.3082096241849132E-2</v>
      </c>
      <c r="BT93" s="95">
        <f>Tabella34[[#This Row],[rest of Italy acc. fit]]*NOT(ISBLANK(Tabella34[[#This Row],[rest of Italy data]]))</f>
        <v>44.206353841394645</v>
      </c>
      <c r="BU93" s="95">
        <f>Tabella34[[#This Row],[rest of Italy acc. fit]]+CIa</f>
        <v>5383.0457890014122</v>
      </c>
      <c r="BV93" s="95">
        <f>MAX(Tabella34[[#This Row],[rest of Italy acc. fit]]-CIa,0)</f>
        <v>0</v>
      </c>
    </row>
    <row r="94" spans="2:74" x14ac:dyDescent="0.3">
      <c r="B94" s="281">
        <v>43917</v>
      </c>
      <c r="C94" s="29">
        <v>87</v>
      </c>
      <c r="D94" s="10">
        <f>Tabella8[[#This Row],[Spain cum. Cases]]</f>
        <v>65719</v>
      </c>
      <c r="E94" s="90">
        <f>(Tabella34[[#This Row],[Spain cumul. Cases]]-D93)</f>
        <v>7933</v>
      </c>
      <c r="F94" s="90">
        <f>Tabella34[[#This Row],[Spain daily cases]]-E93</f>
        <v>-338</v>
      </c>
      <c r="G94" s="95">
        <f>Tabella34[[#This Row],[Spain daily cases]]*NOT(ISBLANK(Tabella34[[#This Row],[Spain daily cases]]))</f>
        <v>7933</v>
      </c>
      <c r="H94" s="157">
        <f>Tabella8[[#This Row],[Spain cum. fit]]</f>
        <v>62766.956017044264</v>
      </c>
      <c r="I94" s="157">
        <f>_xlfn.LOGNORM.INV(alpha*Tabella34[[#This Row],[Spain cumul. Fit]]/Kt,mu_t,sigma_t)-(Tabella34[[#This Row],[Day]]-pt)</f>
        <v>9.6872161529546901</v>
      </c>
      <c r="J94" s="157">
        <f>Tabella34[[#This Row],[Spain fitted d.t.]]/Spain_dt_at_lockdown</f>
        <v>2.5849986101105005</v>
      </c>
      <c r="K94" s="95">
        <f>Tabella34[[#This Row],[Spain cumul. Fit]]/Kf</f>
        <v>0.22416778350787492</v>
      </c>
      <c r="L94" s="160"/>
      <c r="M94" s="95"/>
      <c r="N94" s="157">
        <f>IFERROR(Kt*_xlfn.LOGNORM.DIST((Tabella34[[#This Row],[Day]]-pt),mu_t,sigma_t,FALSE),0)</f>
        <v>5921.1291506987436</v>
      </c>
      <c r="O94" s="157" t="e">
        <f>Kt*EXP(-0.5*Tabella34[[#This Row],[x_t]]^2)/(sigma_t*SQRTPI(2)*(Tabella34[[#This Row],[Day]]-D_bk))</f>
        <v>#NAME?</v>
      </c>
      <c r="P94" s="199">
        <f>Tabella34[[#This Row],[Spain fitted velocity]]/Tabella34[[#This Row],[Spain cumul. Fit]]</f>
        <v>9.4335133108747068E-2</v>
      </c>
      <c r="Q94" s="262">
        <f>(LN(Tabella34[[#This Row],[Day]]-pt)-mu_t)/sigma_t</f>
        <v>-0.75819280647674658</v>
      </c>
      <c r="R94" s="262">
        <f>EXP(mu_t+sigma_t*Tabella34[[#This Row],[x_t_alpha©+plus]])-(Tabella34[[#This Row],[Day]]-pt)</f>
        <v>31.952243668772951</v>
      </c>
      <c r="S94" s="262">
        <f>EXP(mu_t+sigma_t*Tabella34[[#This Row],[x_t_alpha©-minus]])-(Tabella34[[#This Row],[Day]]-pt)</f>
        <v>-10.023385674009674</v>
      </c>
      <c r="T94" s="262">
        <f>-sigma_t+SQRT(sigma_t^2-2*Tabella34[[#This Row],[c_t]])</f>
        <v>1.0063796575362089</v>
      </c>
      <c r="U94" s="262">
        <f>-sigma_t-SQRT(sigma_t^2-2*Tabella34[[#This Row],[c_t]])</f>
        <v>-1.5438190073793763</v>
      </c>
      <c r="V94" s="262">
        <f>mu_t-LN(alpha*Kt/(Tabella34[[#This Row],[Spain fitted velocity]]*sigma_t*SQRTPI(2)))</f>
        <v>-0.77683402197217344</v>
      </c>
      <c r="W94" s="262">
        <f>Tabella34[[#This Row],[Spain fitted g.r.]]/Spain_gr_at_lockdown</f>
        <v>0.45525228341859436</v>
      </c>
      <c r="X94" s="262">
        <f>Tabella34[[#This Row],[t_alpha_t+plus]]</f>
        <v>31.952243668772951</v>
      </c>
      <c r="Y94" s="262">
        <f>Tabella34[[#This Row],[Spain fitted h.t.]]/Spain_ht_at_lockdown</f>
        <v>0.51903749139835631</v>
      </c>
      <c r="Z94" s="90">
        <f>IFERROR(-Kf*_xlfn.LOGNORM.DIST((Tabella34[[#This Row],[Day]]-pf),mu_f,sigma_f,FALSE)*(1+(LN((Tabella34[[#This Row],[Day]]-pf))-mu_f)/sigma_f^2)/(Tabella34[[#This Row],[Day]]-pf),0)</f>
        <v>204.78514786090062</v>
      </c>
      <c r="AA94" s="90">
        <f>Tabella34[[#This Row],[Spain acc. fit]]/Spain_acc_at_lockdown</f>
        <v>0.69784008594519242</v>
      </c>
      <c r="AB94" s="95">
        <f>Tabella34[[#This Row],[Spain acc. fit]]/y_f_peak</f>
        <v>3.0680958916706358E-2</v>
      </c>
      <c r="AC94" s="157">
        <f>Tabella34[[#This Row],[Colonna4]]*NOT(ISBLANK(Tabella34[[#This Row],[Spain daily cases]]))</f>
        <v>0</v>
      </c>
      <c r="AD94" s="157">
        <f>Tabella34[[#This Row],[Spain acc. fit]]*NOT(ISBLANK(Tabella34[[#This Row],[Spain daily cases]]))</f>
        <v>204.78514786090062</v>
      </c>
      <c r="AE94" s="95">
        <f>Tabella34[[#This Row],[Spain acc. fit]]+CIf</f>
        <v>2547.4735655419931</v>
      </c>
      <c r="AF94" s="95">
        <f>MAX(Tabella34[[#This Row],[Spain acc. fit]]-CIf,0)</f>
        <v>0</v>
      </c>
      <c r="AG94" s="4">
        <f>Tabella8[[#This Row],[Lombardy]]</f>
        <v>0</v>
      </c>
      <c r="AH94" s="90">
        <f>(Tabella34[[#This Row],[Lombardy cumul. Data]]-AG93)</f>
        <v>0</v>
      </c>
      <c r="AI94" s="90">
        <f>Tabella34[[#This Row],[Lombardy data]]-AH93</f>
        <v>0</v>
      </c>
      <c r="AJ94" s="95">
        <f>Tabella34[[#This Row],[Lombardy data]]*NOT(ISBLANK(Tabella34[[#This Row],[Lombardy data]]))</f>
        <v>0</v>
      </c>
      <c r="AK94" s="95">
        <f>Tabella8[[#This Row],[Lombardy fit]]</f>
        <v>33748.322003527355</v>
      </c>
      <c r="AL94" s="157">
        <f>_xlfn.LOGNORM.INV(alpha*Tabella34[[#This Row],[Lombardy cumul. Fit]]/Kr,mu_r,sigma_r)-(Tabella34[[#This Row],[Day]]-pr)</f>
        <v>23.774729533513465</v>
      </c>
      <c r="AM94" s="95">
        <f>Tabella34[[#This Row],[Lombardy cumul. Fit]]/Kl</f>
        <v>0.38791174716698107</v>
      </c>
      <c r="AN94" s="95">
        <f>IFERROR(Kr*_xlfn.LOGNORM.DIST((Tabella34[[#This Row],[Day]]-pr),mu_r,sigma_r,FALSE),0)</f>
        <v>1755.2333412571345</v>
      </c>
      <c r="AO94" s="202">
        <f>Tabella34[[#This Row],[Lombardy velocity]]/Tabella34[[#This Row],[Lombardy cumul. Fit]]</f>
        <v>5.2009499644861706E-2</v>
      </c>
      <c r="AP94" s="259">
        <f>(LN(Tabella34[[#This Row],[Day]]-pr)-mu_r)/sigma_r</f>
        <v>-0.28476590590762912</v>
      </c>
      <c r="AQ94" s="262">
        <f>EXP(mu_r+sigma_r*Tabella34[[#This Row],[x_r_alpha©+plus]])-(Tabella34[[#This Row],[Day]]-pr)</f>
        <v>25.974778490948722</v>
      </c>
      <c r="AR94" s="262">
        <f>EXP(mu_r+sigma_r*Tabella34[[#This Row],[x_r_alpha©-minus]])-(Tabella34[[#This Row],[Day]]-pr)</f>
        <v>-19.137186865695234</v>
      </c>
      <c r="AS94" s="262">
        <f>-sigma_r+SQRT(sigma_r^2-2*Tabella34[[#This Row],[c_r]])</f>
        <v>0.83829767006885314</v>
      </c>
      <c r="AT94" s="262">
        <f>-sigma_r-SQRT(sigma_r^2-2*Tabella34[[#This Row],[c_r]])</f>
        <v>-1.5191522672625823</v>
      </c>
      <c r="AU94" s="262">
        <f>mu_r-LN(alpha*Kr/(Tabella34[[#This Row],[Lombardy velocity]]*sigma_r*SQRTPI(2)))</f>
        <v>-0.63675090306301918</v>
      </c>
      <c r="AV94" s="262">
        <f>Tabella34[[#This Row],[t_alpha_r+plus]]</f>
        <v>25.974778490948722</v>
      </c>
      <c r="AW94" s="90">
        <f>IFERROR(-Kl*_xlfn.LOGNORM.DIST((Tabella34[[#This Row],[Day]]-pl),mu_l,sigma_l,FALSE)*(1+(LN((Tabella34[[#This Row],[Day]]-pl))-mu_l)/sigma_l^2)/(Tabella34[[#This Row],[Day]]-pl),0)</f>
        <v>-5.1452122105212963</v>
      </c>
      <c r="AX94" s="95">
        <f>Tabella34[[#This Row],[Lombardy acc. fit]]/y_l_peak</f>
        <v>-2.9268176691442153E-3</v>
      </c>
      <c r="AY94" s="157">
        <f>Tabella34[[#This Row],[Lombardy acc. fit]]*NOT(ISBLANK(Tabella34[[#This Row],[Lombardy data]]))</f>
        <v>-5.1452122105212963</v>
      </c>
      <c r="AZ94" s="95">
        <f>Tabella34[[#This Row],[Lombardy acc. fit]]+CIl</f>
        <v>2565.2371107058875</v>
      </c>
      <c r="BA94" s="95">
        <f>MAX(Tabella34[[#This Row],[Lombardy acc. fit]]-CIl,0)</f>
        <v>0</v>
      </c>
      <c r="BB94" s="10">
        <f>Tabella8[[#This Row],[rest of Italy ]]</f>
        <v>65719</v>
      </c>
      <c r="BC94" s="10">
        <f>(Tabella34[[#This Row],[rest of Italy cum. Data]]-BB93)</f>
        <v>7933</v>
      </c>
      <c r="BD94" s="10">
        <f>Tabella34[[#This Row],[rest of Italy data]]-BC93</f>
        <v>-338</v>
      </c>
      <c r="BE94" s="95">
        <f>Tabella34[[#This Row],[rest of Italy data]]*NOT(ISBLANK(Tabella34[[#This Row],[rest of Italy data]]))</f>
        <v>7933</v>
      </c>
      <c r="BF94" s="95">
        <f>Tabella8[[#This Row],[rest of Italy fit]]</f>
        <v>47492.244591342511</v>
      </c>
      <c r="BG94" s="157">
        <f>_xlfn.LOGNORM.INV(alpha*Tabella34[[#This Row],[rest of Italy cumul. Fit]]/Ko,mu_o,sigma_o)-(Tabella34[[#This Row],[Day]]-po)</f>
        <v>15.039520753454553</v>
      </c>
      <c r="BH94" s="95">
        <f>Tabella34[[#This Row],[rest of Italy cumul. Fit]]/Ka</f>
        <v>0.32089358189180295</v>
      </c>
      <c r="BI94" s="157">
        <f>IFERROR(Ko*_xlfn.LOGNORM.DIST((Tabella34[[#This Row],[Day]]-po),mu_o,sigma_o,FALSE),0)</f>
        <v>3344.4321479038872</v>
      </c>
      <c r="BJ94" s="199">
        <f>Tabella34[[#This Row],[rest of Italy velocity]]/Tabella34[[#This Row],[rest of Italy cumul. Fit]]</f>
        <v>7.0420595545268305E-2</v>
      </c>
      <c r="BK94" s="254">
        <f>(LN(Tabella34[[#This Row],[Day]]-po)-mu_o)/sigma_o</f>
        <v>-0.46520150120273696</v>
      </c>
      <c r="BL94" s="262">
        <f>EXP(mu_o+sigma_o*Tabella34[[#This Row],[x_o_alpha©+plus]])-(Tabella34[[#This Row],[Day]]-po)</f>
        <v>26.29076950243747</v>
      </c>
      <c r="BM94" s="262">
        <f>EXP(mu_o+sigma_o*Tabella34[[#This Row],[x_o_alpha©-minus]])-(Tabella34[[#This Row],[Day]]-po)</f>
        <v>-14.033389907959901</v>
      </c>
      <c r="BN94" s="262">
        <f>-sigma_o+SQRT(sigma_o^2-2*Tabella34[[#This Row],[c_o]])</f>
        <v>0.86466216642108906</v>
      </c>
      <c r="BO94" s="262">
        <f>-sigma_o-SQRT(sigma_o^2-2*Tabella34[[#This Row],[c_o]])</f>
        <v>-1.5076349437201153</v>
      </c>
      <c r="BP94" s="262">
        <f>mu_o-LN(alpha*Ko/(Tabella34[[#This Row],[rest of Italy velocity]]*sigma_o*SQRTPI(2)))</f>
        <v>-0.65179744830458564</v>
      </c>
      <c r="BQ94" s="262">
        <f>Tabella34[[#This Row],[t_alpha_o+plus]]</f>
        <v>26.29076950243747</v>
      </c>
      <c r="BR94" s="90">
        <f>IFERROR(-Ka*_xlfn.LOGNORM.DIST((Tabella34[[#This Row],[Day]]-pa),mu_a,sigma_a,FALSE)*(1+(LN((Tabella34[[#This Row],[Day]]-pa))-mu_a)/sigma_a^2)/(Tabella34[[#This Row],[Day]]-pa),0)</f>
        <v>30.336735914512595</v>
      </c>
      <c r="BS94" s="95">
        <f>Tabella34[[#This Row],[rest of Italy acc. fit]]/y_a_peak</f>
        <v>8.9776257123832092E-3</v>
      </c>
      <c r="BT94" s="95">
        <f>Tabella34[[#This Row],[rest of Italy acc. fit]]*NOT(ISBLANK(Tabella34[[#This Row],[rest of Italy data]]))</f>
        <v>30.336735914512595</v>
      </c>
      <c r="BU94" s="95">
        <f>Tabella34[[#This Row],[rest of Italy acc. fit]]+CIa</f>
        <v>5369.1761710745295</v>
      </c>
      <c r="BV94" s="95">
        <f>MAX(Tabella34[[#This Row],[rest of Italy acc. fit]]-CIa,0)</f>
        <v>0</v>
      </c>
    </row>
    <row r="95" spans="2:74" x14ac:dyDescent="0.3">
      <c r="B95" s="281">
        <v>43918</v>
      </c>
      <c r="C95" s="29">
        <v>88</v>
      </c>
      <c r="D95" s="10">
        <f>Tabella8[[#This Row],[Spain cum. Cases]]</f>
        <v>73235</v>
      </c>
      <c r="E95" s="90">
        <f>(Tabella34[[#This Row],[Spain cumul. Cases]]-D94)</f>
        <v>7516</v>
      </c>
      <c r="F95" s="90">
        <f>Tabella34[[#This Row],[Spain daily cases]]-E94</f>
        <v>-417</v>
      </c>
      <c r="G95" s="95">
        <f>Tabella34[[#This Row],[Spain daily cases]]*NOT(ISBLANK(Tabella34[[#This Row],[Spain daily cases]]))</f>
        <v>7516</v>
      </c>
      <c r="H95" s="157">
        <f>Tabella8[[#This Row],[Spain cum. fit]]</f>
        <v>68786.028864851309</v>
      </c>
      <c r="I95" s="157">
        <f>_xlfn.LOGNORM.INV(alpha*Tabella34[[#This Row],[Spain cumul. Fit]]/Kt,mu_t,sigma_t)-(Tabella34[[#This Row],[Day]]-pt)</f>
        <v>10.525604544644253</v>
      </c>
      <c r="J95" s="157">
        <f>Tabella34[[#This Row],[Spain fitted d.t.]]/Spain_dt_at_lockdown</f>
        <v>2.8087195215706284</v>
      </c>
      <c r="K95" s="95">
        <f>Tabella34[[#This Row],[Spain cumul. Fit]]/Kf</f>
        <v>0.24566448025224058</v>
      </c>
      <c r="L95" s="160"/>
      <c r="M95" s="95"/>
      <c r="N95" s="157">
        <f>IFERROR(Kt*_xlfn.LOGNORM.DIST((Tabella34[[#This Row],[Day]]-pt),mu_t,sigma_t,FALSE),0)</f>
        <v>6112.5172531984645</v>
      </c>
      <c r="O95" s="157" t="e">
        <f>Kt*EXP(-0.5*Tabella34[[#This Row],[x_t]]^2)/(sigma_t*SQRTPI(2)*(Tabella34[[#This Row],[Day]]-D_bk))</f>
        <v>#NAME?</v>
      </c>
      <c r="P95" s="199">
        <f>Tabella34[[#This Row],[Spain fitted velocity]]/Tabella34[[#This Row],[Spain cumul. Fit]]</f>
        <v>8.8862772776258855E-2</v>
      </c>
      <c r="Q95" s="262">
        <f>(LN(Tabella34[[#This Row],[Day]]-pt)-mu_t)/sigma_t</f>
        <v>-0.68819663847190204</v>
      </c>
      <c r="R95" s="262">
        <f>EXP(mu_t+sigma_t*Tabella34[[#This Row],[x_t_alpha©+plus]])-(Tabella34[[#This Row],[Day]]-pt)</f>
        <v>30.381225574854113</v>
      </c>
      <c r="S95" s="262">
        <f>EXP(mu_t+sigma_t*Tabella34[[#This Row],[x_t_alpha©-minus]])-(Tabella34[[#This Row],[Day]]-pt)</f>
        <v>-10.733669037288095</v>
      </c>
      <c r="T95" s="262">
        <f>-sigma_t+SQRT(sigma_t^2-2*Tabella34[[#This Row],[c_t]])</f>
        <v>0.98118243487313417</v>
      </c>
      <c r="U95" s="262">
        <f>-sigma_t-SQRT(sigma_t^2-2*Tabella34[[#This Row],[c_t]])</f>
        <v>-1.5186217847163015</v>
      </c>
      <c r="V95" s="262">
        <f>mu_t-LN(alpha*Kt/(Tabella34[[#This Row],[Spain fitted velocity]]*sigma_t*SQRTPI(2)))</f>
        <v>-0.74502251018966259</v>
      </c>
      <c r="W95" s="262">
        <f>Tabella34[[#This Row],[Spain fitted g.r.]]/Spain_gr_at_lockdown</f>
        <v>0.42884319854262681</v>
      </c>
      <c r="X95" s="262">
        <f>Tabella34[[#This Row],[t_alpha_t+plus]]</f>
        <v>30.381225574854113</v>
      </c>
      <c r="Y95" s="262">
        <f>Tabella34[[#This Row],[Spain fitted h.t.]]/Spain_ht_at_lockdown</f>
        <v>0.49351761558425278</v>
      </c>
      <c r="Z95" s="90">
        <f>IFERROR(-Kf*_xlfn.LOGNORM.DIST((Tabella34[[#This Row],[Day]]-pf),mu_f,sigma_f,FALSE)*(1+(LN((Tabella34[[#This Row],[Day]]-pf))-mu_f)/sigma_f^2)/(Tabella34[[#This Row],[Day]]-pf),0)</f>
        <v>177.79702204532182</v>
      </c>
      <c r="AA95" s="90">
        <f>Tabella34[[#This Row],[Spain acc. fit]]/Spain_acc_at_lockdown</f>
        <v>0.60587347491226895</v>
      </c>
      <c r="AB95" s="95">
        <f>Tabella34[[#This Row],[Spain acc. fit]]/y_f_peak</f>
        <v>2.6637591572756664E-2</v>
      </c>
      <c r="AC95" s="157">
        <f>Tabella34[[#This Row],[Colonna4]]*NOT(ISBLANK(Tabella34[[#This Row],[Spain daily cases]]))</f>
        <v>0</v>
      </c>
      <c r="AD95" s="157">
        <f>Tabella34[[#This Row],[Spain acc. fit]]*NOT(ISBLANK(Tabella34[[#This Row],[Spain daily cases]]))</f>
        <v>177.79702204532182</v>
      </c>
      <c r="AE95" s="95">
        <f>Tabella34[[#This Row],[Spain acc. fit]]+CIf</f>
        <v>2520.4854397264144</v>
      </c>
      <c r="AF95" s="95">
        <f>MAX(Tabella34[[#This Row],[Spain acc. fit]]-CIf,0)</f>
        <v>0</v>
      </c>
      <c r="AG95" s="4">
        <f>Tabella8[[#This Row],[Lombardy]]</f>
        <v>0</v>
      </c>
      <c r="AH95" s="90">
        <f>(Tabella34[[#This Row],[Lombardy cumul. Data]]-AG94)</f>
        <v>0</v>
      </c>
      <c r="AI95" s="90">
        <f>Tabella34[[#This Row],[Lombardy data]]-AH94</f>
        <v>0</v>
      </c>
      <c r="AJ95" s="95">
        <f>Tabella34[[#This Row],[Lombardy data]]*NOT(ISBLANK(Tabella34[[#This Row],[Lombardy data]]))</f>
        <v>0</v>
      </c>
      <c r="AK95" s="95">
        <f>Tabella8[[#This Row],[Lombardy fit]]</f>
        <v>35500.201936379526</v>
      </c>
      <c r="AL95" s="157">
        <f>_xlfn.LOGNORM.INV(alpha*Tabella34[[#This Row],[Lombardy cumul. Fit]]/Kr,mu_r,sigma_r)-(Tabella34[[#This Row],[Day]]-pr)</f>
        <v>26.726912334079998</v>
      </c>
      <c r="AM95" s="95">
        <f>Tabella34[[#This Row],[Lombardy cumul. Fit]]/Kl</f>
        <v>0.40804829811930488</v>
      </c>
      <c r="AN95" s="95">
        <f>IFERROR(Kr*_xlfn.LOGNORM.DIST((Tabella34[[#This Row],[Day]]-pr),mu_r,sigma_r,FALSE),0)</f>
        <v>1747.7585290314307</v>
      </c>
      <c r="AO95" s="202">
        <f>Tabella34[[#This Row],[Lombardy velocity]]/Tabella34[[#This Row],[Lombardy cumul. Fit]]</f>
        <v>4.9232354569802628E-2</v>
      </c>
      <c r="AP95" s="259">
        <f>(LN(Tabella34[[#This Row],[Day]]-pr)-mu_r)/sigma_r</f>
        <v>-0.23256836318180291</v>
      </c>
      <c r="AQ95" s="262">
        <f>EXP(mu_r+sigma_r*Tabella34[[#This Row],[x_r_alpha©+plus]])-(Tabella34[[#This Row],[Day]]-pr)</f>
        <v>25.075450070806539</v>
      </c>
      <c r="AR95" s="262">
        <f>EXP(mu_r+sigma_r*Tabella34[[#This Row],[x_r_alpha©-minus]])-(Tabella34[[#This Row],[Day]]-pr)</f>
        <v>-20.182251264885529</v>
      </c>
      <c r="AS95" s="262">
        <f>-sigma_r+SQRT(sigma_r^2-2*Tabella34[[#This Row],[c_r]])</f>
        <v>0.84191271640252707</v>
      </c>
      <c r="AT95" s="262">
        <f>-sigma_r-SQRT(sigma_r^2-2*Tabella34[[#This Row],[c_r]])</f>
        <v>-1.5227673135962563</v>
      </c>
      <c r="AU95" s="262">
        <f>mu_r-LN(alpha*Kr/(Tabella34[[#This Row],[Lombardy velocity]]*sigma_r*SQRTPI(2)))</f>
        <v>-0.64101858271940149</v>
      </c>
      <c r="AV95" s="262">
        <f>Tabella34[[#This Row],[t_alpha_r+plus]]</f>
        <v>25.075450070806539</v>
      </c>
      <c r="AW95" s="90">
        <f>IFERROR(-Kl*_xlfn.LOGNORM.DIST((Tabella34[[#This Row],[Day]]-pl),mu_l,sigma_l,FALSE)*(1+(LN((Tabella34[[#This Row],[Day]]-pl))-mu_l)/sigma_l^2)/(Tabella34[[#This Row],[Day]]-pl),0)</f>
        <v>-9.7529217709528435</v>
      </c>
      <c r="AX95" s="95">
        <f>Tabella34[[#This Row],[Lombardy acc. fit]]/y_l_peak</f>
        <v>-5.5478807475880538E-3</v>
      </c>
      <c r="AY95" s="157">
        <f>Tabella34[[#This Row],[Lombardy acc. fit]]*NOT(ISBLANK(Tabella34[[#This Row],[Lombardy data]]))</f>
        <v>-9.7529217709528435</v>
      </c>
      <c r="AZ95" s="95">
        <f>Tabella34[[#This Row],[Lombardy acc. fit]]+CIl</f>
        <v>2560.6294011454556</v>
      </c>
      <c r="BA95" s="95">
        <f>MAX(Tabella34[[#This Row],[Lombardy acc. fit]]-CIl,0)</f>
        <v>0</v>
      </c>
      <c r="BB95" s="10">
        <f>Tabella8[[#This Row],[rest of Italy ]]</f>
        <v>73235</v>
      </c>
      <c r="BC95" s="10">
        <f>(Tabella34[[#This Row],[rest of Italy cum. Data]]-BB94)</f>
        <v>7516</v>
      </c>
      <c r="BD95" s="10">
        <f>Tabella34[[#This Row],[rest of Italy data]]-BC94</f>
        <v>-417</v>
      </c>
      <c r="BE95" s="95">
        <f>Tabella34[[#This Row],[rest of Italy data]]*NOT(ISBLANK(Tabella34[[#This Row],[rest of Italy data]]))</f>
        <v>7516</v>
      </c>
      <c r="BF95" s="95">
        <f>Tabella8[[#This Row],[rest of Italy fit]]</f>
        <v>50849.58806611818</v>
      </c>
      <c r="BG95" s="157">
        <f>_xlfn.LOGNORM.INV(alpha*Tabella34[[#This Row],[rest of Italy cumul. Fit]]/Ko,mu_o,sigma_o)-(Tabella34[[#This Row],[Day]]-po)</f>
        <v>16.66767361753179</v>
      </c>
      <c r="BH95" s="95">
        <f>Tabella34[[#This Row],[rest of Italy cumul. Fit]]/Ka</f>
        <v>0.34357833774051322</v>
      </c>
      <c r="BI95" s="157">
        <f>IFERROR(Ko*_xlfn.LOGNORM.DIST((Tabella34[[#This Row],[Day]]-po),mu_o,sigma_o,FALSE),0)</f>
        <v>3368.0190612821943</v>
      </c>
      <c r="BJ95" s="199">
        <f>Tabella34[[#This Row],[rest of Italy velocity]]/Tabella34[[#This Row],[rest of Italy cumul. Fit]]</f>
        <v>6.6234933052021217E-2</v>
      </c>
      <c r="BK95" s="254">
        <f>(LN(Tabella34[[#This Row],[Day]]-po)-mu_o)/sigma_o</f>
        <v>-0.40271666137844897</v>
      </c>
      <c r="BL95" s="262">
        <f>EXP(mu_o+sigma_o*Tabella34[[#This Row],[x_o_alpha©+plus]])-(Tabella34[[#This Row],[Day]]-po)</f>
        <v>25.146595131334891</v>
      </c>
      <c r="BM95" s="262">
        <f>EXP(mu_o+sigma_o*Tabella34[[#This Row],[x_o_alpha©-minus]])-(Tabella34[[#This Row],[Day]]-po)</f>
        <v>-14.966015057492633</v>
      </c>
      <c r="BN95" s="262">
        <f>-sigma_o+SQRT(sigma_o^2-2*Tabella34[[#This Row],[c_o]])</f>
        <v>0.85872237183632072</v>
      </c>
      <c r="BO95" s="262">
        <f>-sigma_o-SQRT(sigma_o^2-2*Tabella34[[#This Row],[c_o]])</f>
        <v>-1.501695149135347</v>
      </c>
      <c r="BP95" s="262">
        <f>mu_o-LN(alpha*Ko/(Tabella34[[#This Row],[rest of Italy velocity]]*sigma_o*SQRTPI(2)))</f>
        <v>-0.6447696101203011</v>
      </c>
      <c r="BQ95" s="262">
        <f>Tabella34[[#This Row],[t_alpha_o+plus]]</f>
        <v>25.146595131334891</v>
      </c>
      <c r="BR95" s="90">
        <f>IFERROR(-Ka*_xlfn.LOGNORM.DIST((Tabella34[[#This Row],[Day]]-pa),mu_a,sigma_a,FALSE)*(1+(LN((Tabella34[[#This Row],[Day]]-pa))-mu_a)/sigma_a^2)/(Tabella34[[#This Row],[Day]]-pa),0)</f>
        <v>16.924363937557889</v>
      </c>
      <c r="BS95" s="95">
        <f>Tabella34[[#This Row],[rest of Italy acc. fit]]/y_a_peak</f>
        <v>5.0084691141364665E-3</v>
      </c>
      <c r="BT95" s="95">
        <f>Tabella34[[#This Row],[rest of Italy acc. fit]]*NOT(ISBLANK(Tabella34[[#This Row],[rest of Italy data]]))</f>
        <v>16.924363937557889</v>
      </c>
      <c r="BU95" s="95">
        <f>Tabella34[[#This Row],[rest of Italy acc. fit]]+CIa</f>
        <v>5355.7637990975754</v>
      </c>
      <c r="BV95" s="95">
        <f>MAX(Tabella34[[#This Row],[rest of Italy acc. fit]]-CIa,0)</f>
        <v>0</v>
      </c>
    </row>
    <row r="96" spans="2:74" x14ac:dyDescent="0.3">
      <c r="B96" s="281">
        <v>43919</v>
      </c>
      <c r="C96" s="29">
        <v>89</v>
      </c>
      <c r="D96" s="10">
        <f>Tabella8[[#This Row],[Spain cum. Cases]]</f>
        <v>80110</v>
      </c>
      <c r="E96" s="90">
        <f>(Tabella34[[#This Row],[Spain cumul. Cases]]-D95)</f>
        <v>6875</v>
      </c>
      <c r="F96" s="90">
        <f>Tabella34[[#This Row],[Spain daily cases]]-E95</f>
        <v>-641</v>
      </c>
      <c r="G96" s="95">
        <f>Tabella34[[#This Row],[Spain daily cases]]*NOT(ISBLANK(Tabella34[[#This Row],[Spain daily cases]]))</f>
        <v>6875</v>
      </c>
      <c r="H96" s="157">
        <f>Tabella8[[#This Row],[Spain cum. fit]]</f>
        <v>74982.820604930748</v>
      </c>
      <c r="I96" s="157">
        <f>_xlfn.LOGNORM.INV(alpha*Tabella34[[#This Row],[Spain cumul. Fit]]/Kt,mu_t,sigma_t)-(Tabella34[[#This Row],[Day]]-pt)</f>
        <v>11.470423429524942</v>
      </c>
      <c r="J96" s="157">
        <f>Tabella34[[#This Row],[Spain fitted d.t.]]/Spain_dt_at_lockdown</f>
        <v>3.0608410253813796</v>
      </c>
      <c r="K96" s="95">
        <f>Tabella34[[#This Row],[Spain cumul. Fit]]/Kf</f>
        <v>0.26779588756242306</v>
      </c>
      <c r="L96" s="160"/>
      <c r="M96" s="95"/>
      <c r="N96" s="157">
        <f>IFERROR(Kt*_xlfn.LOGNORM.DIST((Tabella34[[#This Row],[Day]]-pt),mu_t,sigma_t,FALSE),0)</f>
        <v>6276.4105735788644</v>
      </c>
      <c r="O96" s="157" t="e">
        <f>Kt*EXP(-0.5*Tabella34[[#This Row],[x_t]]^2)/(sigma_t*SQRTPI(2)*(Tabella34[[#This Row],[Day]]-D_bk))</f>
        <v>#NAME?</v>
      </c>
      <c r="P96" s="199">
        <f>Tabella34[[#This Row],[Spain fitted velocity]]/Tabella34[[#This Row],[Spain cumul. Fit]]</f>
        <v>8.3704647583851197E-2</v>
      </c>
      <c r="Q96" s="262">
        <f>(LN(Tabella34[[#This Row],[Day]]-pt)-mu_t)/sigma_t</f>
        <v>-0.61949278256489992</v>
      </c>
      <c r="R96" s="262">
        <f>EXP(mu_t+sigma_t*Tabella34[[#This Row],[x_t_alpha©+plus]])-(Tabella34[[#This Row],[Day]]-pt)</f>
        <v>28.900371825933107</v>
      </c>
      <c r="S96" s="262">
        <f>EXP(mu_t+sigma_t*Tabella34[[#This Row],[x_t_alpha©-minus]])-(Tabella34[[#This Row],[Day]]-pt)</f>
        <v>-11.486628063292187</v>
      </c>
      <c r="T96" s="262">
        <f>-sigma_t+SQRT(sigma_t^2-2*Tabella34[[#This Row],[c_t]])</f>
        <v>0.95983074494959153</v>
      </c>
      <c r="U96" s="262">
        <f>-sigma_t-SQRT(sigma_t^2-2*Tabella34[[#This Row],[c_t]])</f>
        <v>-1.4972700947927589</v>
      </c>
      <c r="V96" s="262">
        <f>mu_t-LN(alpha*Kt/(Tabella34[[#This Row],[Spain fitted velocity]]*sigma_t*SQRTPI(2)))</f>
        <v>-0.71856293523783954</v>
      </c>
      <c r="W96" s="262">
        <f>Tabella34[[#This Row],[Spain fitted g.r.]]/Spain_gr_at_lockdown</f>
        <v>0.40395058224350561</v>
      </c>
      <c r="X96" s="262">
        <f>Tabella34[[#This Row],[t_alpha_t+plus]]</f>
        <v>28.900371825933107</v>
      </c>
      <c r="Y96" s="262">
        <f>Tabella34[[#This Row],[Spain fitted h.t.]]/Spain_ht_at_lockdown</f>
        <v>0.46946238419156705</v>
      </c>
      <c r="Z96" s="90">
        <f>IFERROR(-Kf*_xlfn.LOGNORM.DIST((Tabella34[[#This Row],[Day]]-pf),mu_f,sigma_f,FALSE)*(1+(LN((Tabella34[[#This Row],[Day]]-pf))-mu_f)/sigma_f^2)/(Tabella34[[#This Row],[Day]]-pf),0)</f>
        <v>149.8704206331837</v>
      </c>
      <c r="AA96" s="90">
        <f>Tabella34[[#This Row],[Spain acc. fit]]/Spain_acc_at_lockdown</f>
        <v>0.51070884928794902</v>
      </c>
      <c r="AB96" s="95">
        <f>Tabella34[[#This Row],[Spain acc. fit]]/y_f_peak</f>
        <v>2.245362159466513E-2</v>
      </c>
      <c r="AC96" s="157">
        <f>Tabella34[[#This Row],[Colonna4]]*NOT(ISBLANK(Tabella34[[#This Row],[Spain daily cases]]))</f>
        <v>0</v>
      </c>
      <c r="AD96" s="157">
        <f>Tabella34[[#This Row],[Spain acc. fit]]*NOT(ISBLANK(Tabella34[[#This Row],[Spain daily cases]]))</f>
        <v>149.8704206331837</v>
      </c>
      <c r="AE96" s="95">
        <f>Tabella34[[#This Row],[Spain acc. fit]]+CIf</f>
        <v>2492.5588383142763</v>
      </c>
      <c r="AF96" s="95">
        <f>MAX(Tabella34[[#This Row],[Spain acc. fit]]-CIf,0)</f>
        <v>0</v>
      </c>
      <c r="AG96" s="4">
        <f>Tabella8[[#This Row],[Lombardy]]</f>
        <v>0</v>
      </c>
      <c r="AH96" s="90">
        <f>(Tabella34[[#This Row],[Lombardy cumul. Data]]-AG95)</f>
        <v>0</v>
      </c>
      <c r="AI96" s="90">
        <f>Tabella34[[#This Row],[Lombardy data]]-AH95</f>
        <v>0</v>
      </c>
      <c r="AJ96" s="95">
        <f>Tabella34[[#This Row],[Lombardy data]]*NOT(ISBLANK(Tabella34[[#This Row],[Lombardy data]]))</f>
        <v>0</v>
      </c>
      <c r="AK96" s="95">
        <f>Tabella8[[#This Row],[Lombardy fit]]</f>
        <v>37242.355288164421</v>
      </c>
      <c r="AL96" s="157">
        <f>_xlfn.LOGNORM.INV(alpha*Tabella34[[#This Row],[Lombardy cumul. Fit]]/Kr,mu_r,sigma_r)-(Tabella34[[#This Row],[Day]]-pr)</f>
        <v>30.478740815269546</v>
      </c>
      <c r="AM96" s="95">
        <f>Tabella34[[#This Row],[Lombardy cumul. Fit]]/Kl</f>
        <v>0.42807304928924622</v>
      </c>
      <c r="AN96" s="95">
        <f>IFERROR(Kr*_xlfn.LOGNORM.DIST((Tabella34[[#This Row],[Day]]-pr),mu_r,sigma_r,FALSE),0)</f>
        <v>1735.8328304500953</v>
      </c>
      <c r="AO96" s="202">
        <f>Tabella34[[#This Row],[Lombardy velocity]]/Tabella34[[#This Row],[Lombardy cumul. Fit]]</f>
        <v>4.6609104526795092E-2</v>
      </c>
      <c r="AP96" s="259">
        <f>(LN(Tabella34[[#This Row],[Day]]-pr)-mu_r)/sigma_r</f>
        <v>-0.18128217236746549</v>
      </c>
      <c r="AQ96" s="262">
        <f>EXP(mu_r+sigma_r*Tabella34[[#This Row],[x_r_alpha©+plus]])-(Tabella34[[#This Row],[Day]]-pr)</f>
        <v>24.236579026940362</v>
      </c>
      <c r="AR96" s="262">
        <f>EXP(mu_r+sigma_r*Tabella34[[#This Row],[x_r_alpha©-minus]])-(Tabella34[[#This Row],[Day]]-pr)</f>
        <v>-21.254148427709083</v>
      </c>
      <c r="AS96" s="262">
        <f>-sigma_r+SQRT(sigma_r^2-2*Tabella34[[#This Row],[c_r]])</f>
        <v>0.84768950219439709</v>
      </c>
      <c r="AT96" s="262">
        <f>-sigma_r-SQRT(sigma_r^2-2*Tabella34[[#This Row],[c_r]])</f>
        <v>-1.5285440993881263</v>
      </c>
      <c r="AU96" s="262">
        <f>mu_r-LN(alpha*Kr/(Tabella34[[#This Row],[Lombardy velocity]]*sigma_r*SQRTPI(2)))</f>
        <v>-0.64786539334625193</v>
      </c>
      <c r="AV96" s="262">
        <f>Tabella34[[#This Row],[t_alpha_r+plus]]</f>
        <v>24.236579026940362</v>
      </c>
      <c r="AW96" s="90">
        <f>IFERROR(-Kl*_xlfn.LOGNORM.DIST((Tabella34[[#This Row],[Day]]-pl),mu_l,sigma_l,FALSE)*(1+(LN((Tabella34[[#This Row],[Day]]-pl))-mu_l)/sigma_l^2)/(Tabella34[[#This Row],[Day]]-pl),0)</f>
        <v>-14.044813596877981</v>
      </c>
      <c r="AX96" s="95">
        <f>Tabella34[[#This Row],[Lombardy acc. fit]]/y_l_peak</f>
        <v>-7.989293135688684E-3</v>
      </c>
      <c r="AY96" s="157">
        <f>Tabella34[[#This Row],[Lombardy acc. fit]]*NOT(ISBLANK(Tabella34[[#This Row],[Lombardy data]]))</f>
        <v>-14.044813596877981</v>
      </c>
      <c r="AZ96" s="95">
        <f>Tabella34[[#This Row],[Lombardy acc. fit]]+CIl</f>
        <v>2556.3375093195305</v>
      </c>
      <c r="BA96" s="95">
        <f>MAX(Tabella34[[#This Row],[Lombardy acc. fit]]-CIl,0)</f>
        <v>0</v>
      </c>
      <c r="BB96" s="10">
        <f>Tabella8[[#This Row],[rest of Italy ]]</f>
        <v>80110</v>
      </c>
      <c r="BC96" s="10">
        <f>(Tabella34[[#This Row],[rest of Italy cum. Data]]-BB95)</f>
        <v>6875</v>
      </c>
      <c r="BD96" s="10">
        <f>Tabella34[[#This Row],[rest of Italy data]]-BC95</f>
        <v>-641</v>
      </c>
      <c r="BE96" s="95">
        <f>Tabella34[[#This Row],[rest of Italy data]]*NOT(ISBLANK(Tabella34[[#This Row],[rest of Italy data]]))</f>
        <v>6875</v>
      </c>
      <c r="BF96" s="95">
        <f>Tabella8[[#This Row],[rest of Italy fit]]</f>
        <v>54223.904460029429</v>
      </c>
      <c r="BG96" s="157">
        <f>_xlfn.LOGNORM.INV(alpha*Tabella34[[#This Row],[rest of Italy cumul. Fit]]/Ko,mu_o,sigma_o)-(Tabella34[[#This Row],[Day]]-po)</f>
        <v>18.600512695785355</v>
      </c>
      <c r="BH96" s="95">
        <f>Tabella34[[#This Row],[rest of Italy cumul. Fit]]/Ka</f>
        <v>0.36637777548862505</v>
      </c>
      <c r="BI96" s="157">
        <f>IFERROR(Ko*_xlfn.LOGNORM.DIST((Tabella34[[#This Row],[Day]]-po),mu_o,sigma_o,FALSE),0)</f>
        <v>3378.4749693188419</v>
      </c>
      <c r="BJ96" s="199">
        <f>Tabella34[[#This Row],[rest of Italy velocity]]/Tabella34[[#This Row],[rest of Italy cumul. Fit]]</f>
        <v>6.230600697168992E-2</v>
      </c>
      <c r="BK96" s="254">
        <f>(LN(Tabella34[[#This Row],[Day]]-po)-mu_o)/sigma_o</f>
        <v>-0.34146234047788798</v>
      </c>
      <c r="BL96" s="262">
        <f>EXP(mu_o+sigma_o*Tabella34[[#This Row],[x_o_alpha©+plus]])-(Tabella34[[#This Row],[Day]]-po)</f>
        <v>24.082863132712205</v>
      </c>
      <c r="BM96" s="262">
        <f>EXP(mu_o+sigma_o*Tabella34[[#This Row],[x_o_alpha©-minus]])-(Tabella34[[#This Row],[Day]]-po)</f>
        <v>-15.936149976225074</v>
      </c>
      <c r="BN96" s="262">
        <f>-sigma_o+SQRT(sigma_o^2-2*Tabella34[[#This Row],[c_o]])</f>
        <v>0.85609307778633614</v>
      </c>
      <c r="BO96" s="262">
        <f>-sigma_o-SQRT(sigma_o^2-2*Tabella34[[#This Row],[c_o]])</f>
        <v>-1.4990658550853624</v>
      </c>
      <c r="BP96" s="262">
        <f>mu_o-LN(alpha*Ko/(Tabella34[[#This Row],[rest of Italy velocity]]*sigma_o*SQRTPI(2)))</f>
        <v>-0.64166995084221679</v>
      </c>
      <c r="BQ96" s="262">
        <f>Tabella34[[#This Row],[t_alpha_o+plus]]</f>
        <v>24.082863132712205</v>
      </c>
      <c r="BR96" s="90">
        <f>IFERROR(-Ka*_xlfn.LOGNORM.DIST((Tabella34[[#This Row],[Day]]-pa),mu_a,sigma_a,FALSE)*(1+(LN((Tabella34[[#This Row],[Day]]-pa))-mu_a)/sigma_a^2)/(Tabella34[[#This Row],[Day]]-pa),0)</f>
        <v>4.0935092629257488</v>
      </c>
      <c r="BS96" s="95">
        <f>Tabella34[[#This Row],[rest of Italy acc. fit]]/y_a_peak</f>
        <v>1.2114023775095873E-3</v>
      </c>
      <c r="BT96" s="95">
        <f>Tabella34[[#This Row],[rest of Italy acc. fit]]*NOT(ISBLANK(Tabella34[[#This Row],[rest of Italy data]]))</f>
        <v>4.0935092629257488</v>
      </c>
      <c r="BU96" s="95">
        <f>Tabella34[[#This Row],[rest of Italy acc. fit]]+CIa</f>
        <v>5342.9329444229434</v>
      </c>
      <c r="BV96" s="95">
        <f>MAX(Tabella34[[#This Row],[rest of Italy acc. fit]]-CIa,0)</f>
        <v>0</v>
      </c>
    </row>
    <row r="97" spans="2:74" x14ac:dyDescent="0.3">
      <c r="B97" s="281">
        <v>43920</v>
      </c>
      <c r="C97" s="29">
        <v>90</v>
      </c>
      <c r="D97" s="10">
        <f>Tabella8[[#This Row],[Spain cum. Cases]]</f>
        <v>87956</v>
      </c>
      <c r="E97" s="90">
        <f>(Tabella34[[#This Row],[Spain cumul. Cases]]-D96)</f>
        <v>7846</v>
      </c>
      <c r="F97" s="90">
        <f>Tabella34[[#This Row],[Spain daily cases]]-E96</f>
        <v>971</v>
      </c>
      <c r="G97" s="95">
        <f>Tabella34[[#This Row],[Spain daily cases]]*NOT(ISBLANK(Tabella34[[#This Row],[Spain daily cases]]))</f>
        <v>7846</v>
      </c>
      <c r="H97" s="157">
        <f>Tabella8[[#This Row],[Spain cum. fit]]</f>
        <v>81329.44118971283</v>
      </c>
      <c r="I97" s="157">
        <f>_xlfn.LOGNORM.INV(alpha*Tabella34[[#This Row],[Spain cumul. Fit]]/Kt,mu_t,sigma_t)-(Tabella34[[#This Row],[Day]]-pt)</f>
        <v>12.544789617338409</v>
      </c>
      <c r="J97" s="157">
        <f>Tabella34[[#This Row],[Spain fitted d.t.]]/Spain_dt_at_lockdown</f>
        <v>3.3475317586526141</v>
      </c>
      <c r="K97" s="95">
        <f>Tabella34[[#This Row],[Spain cumul. Fit]]/Kf</f>
        <v>0.29046239808859414</v>
      </c>
      <c r="L97" s="160"/>
      <c r="M97" s="95"/>
      <c r="N97" s="157">
        <f>IFERROR(Kt*_xlfn.LOGNORM.DIST((Tabella34[[#This Row],[Day]]-pt),mu_t,sigma_t,FALSE),0)</f>
        <v>6412.0916413164368</v>
      </c>
      <c r="O97" s="157" t="e">
        <f>Kt*EXP(-0.5*Tabella34[[#This Row],[x_t]]^2)/(sigma_t*SQRTPI(2)*(Tabella34[[#This Row],[Day]]-D_bk))</f>
        <v>#NAME?</v>
      </c>
      <c r="P97" s="199">
        <f>Tabella34[[#This Row],[Spain fitted velocity]]/Tabella34[[#This Row],[Spain cumul. Fit]]</f>
        <v>7.884096518454238E-2</v>
      </c>
      <c r="Q97" s="262">
        <f>(LN(Tabella34[[#This Row],[Day]]-pt)-mu_t)/sigma_t</f>
        <v>-0.55203438360360035</v>
      </c>
      <c r="R97" s="262">
        <f>EXP(mu_t+sigma_t*Tabella34[[#This Row],[x_t_alpha©+plus]])-(Tabella34[[#This Row],[Day]]-pt)</f>
        <v>27.507560331859665</v>
      </c>
      <c r="S97" s="262">
        <f>EXP(mu_t+sigma_t*Tabella34[[#This Row],[x_t_alpha©-minus]])-(Tabella34[[#This Row],[Day]]-pt)</f>
        <v>-12.282699421139547</v>
      </c>
      <c r="T97" s="262">
        <f>-sigma_t+SQRT(sigma_t^2-2*Tabella34[[#This Row],[c_t]])</f>
        <v>0.94229708188876971</v>
      </c>
      <c r="U97" s="262">
        <f>-sigma_t-SQRT(sigma_t^2-2*Tabella34[[#This Row],[c_t]])</f>
        <v>-1.479736431731937</v>
      </c>
      <c r="V97" s="262">
        <f>mu_t-LN(alpha*Kt/(Tabella34[[#This Row],[Spain fitted velocity]]*sigma_t*SQRTPI(2)))</f>
        <v>-0.69717566079275262</v>
      </c>
      <c r="W97" s="262">
        <f>Tabella34[[#This Row],[Spain fitted g.r.]]/Spain_gr_at_lockdown</f>
        <v>0.38047891855744614</v>
      </c>
      <c r="X97" s="262">
        <f>Tabella34[[#This Row],[t_alpha_t+plus]]</f>
        <v>27.507560331859665</v>
      </c>
      <c r="Y97" s="262">
        <f>Tabella34[[#This Row],[Spain fitted h.t.]]/Spain_ht_at_lockdown</f>
        <v>0.44683732563953837</v>
      </c>
      <c r="Z97" s="90">
        <f>IFERROR(-Kf*_xlfn.LOGNORM.DIST((Tabella34[[#This Row],[Day]]-pf),mu_f,sigma_f,FALSE)*(1+(LN((Tabella34[[#This Row],[Day]]-pf))-mu_f)/sigma_f^2)/(Tabella34[[#This Row],[Day]]-pf),0)</f>
        <v>121.44356397374487</v>
      </c>
      <c r="AA97" s="90">
        <f>Tabella34[[#This Row],[Spain acc. fit]]/Spain_acc_at_lockdown</f>
        <v>0.41383951915542927</v>
      </c>
      <c r="AB97" s="95">
        <f>Tabella34[[#This Row],[Spain acc. fit]]/y_f_peak</f>
        <v>1.8194703258010383E-2</v>
      </c>
      <c r="AC97" s="157">
        <f>Tabella34[[#This Row],[Colonna4]]*NOT(ISBLANK(Tabella34[[#This Row],[Spain daily cases]]))</f>
        <v>0</v>
      </c>
      <c r="AD97" s="157">
        <f>Tabella34[[#This Row],[Spain acc. fit]]*NOT(ISBLANK(Tabella34[[#This Row],[Spain daily cases]]))</f>
        <v>121.44356397374487</v>
      </c>
      <c r="AE97" s="95">
        <f>Tabella34[[#This Row],[Spain acc. fit]]+CIf</f>
        <v>2464.1319816548375</v>
      </c>
      <c r="AF97" s="95">
        <f>MAX(Tabella34[[#This Row],[Spain acc. fit]]-CIf,0)</f>
        <v>0</v>
      </c>
      <c r="AG97" s="4">
        <f>Tabella8[[#This Row],[Lombardy]]</f>
        <v>0</v>
      </c>
      <c r="AH97" s="90">
        <f>(Tabella34[[#This Row],[Lombardy cumul. Data]]-AG96)</f>
        <v>0</v>
      </c>
      <c r="AI97" s="90">
        <f>Tabella34[[#This Row],[Lombardy data]]-AH96</f>
        <v>0</v>
      </c>
      <c r="AJ97" s="95">
        <f>Tabella34[[#This Row],[Lombardy data]]*NOT(ISBLANK(Tabella34[[#This Row],[Lombardy data]]))</f>
        <v>0</v>
      </c>
      <c r="AK97" s="95">
        <f>Tabella8[[#This Row],[Lombardy fit]]</f>
        <v>38970.491033185979</v>
      </c>
      <c r="AL97" s="157">
        <f>_xlfn.LOGNORM.INV(alpha*Tabella34[[#This Row],[Lombardy cumul. Fit]]/Kr,mu_r,sigma_r)-(Tabella34[[#This Row],[Day]]-pr)</f>
        <v>35.543386013479832</v>
      </c>
      <c r="AM97" s="95">
        <f>Tabella34[[#This Row],[Lombardy cumul. Fit]]/Kl</f>
        <v>0.44793667854236757</v>
      </c>
      <c r="AN97" s="95">
        <f>IFERROR(Kr*_xlfn.LOGNORM.DIST((Tabella34[[#This Row],[Day]]-pr),mu_r,sigma_r,FALSE),0)</f>
        <v>1719.7777021380912</v>
      </c>
      <c r="AO97" s="202">
        <f>Tabella34[[#This Row],[Lombardy velocity]]/Tabella34[[#This Row],[Lombardy cumul. Fit]]</f>
        <v>4.4130254881150598E-2</v>
      </c>
      <c r="AP97" s="259">
        <f>(LN(Tabella34[[#This Row],[Day]]-pr)-mu_r)/sigma_r</f>
        <v>-0.13087605498698482</v>
      </c>
      <c r="AQ97" s="262">
        <f>EXP(mu_r+sigma_r*Tabella34[[#This Row],[x_r_alpha©+plus]])-(Tabella34[[#This Row],[Day]]-pr)</f>
        <v>23.454516168964588</v>
      </c>
      <c r="AR97" s="262">
        <f>EXP(mu_r+sigma_r*Tabella34[[#This Row],[x_r_alpha©-minus]])-(Tabella34[[#This Row],[Day]]-pr)</f>
        <v>-22.350945632319792</v>
      </c>
      <c r="AS97" s="262">
        <f>-sigma_r+SQRT(sigma_r^2-2*Tabella34[[#This Row],[c_r]])</f>
        <v>0.85548494100031336</v>
      </c>
      <c r="AT97" s="262">
        <f>-sigma_r-SQRT(sigma_r^2-2*Tabella34[[#This Row],[c_r]])</f>
        <v>-1.5363395381940426</v>
      </c>
      <c r="AU97" s="262">
        <f>mu_r-LN(alpha*Kr/(Tabella34[[#This Row],[Lombardy velocity]]*sigma_r*SQRTPI(2)))</f>
        <v>-0.65715766959418964</v>
      </c>
      <c r="AV97" s="262">
        <f>Tabella34[[#This Row],[t_alpha_r+plus]]</f>
        <v>23.454516168964588</v>
      </c>
      <c r="AW97" s="90">
        <f>IFERROR(-Kl*_xlfn.LOGNORM.DIST((Tabella34[[#This Row],[Day]]-pl),mu_l,sigma_l,FALSE)*(1+(LN((Tabella34[[#This Row],[Day]]-pl))-mu_l)/sigma_l^2)/(Tabella34[[#This Row],[Day]]-pl),0)</f>
        <v>-18.010466723107886</v>
      </c>
      <c r="AX97" s="95">
        <f>Tabella34[[#This Row],[Lombardy acc. fit]]/y_l_peak</f>
        <v>-1.0245126940912964E-2</v>
      </c>
      <c r="AY97" s="157">
        <f>Tabella34[[#This Row],[Lombardy acc. fit]]*NOT(ISBLANK(Tabella34[[#This Row],[Lombardy data]]))</f>
        <v>-18.010466723107886</v>
      </c>
      <c r="AZ97" s="95">
        <f>Tabella34[[#This Row],[Lombardy acc. fit]]+CIl</f>
        <v>2552.3718561933006</v>
      </c>
      <c r="BA97" s="95">
        <f>MAX(Tabella34[[#This Row],[Lombardy acc. fit]]-CIl,0)</f>
        <v>0</v>
      </c>
      <c r="BB97" s="10">
        <f>Tabella8[[#This Row],[rest of Italy ]]</f>
        <v>87956</v>
      </c>
      <c r="BC97" s="10">
        <f>(Tabella34[[#This Row],[rest of Italy cum. Data]]-BB96)</f>
        <v>7846</v>
      </c>
      <c r="BD97" s="10">
        <f>Tabella34[[#This Row],[rest of Italy data]]-BC96</f>
        <v>971</v>
      </c>
      <c r="BE97" s="95">
        <f>Tabella34[[#This Row],[rest of Italy data]]*NOT(ISBLANK(Tabella34[[#This Row],[rest of Italy data]]))</f>
        <v>7846</v>
      </c>
      <c r="BF97" s="95">
        <f>Tabella8[[#This Row],[rest of Italy fit]]</f>
        <v>57602.371366640451</v>
      </c>
      <c r="BG97" s="157">
        <f>_xlfn.LOGNORM.INV(alpha*Tabella34[[#This Row],[rest of Italy cumul. Fit]]/Ko,mu_o,sigma_o)-(Tabella34[[#This Row],[Day]]-po)</f>
        <v>20.950992319485024</v>
      </c>
      <c r="BH97" s="95">
        <f>Tabella34[[#This Row],[rest of Italy cumul. Fit]]/Ka</f>
        <v>0.38920525724472965</v>
      </c>
      <c r="BI97" s="157">
        <f>IFERROR(Ko*_xlfn.LOGNORM.DIST((Tabella34[[#This Row],[Day]]-po),mu_o,sigma_o,FALSE),0)</f>
        <v>3376.4339720750772</v>
      </c>
      <c r="BJ97" s="199">
        <f>Tabella34[[#This Row],[rest of Italy velocity]]/Tabella34[[#This Row],[rest of Italy cumul. Fit]]</f>
        <v>5.8616232144055244E-2</v>
      </c>
      <c r="BK97" s="254">
        <f>(LN(Tabella34[[#This Row],[Day]]-po)-mu_o)/sigma_o</f>
        <v>-0.28139100761018687</v>
      </c>
      <c r="BL97" s="262">
        <f>EXP(mu_o+sigma_o*Tabella34[[#This Row],[x_o_alpha©+plus]])-(Tabella34[[#This Row],[Day]]-po)</f>
        <v>23.095295067926685</v>
      </c>
      <c r="BM97" s="262">
        <f>EXP(mu_o+sigma_o*Tabella34[[#This Row],[x_o_alpha©-minus]])-(Tabella34[[#This Row],[Day]]-po)</f>
        <v>-16.941979597871793</v>
      </c>
      <c r="BN97" s="262">
        <f>-sigma_o+SQRT(sigma_o^2-2*Tabella34[[#This Row],[c_o]])</f>
        <v>0.85660613772546579</v>
      </c>
      <c r="BO97" s="262">
        <f>-sigma_o-SQRT(sigma_o^2-2*Tabella34[[#This Row],[c_o]])</f>
        <v>-1.4995789150244918</v>
      </c>
      <c r="BP97" s="262">
        <f>mu_o-LN(alpha*Ko/(Tabella34[[#This Row],[rest of Italy velocity]]*sigma_o*SQRTPI(2)))</f>
        <v>-0.64227425130683713</v>
      </c>
      <c r="BQ97" s="262">
        <f>Tabella34[[#This Row],[t_alpha_o+plus]]</f>
        <v>23.095295067926685</v>
      </c>
      <c r="BR97" s="90">
        <f>IFERROR(-Ka*_xlfn.LOGNORM.DIST((Tabella34[[#This Row],[Day]]-pa),mu_a,sigma_a,FALSE)*(1+(LN((Tabella34[[#This Row],[Day]]-pa))-mu_a)/sigma_a^2)/(Tabella34[[#This Row],[Day]]-pa),0)</f>
        <v>-8.0543973461382627</v>
      </c>
      <c r="BS97" s="95">
        <f>Tabella34[[#This Row],[rest of Italy acc. fit]]/y_a_peak</f>
        <v>-2.3835578394526729E-3</v>
      </c>
      <c r="BT97" s="95">
        <f>Tabella34[[#This Row],[rest of Italy acc. fit]]*NOT(ISBLANK(Tabella34[[#This Row],[rest of Italy data]]))</f>
        <v>-8.0543973461382627</v>
      </c>
      <c r="BU97" s="95">
        <f>Tabella34[[#This Row],[rest of Italy acc. fit]]+CIa</f>
        <v>5330.7850378138792</v>
      </c>
      <c r="BV97" s="95">
        <f>MAX(Tabella34[[#This Row],[rest of Italy acc. fit]]-CIa,0)</f>
        <v>0</v>
      </c>
    </row>
    <row r="98" spans="2:74" x14ac:dyDescent="0.3">
      <c r="B98" s="281">
        <v>43921</v>
      </c>
      <c r="C98" s="29">
        <v>91</v>
      </c>
      <c r="D98" s="10">
        <f>Tabella8[[#This Row],[Spain cum. Cases]]</f>
        <v>95923</v>
      </c>
      <c r="E98" s="90">
        <f>(Tabella34[[#This Row],[Spain cumul. Cases]]-D97)</f>
        <v>7967</v>
      </c>
      <c r="F98" s="90">
        <f>Tabella34[[#This Row],[Spain daily cases]]-E97</f>
        <v>121</v>
      </c>
      <c r="G98" s="95">
        <f>Tabella34[[#This Row],[Spain daily cases]]*NOT(ISBLANK(Tabella34[[#This Row],[Spain daily cases]]))</f>
        <v>7967</v>
      </c>
      <c r="H98" s="157">
        <f>Tabella8[[#This Row],[Spain cum. fit]]</f>
        <v>87797.498087755957</v>
      </c>
      <c r="I98" s="157">
        <f>_xlfn.LOGNORM.INV(alpha*Tabella34[[#This Row],[Spain cumul. Fit]]/Kt,mu_t,sigma_t)-(Tabella34[[#This Row],[Day]]-pt)</f>
        <v>13.78000070704995</v>
      </c>
      <c r="J98" s="157">
        <f>Tabella34[[#This Row],[Spain fitted d.t.]]/Spain_dt_at_lockdown</f>
        <v>3.6771433725241094</v>
      </c>
      <c r="K98" s="95">
        <f>Tabella34[[#This Row],[Spain cumul. Fit]]/Kf</f>
        <v>0.31356260989500107</v>
      </c>
      <c r="L98" s="160"/>
      <c r="M98" s="95"/>
      <c r="N98" s="157">
        <f>IFERROR(Kt*_xlfn.LOGNORM.DIST((Tabella34[[#This Row],[Day]]-pt),mu_t,sigma_t,FALSE),0)</f>
        <v>6519.2685124315667</v>
      </c>
      <c r="O98" s="157" t="e">
        <f>Kt*EXP(-0.5*Tabella34[[#This Row],[x_t]]^2)/(sigma_t*SQRTPI(2)*(Tabella34[[#This Row],[Day]]-D_bk))</f>
        <v>#NAME?</v>
      </c>
      <c r="P98" s="199">
        <f>Tabella34[[#This Row],[Spain fitted velocity]]/Tabella34[[#This Row],[Spain cumul. Fit]]</f>
        <v>7.4253465695746618E-2</v>
      </c>
      <c r="Q98" s="262">
        <f>(LN(Tabella34[[#This Row],[Day]]-pt)-mu_t)/sigma_t</f>
        <v>-0.48577708935873209</v>
      </c>
      <c r="R98" s="262">
        <f>EXP(mu_t+sigma_t*Tabella34[[#This Row],[x_t_alpha©+plus]])-(Tabella34[[#This Row],[Day]]-pt)</f>
        <v>26.200441025692569</v>
      </c>
      <c r="S98" s="262">
        <f>EXP(mu_t+sigma_t*Tabella34[[#This Row],[x_t_alpha©-minus]])-(Tabella34[[#This Row],[Day]]-pt)</f>
        <v>-13.121911288707217</v>
      </c>
      <c r="T98" s="262">
        <f>-sigma_t+SQRT(sigma_t^2-2*Tabella34[[#This Row],[c_t]])</f>
        <v>0.92853062567642897</v>
      </c>
      <c r="U98" s="262">
        <f>-sigma_t-SQRT(sigma_t^2-2*Tabella34[[#This Row],[c_t]])</f>
        <v>-1.4659699755195963</v>
      </c>
      <c r="V98" s="262">
        <f>mu_t-LN(alpha*Kt/(Tabella34[[#This Row],[Spain fitted velocity]]*sigma_t*SQRTPI(2)))</f>
        <v>-0.68059900929603501</v>
      </c>
      <c r="W98" s="262">
        <f>Tabella34[[#This Row],[Spain fitted g.r.]]/Spain_gr_at_lockdown</f>
        <v>0.35834008704651404</v>
      </c>
      <c r="X98" s="262">
        <f>Tabella34[[#This Row],[t_alpha_t+plus]]</f>
        <v>26.200441025692569</v>
      </c>
      <c r="Y98" s="262">
        <f>Tabella34[[#This Row],[Spain fitted h.t.]]/Spain_ht_at_lockdown</f>
        <v>0.42560426505498933</v>
      </c>
      <c r="Z98" s="90">
        <f>IFERROR(-Kf*_xlfn.LOGNORM.DIST((Tabella34[[#This Row],[Day]]-pf),mu_f,sigma_f,FALSE)*(1+(LN((Tabella34[[#This Row],[Day]]-pf))-mu_f)/sigma_f^2)/(Tabella34[[#This Row],[Day]]-pf),0)</f>
        <v>92.928023287988353</v>
      </c>
      <c r="AA98" s="90">
        <f>Tabella34[[#This Row],[Spain acc. fit]]/Spain_acc_at_lockdown</f>
        <v>0.31666798317842343</v>
      </c>
      <c r="AB98" s="95">
        <f>Tabella34[[#This Row],[Spain acc. fit]]/y_f_peak</f>
        <v>1.3922498259718098E-2</v>
      </c>
      <c r="AC98" s="157">
        <f>Tabella34[[#This Row],[Colonna4]]*NOT(ISBLANK(Tabella34[[#This Row],[Spain daily cases]]))</f>
        <v>0</v>
      </c>
      <c r="AD98" s="157">
        <f>Tabella34[[#This Row],[Spain acc. fit]]*NOT(ISBLANK(Tabella34[[#This Row],[Spain daily cases]]))</f>
        <v>92.928023287988353</v>
      </c>
      <c r="AE98" s="95">
        <f>Tabella34[[#This Row],[Spain acc. fit]]+CIf</f>
        <v>2435.6164409690809</v>
      </c>
      <c r="AF98" s="95">
        <f>MAX(Tabella34[[#This Row],[Spain acc. fit]]-CIf,0)</f>
        <v>0</v>
      </c>
      <c r="AG98" s="4">
        <f>Tabella8[[#This Row],[Lombardy]]</f>
        <v>0</v>
      </c>
      <c r="AH98" s="90">
        <f>(Tabella34[[#This Row],[Lombardy cumul. Data]]-AG97)</f>
        <v>0</v>
      </c>
      <c r="AI98" s="90">
        <f>Tabella34[[#This Row],[Lombardy data]]-AH97</f>
        <v>0</v>
      </c>
      <c r="AJ98" s="95">
        <f>Tabella34[[#This Row],[Lombardy data]]*NOT(ISBLANK(Tabella34[[#This Row],[Lombardy data]]))</f>
        <v>0</v>
      </c>
      <c r="AK98" s="95">
        <f>Tabella8[[#This Row],[Lombardy fit]]</f>
        <v>40680.643978973909</v>
      </c>
      <c r="AL98" s="157">
        <f>_xlfn.LOGNORM.INV(alpha*Tabella34[[#This Row],[Lombardy cumul. Fit]]/Kr,mu_r,sigma_r)-(Tabella34[[#This Row],[Day]]-pr)</f>
        <v>43.174187218562636</v>
      </c>
      <c r="AM98" s="95">
        <f>Tabella34[[#This Row],[Lombardy cumul. Fit]]/Kl</f>
        <v>0.46759360895372309</v>
      </c>
      <c r="AN98" s="95">
        <f>IFERROR(Kr*_xlfn.LOGNORM.DIST((Tabella34[[#This Row],[Day]]-pr),mu_r,sigma_r,FALSE),0)</f>
        <v>1699.9225430030324</v>
      </c>
      <c r="AO98" s="202">
        <f>Tabella34[[#This Row],[Lombardy velocity]]/Tabella34[[#This Row],[Lombardy cumul. Fit]]</f>
        <v>4.1787011628470039E-2</v>
      </c>
      <c r="AP98" s="259">
        <f>(LN(Tabella34[[#This Row],[Day]]-pr)-mu_r)/sigma_r</f>
        <v>-8.132031569493274E-2</v>
      </c>
      <c r="AQ98" s="262">
        <f>EXP(mu_r+sigma_r*Tabella34[[#This Row],[x_r_alpha©+plus]])-(Tabella34[[#This Row],[Day]]-pr)</f>
        <v>22.725691613092152</v>
      </c>
      <c r="AR98" s="262">
        <f>EXP(mu_r+sigma_r*Tabella34[[#This Row],[x_r_alpha©-minus]])-(Tabella34[[#This Row],[Day]]-pr)</f>
        <v>-23.470674698753058</v>
      </c>
      <c r="AS98" s="262">
        <f>-sigma_r+SQRT(sigma_r^2-2*Tabella34[[#This Row],[c_r]])</f>
        <v>0.86515587551781747</v>
      </c>
      <c r="AT98" s="262">
        <f>-sigma_r-SQRT(sigma_r^2-2*Tabella34[[#This Row],[c_r]])</f>
        <v>-1.5460104727115467</v>
      </c>
      <c r="AU98" s="262">
        <f>mu_r-LN(alpha*Kr/(Tabella34[[#This Row],[Lombardy velocity]]*sigma_r*SQRTPI(2)))</f>
        <v>-0.66877002203923652</v>
      </c>
      <c r="AV98" s="262">
        <f>Tabella34[[#This Row],[t_alpha_r+plus]]</f>
        <v>22.725691613092152</v>
      </c>
      <c r="AW98" s="90">
        <f>IFERROR(-Kl*_xlfn.LOGNORM.DIST((Tabella34[[#This Row],[Day]]-pl),mu_l,sigma_l,FALSE)*(1+(LN((Tabella34[[#This Row],[Day]]-pl))-mu_l)/sigma_l^2)/(Tabella34[[#This Row],[Day]]-pl),0)</f>
        <v>-21.644325606604944</v>
      </c>
      <c r="AX98" s="95">
        <f>Tabella34[[#This Row],[Lombardy acc. fit]]/y_l_peak</f>
        <v>-1.2312221931795427E-2</v>
      </c>
      <c r="AY98" s="157">
        <f>Tabella34[[#This Row],[Lombardy acc. fit]]*NOT(ISBLANK(Tabella34[[#This Row],[Lombardy data]]))</f>
        <v>-21.644325606604944</v>
      </c>
      <c r="AZ98" s="95">
        <f>Tabella34[[#This Row],[Lombardy acc. fit]]+CIl</f>
        <v>2548.7379973098036</v>
      </c>
      <c r="BA98" s="95">
        <f>MAX(Tabella34[[#This Row],[Lombardy acc. fit]]-CIl,0)</f>
        <v>0</v>
      </c>
      <c r="BB98" s="10">
        <f>Tabella8[[#This Row],[rest of Italy ]]</f>
        <v>95923</v>
      </c>
      <c r="BC98" s="10">
        <f>(Tabella34[[#This Row],[rest of Italy cum. Data]]-BB97)</f>
        <v>7967</v>
      </c>
      <c r="BD98" s="10">
        <f>Tabella34[[#This Row],[rest of Italy data]]-BC97</f>
        <v>121</v>
      </c>
      <c r="BE98" s="95">
        <f>Tabella34[[#This Row],[rest of Italy data]]*NOT(ISBLANK(Tabella34[[#This Row],[rest of Italy data]]))</f>
        <v>7967</v>
      </c>
      <c r="BF98" s="95">
        <f>Tabella8[[#This Row],[rest of Italy fit]]</f>
        <v>60972.847507879022</v>
      </c>
      <c r="BG98" s="157">
        <f>_xlfn.LOGNORM.INV(alpha*Tabella34[[#This Row],[rest of Italy cumul. Fit]]/Ko,mu_o,sigma_o)-(Tabella34[[#This Row],[Day]]-po)</f>
        <v>23.908707735389129</v>
      </c>
      <c r="BH98" s="95">
        <f>Tabella34[[#This Row],[rest of Italy cumul. Fit]]/Ka</f>
        <v>0.41197874733662709</v>
      </c>
      <c r="BI98" s="157">
        <f>IFERROR(Ko*_xlfn.LOGNORM.DIST((Tabella34[[#This Row],[Day]]-po),mu_o,sigma_o,FALSE),0)</f>
        <v>3362.6205888789086</v>
      </c>
      <c r="BJ98" s="199">
        <f>Tabella34[[#This Row],[rest of Italy velocity]]/Tabella34[[#This Row],[rest of Italy cumul. Fit]]</f>
        <v>5.5149475976899141E-2</v>
      </c>
      <c r="BK98" s="254">
        <f>(LN(Tabella34[[#This Row],[Day]]-po)-mu_o)/sigma_o</f>
        <v>-0.22245783372771555</v>
      </c>
      <c r="BL98" s="262">
        <f>EXP(mu_o+sigma_o*Tabella34[[#This Row],[x_o_alpha©+plus]])-(Tabella34[[#This Row],[Day]]-po)</f>
        <v>22.179543406737338</v>
      </c>
      <c r="BM98" s="262">
        <f>EXP(mu_o+sigma_o*Tabella34[[#This Row],[x_o_alpha©-minus]])-(Tabella34[[#This Row],[Day]]-po)</f>
        <v>-17.981434976255166</v>
      </c>
      <c r="BN98" s="262">
        <f>-sigma_o+SQRT(sigma_o^2-2*Tabella34[[#This Row],[c_o]])</f>
        <v>0.86008079767963908</v>
      </c>
      <c r="BO98" s="262">
        <f>-sigma_o-SQRT(sigma_o^2-2*Tabella34[[#This Row],[c_o]])</f>
        <v>-1.5030535749786651</v>
      </c>
      <c r="BP98" s="262">
        <f>mu_o-LN(alpha*Ko/(Tabella34[[#This Row],[rest of Italy velocity]]*sigma_o*SQRTPI(2)))</f>
        <v>-0.64637375886144177</v>
      </c>
      <c r="BQ98" s="262">
        <f>Tabella34[[#This Row],[t_alpha_o+plus]]</f>
        <v>22.179543406737338</v>
      </c>
      <c r="BR98" s="90">
        <f>IFERROR(-Ka*_xlfn.LOGNORM.DIST((Tabella34[[#This Row],[Day]]-pa),mu_a,sigma_a,FALSE)*(1+(LN((Tabella34[[#This Row],[Day]]-pa))-mu_a)/sigma_a^2)/(Tabella34[[#This Row],[Day]]-pa),0)</f>
        <v>-19.439742948705497</v>
      </c>
      <c r="BS98" s="95">
        <f>Tabella34[[#This Row],[rest of Italy acc. fit]]/y_a_peak</f>
        <v>-5.7528514811288536E-3</v>
      </c>
      <c r="BT98" s="95">
        <f>Tabella34[[#This Row],[rest of Italy acc. fit]]*NOT(ISBLANK(Tabella34[[#This Row],[rest of Italy data]]))</f>
        <v>-19.439742948705497</v>
      </c>
      <c r="BU98" s="95">
        <f>Tabella34[[#This Row],[rest of Italy acc. fit]]+CIa</f>
        <v>5319.399692211312</v>
      </c>
      <c r="BV98" s="95">
        <f>MAX(Tabella34[[#This Row],[rest of Italy acc. fit]]-CIa,0)</f>
        <v>0</v>
      </c>
    </row>
    <row r="99" spans="2:74" x14ac:dyDescent="0.3">
      <c r="B99" s="281">
        <v>43922</v>
      </c>
      <c r="C99" s="29">
        <v>92</v>
      </c>
      <c r="D99" s="10">
        <f>Tabella8[[#This Row],[Spain cum. Cases]]</f>
        <v>104118</v>
      </c>
      <c r="E99" s="90">
        <f>(Tabella34[[#This Row],[Spain cumul. Cases]]-D98)</f>
        <v>8195</v>
      </c>
      <c r="F99" s="90">
        <f>Tabella34[[#This Row],[Spain daily cases]]-E98</f>
        <v>228</v>
      </c>
      <c r="G99" s="95">
        <f>Tabella34[[#This Row],[Spain daily cases]]*NOT(ISBLANK(Tabella34[[#This Row],[Spain daily cases]]))</f>
        <v>8195</v>
      </c>
      <c r="H99" s="157">
        <f>Tabella8[[#This Row],[Spain cum. fit]]</f>
        <v>94358.507302191138</v>
      </c>
      <c r="I99" s="157">
        <f>_xlfn.LOGNORM.INV(alpha*Tabella34[[#This Row],[Spain cumul. Fit]]/Kt,mu_t,sigma_t)-(Tabella34[[#This Row],[Day]]-pt)</f>
        <v>15.219929102958005</v>
      </c>
      <c r="J99" s="157">
        <f>Tabella34[[#This Row],[Spain fitted d.t.]]/Spain_dt_at_lockdown</f>
        <v>4.0613830594795459</v>
      </c>
      <c r="K99" s="95">
        <f>Tabella34[[#This Row],[Spain cumul. Fit]]/Kf</f>
        <v>0.33699479438352864</v>
      </c>
      <c r="L99" s="160"/>
      <c r="M99" s="95"/>
      <c r="N99" s="157">
        <f>IFERROR(Kt*_xlfn.LOGNORM.DIST((Tabella34[[#This Row],[Day]]-pt),mu_t,sigma_t,FALSE),0)</f>
        <v>6598.0446473270104</v>
      </c>
      <c r="O99" s="157" t="e">
        <f>Kt*EXP(-0.5*Tabella34[[#This Row],[x_t]]^2)/(sigma_t*SQRTPI(2)*(Tabella34[[#This Row],[Day]]-D_bk))</f>
        <v>#NAME?</v>
      </c>
      <c r="P99" s="199">
        <f>Tabella34[[#This Row],[Spain fitted velocity]]/Tabella34[[#This Row],[Spain cumul. Fit]]</f>
        <v>6.9925275801536499E-2</v>
      </c>
      <c r="Q99" s="262">
        <f>(LN(Tabella34[[#This Row],[Day]]-pt)-mu_t)/sigma_t</f>
        <v>-0.42067887536896964</v>
      </c>
      <c r="R99" s="262">
        <f>EXP(mu_t+sigma_t*Tabella34[[#This Row],[x_t_alpha©+plus]])-(Tabella34[[#This Row],[Day]]-pt)</f>
        <v>24.976401402773419</v>
      </c>
      <c r="S99" s="262">
        <f>EXP(mu_t+sigma_t*Tabella34[[#This Row],[x_t_alpha©-minus]])-(Tabella34[[#This Row],[Day]]-pt)</f>
        <v>-14.003864534841263</v>
      </c>
      <c r="T99" s="262">
        <f>-sigma_t+SQRT(sigma_t^2-2*Tabella34[[#This Row],[c_t]])</f>
        <v>0.91845594802579567</v>
      </c>
      <c r="U99" s="262">
        <f>-sigma_t-SQRT(sigma_t^2-2*Tabella34[[#This Row],[c_t]])</f>
        <v>-1.455895297868963</v>
      </c>
      <c r="V99" s="262">
        <f>mu_t-LN(alpha*Kt/(Tabella34[[#This Row],[Spain fitted velocity]]*sigma_t*SQRTPI(2)))</f>
        <v>-0.66858784801526827</v>
      </c>
      <c r="W99" s="262">
        <f>Tabella34[[#This Row],[Spain fitted g.r.]]/Spain_gr_at_lockdown</f>
        <v>0.33745265871016988</v>
      </c>
      <c r="X99" s="262">
        <f>Tabella34[[#This Row],[t_alpha_t+plus]]</f>
        <v>24.976401402773419</v>
      </c>
      <c r="Y99" s="262">
        <f>Tabella34[[#This Row],[Spain fitted h.t.]]/Spain_ht_at_lockdown</f>
        <v>0.40572076448338318</v>
      </c>
      <c r="Z99" s="90">
        <f>IFERROR(-Kf*_xlfn.LOGNORM.DIST((Tabella34[[#This Row],[Day]]-pf),mu_f,sigma_f,FALSE)*(1+(LN((Tabella34[[#This Row],[Day]]-pf))-mu_f)/sigma_f^2)/(Tabella34[[#This Row],[Day]]-pf),0)</f>
        <v>64.702083680192345</v>
      </c>
      <c r="AA99" s="90">
        <f>Tabella34[[#This Row],[Spain acc. fit]]/Spain_acc_at_lockdown</f>
        <v>0.22048331193865461</v>
      </c>
      <c r="AB99" s="95">
        <f>Tabella34[[#This Row],[Spain acc. fit]]/y_f_peak</f>
        <v>9.693681362896802E-3</v>
      </c>
      <c r="AC99" s="157">
        <f>Tabella34[[#This Row],[Colonna4]]*NOT(ISBLANK(Tabella34[[#This Row],[Spain daily cases]]))</f>
        <v>0</v>
      </c>
      <c r="AD99" s="157">
        <f>Tabella34[[#This Row],[Spain acc. fit]]*NOT(ISBLANK(Tabella34[[#This Row],[Spain daily cases]]))</f>
        <v>64.702083680192345</v>
      </c>
      <c r="AE99" s="95">
        <f>Tabella34[[#This Row],[Spain acc. fit]]+CIf</f>
        <v>2407.3905013612848</v>
      </c>
      <c r="AF99" s="95">
        <f>MAX(Tabella34[[#This Row],[Spain acc. fit]]-CIf,0)</f>
        <v>0</v>
      </c>
      <c r="AG99" s="4">
        <f>Tabella8[[#This Row],[Lombardy]]</f>
        <v>0</v>
      </c>
      <c r="AH99" s="90">
        <f>(Tabella34[[#This Row],[Lombardy cumul. Data]]-AG98)</f>
        <v>0</v>
      </c>
      <c r="AI99" s="90">
        <f>Tabella34[[#This Row],[Lombardy data]]-AH98</f>
        <v>0</v>
      </c>
      <c r="AJ99" s="95">
        <f>Tabella34[[#This Row],[Lombardy data]]*NOT(ISBLANK(Tabella34[[#This Row],[Lombardy data]]))</f>
        <v>0</v>
      </c>
      <c r="AK99" s="95">
        <f>Tabella8[[#This Row],[Lombardy fit]]</f>
        <v>42369.180367868961</v>
      </c>
      <c r="AL99" s="157">
        <f>_xlfn.LOGNORM.INV(alpha*Tabella34[[#This Row],[Lombardy cumul. Fit]]/Kr,mu_r,sigma_r)-(Tabella34[[#This Row],[Day]]-pr)</f>
        <v>58.307140641134268</v>
      </c>
      <c r="AM99" s="95">
        <f>Tabella34[[#This Row],[Lombardy cumul. Fit]]/Kl</f>
        <v>0.4870020731938961</v>
      </c>
      <c r="AN99" s="95">
        <f>IFERROR(Kr*_xlfn.LOGNORM.DIST((Tabella34[[#This Row],[Day]]-pr),mu_r,sigma_r,FALSE),0)</f>
        <v>1676.6001048543555</v>
      </c>
      <c r="AO99" s="202">
        <f>Tabella34[[#This Row],[Lombardy velocity]]/Tabella34[[#This Row],[Lombardy cumul. Fit]]</f>
        <v>3.9571218756117826E-2</v>
      </c>
      <c r="AP99" s="259">
        <f>(LN(Tabella34[[#This Row],[Day]]-pr)-mu_r)/sigma_r</f>
        <v>-3.2586737209861147E-2</v>
      </c>
      <c r="AQ99" s="262">
        <f>EXP(mu_r+sigma_r*Tabella34[[#This Row],[x_r_alpha©+plus]])-(Tabella34[[#This Row],[Day]]-pr)</f>
        <v>22.046639553959395</v>
      </c>
      <c r="AR99" s="262">
        <f>EXP(mu_r+sigma_r*Tabella34[[#This Row],[x_r_alpha©-minus]])-(Tabella34[[#This Row],[Day]]-pr)</f>
        <v>-24.611366194290696</v>
      </c>
      <c r="AS99" s="262">
        <f>-sigma_r+SQRT(sigma_r^2-2*Tabella34[[#This Row],[c_r]])</f>
        <v>0.87656085761294644</v>
      </c>
      <c r="AT99" s="262">
        <f>-sigma_r-SQRT(sigma_r^2-2*Tabella34[[#This Row],[c_r]])</f>
        <v>-1.5574154548066756</v>
      </c>
      <c r="AU99" s="262">
        <f>mu_r-LN(alpha*Kr/(Tabella34[[#This Row],[Lombardy velocity]]*sigma_r*SQRTPI(2)))</f>
        <v>-0.68258471336249826</v>
      </c>
      <c r="AV99" s="262">
        <f>Tabella34[[#This Row],[t_alpha_r+plus]]</f>
        <v>22.046639553959395</v>
      </c>
      <c r="AW99" s="90">
        <f>IFERROR(-Kl*_xlfn.LOGNORM.DIST((Tabella34[[#This Row],[Day]]-pl),mu_l,sigma_l,FALSE)*(1+(LN((Tabella34[[#This Row],[Day]]-pl))-mu_l)/sigma_l^2)/(Tabella34[[#This Row],[Day]]-pl),0)</f>
        <v>-24.945148263272305</v>
      </c>
      <c r="AX99" s="95">
        <f>Tabella34[[#This Row],[Lombardy acc. fit]]/y_l_peak</f>
        <v>-1.4189871614444138E-2</v>
      </c>
      <c r="AY99" s="157">
        <f>Tabella34[[#This Row],[Lombardy acc. fit]]*NOT(ISBLANK(Tabella34[[#This Row],[Lombardy data]]))</f>
        <v>-24.945148263272305</v>
      </c>
      <c r="AZ99" s="95">
        <f>Tabella34[[#This Row],[Lombardy acc. fit]]+CIl</f>
        <v>2545.4371746531365</v>
      </c>
      <c r="BA99" s="95">
        <f>MAX(Tabella34[[#This Row],[Lombardy acc. fit]]-CIl,0)</f>
        <v>0</v>
      </c>
      <c r="BB99" s="10">
        <f>Tabella8[[#This Row],[rest of Italy ]]</f>
        <v>104118</v>
      </c>
      <c r="BC99" s="10">
        <f>(Tabella34[[#This Row],[rest of Italy cum. Data]]-BB98)</f>
        <v>8195</v>
      </c>
      <c r="BD99" s="10">
        <f>Tabella34[[#This Row],[rest of Italy data]]-BC98</f>
        <v>228</v>
      </c>
      <c r="BE99" s="95">
        <f>Tabella34[[#This Row],[rest of Italy data]]*NOT(ISBLANK(Tabella34[[#This Row],[rest of Italy data]]))</f>
        <v>8195</v>
      </c>
      <c r="BF99" s="95">
        <f>Tabella8[[#This Row],[rest of Italy fit]]</f>
        <v>64323.952463805501</v>
      </c>
      <c r="BG99" s="157">
        <f>_xlfn.LOGNORM.INV(alpha*Tabella34[[#This Row],[rest of Italy cumul. Fit]]/Ko,mu_o,sigma_o)-(Tabella34[[#This Row],[Day]]-po)</f>
        <v>27.830509376180089</v>
      </c>
      <c r="BH99" s="95">
        <f>Tabella34[[#This Row],[rest of Italy cumul. Fit]]/Ka</f>
        <v>0.43462135102604393</v>
      </c>
      <c r="BI99" s="157">
        <f>IFERROR(Ko*_xlfn.LOGNORM.DIST((Tabella34[[#This Row],[Day]]-po),mu_o,sigma_o,FALSE),0)</f>
        <v>3337.828612374286</v>
      </c>
      <c r="BJ99" s="199">
        <f>Tabella34[[#This Row],[rest of Italy velocity]]/Tabella34[[#This Row],[rest of Italy cumul. Fit]]</f>
        <v>5.1890912864106908E-2</v>
      </c>
      <c r="BK99" s="254">
        <f>(LN(Tabella34[[#This Row],[Day]]-po)-mu_o)/sigma_o</f>
        <v>-0.16462049065037396</v>
      </c>
      <c r="BL99" s="262">
        <f>EXP(mu_o+sigma_o*Tabella34[[#This Row],[x_o_alpha©+plus]])-(Tabella34[[#This Row],[Day]]-po)</f>
        <v>21.331235188430639</v>
      </c>
      <c r="BM99" s="262">
        <f>EXP(mu_o+sigma_o*Tabella34[[#This Row],[x_o_alpha©-minus]])-(Tabella34[[#This Row],[Day]]-po)</f>
        <v>-19.052253954650801</v>
      </c>
      <c r="BN99" s="262">
        <f>-sigma_o+SQRT(sigma_o^2-2*Tabella34[[#This Row],[c_o]])</f>
        <v>0.86632726301263474</v>
      </c>
      <c r="BO99" s="262">
        <f>-sigma_o-SQRT(sigma_o^2-2*Tabella34[[#This Row],[c_o]])</f>
        <v>-1.5093000403116608</v>
      </c>
      <c r="BP99" s="262">
        <f>mu_o-LN(alpha*Ko/(Tabella34[[#This Row],[rest of Italy velocity]]*sigma_o*SQRTPI(2)))</f>
        <v>-0.65377388649403034</v>
      </c>
      <c r="BQ99" s="262">
        <f>Tabella34[[#This Row],[t_alpha_o+plus]]</f>
        <v>21.331235188430639</v>
      </c>
      <c r="BR99" s="90">
        <f>IFERROR(-Ka*_xlfn.LOGNORM.DIST((Tabella34[[#This Row],[Day]]-pa),mu_a,sigma_a,FALSE)*(1+(LN((Tabella34[[#This Row],[Day]]-pa))-mu_a)/sigma_a^2)/(Tabella34[[#This Row],[Day]]-pa),0)</f>
        <v>-30.003335995654862</v>
      </c>
      <c r="BS99" s="95">
        <f>Tabella34[[#This Row],[rest of Italy acc. fit]]/y_a_peak</f>
        <v>-8.8789618451669671E-3</v>
      </c>
      <c r="BT99" s="95">
        <f>Tabella34[[#This Row],[rest of Italy acc. fit]]*NOT(ISBLANK(Tabella34[[#This Row],[rest of Italy data]]))</f>
        <v>-30.003335995654862</v>
      </c>
      <c r="BU99" s="95">
        <f>Tabella34[[#This Row],[rest of Italy acc. fit]]+CIa</f>
        <v>5308.8360991643622</v>
      </c>
      <c r="BV99" s="95">
        <f>MAX(Tabella34[[#This Row],[rest of Italy acc. fit]]-CIa,0)</f>
        <v>0</v>
      </c>
    </row>
    <row r="100" spans="2:74" ht="15" thickBot="1" x14ac:dyDescent="0.35">
      <c r="B100" s="281">
        <v>43923</v>
      </c>
      <c r="C100" s="29">
        <v>93</v>
      </c>
      <c r="D100" s="10">
        <f>Tabella8[[#This Row],[Spain cum. Cases]]</f>
        <v>112065</v>
      </c>
      <c r="E100" s="90">
        <f>(Tabella34[[#This Row],[Spain cumul. Cases]]-D99)</f>
        <v>7947</v>
      </c>
      <c r="F100" s="90">
        <f>Tabella34[[#This Row],[Spain daily cases]]-E99</f>
        <v>-248</v>
      </c>
      <c r="G100" s="95">
        <f>Tabella34[[#This Row],[Spain daily cases]]*NOT(ISBLANK(Tabella34[[#This Row],[Spain daily cases]]))</f>
        <v>7947</v>
      </c>
      <c r="H100" s="157">
        <f>Tabella8[[#This Row],[Spain cum. fit]]</f>
        <v>100984.27125386847</v>
      </c>
      <c r="I100" s="157">
        <f>_xlfn.LOGNORM.INV(alpha*Tabella34[[#This Row],[Spain cumul. Fit]]/Kt,mu_t,sigma_t)-(Tabella34[[#This Row],[Day]]-pt)</f>
        <v>16.928846160593764</v>
      </c>
      <c r="J100" s="157">
        <f>Tabella34[[#This Row],[Spain fitted d.t.]]/Spain_dt_at_lockdown</f>
        <v>4.5174013983947123</v>
      </c>
      <c r="K100" s="95">
        <f>Tabella34[[#This Row],[Spain cumul. Fit]]/Kf</f>
        <v>0.3606582458768679</v>
      </c>
      <c r="L100" s="160"/>
      <c r="M100" s="95"/>
      <c r="N100" s="157">
        <f>IFERROR(Kt*_xlfn.LOGNORM.DIST((Tabella34[[#This Row],[Day]]-pt),mu_t,sigma_t,FALSE),0)</f>
        <v>6648.8830636789098</v>
      </c>
      <c r="O100" s="157" t="e">
        <f>Kt*EXP(-0.5*Tabella34[[#This Row],[x_t]]^2)/(sigma_t*SQRTPI(2)*(Tabella34[[#This Row],[Day]]-D_bk))</f>
        <v>#NAME?</v>
      </c>
      <c r="P100" s="199">
        <f>Tabella34[[#This Row],[Spain fitted velocity]]/Tabella34[[#This Row],[Spain cumul. Fit]]</f>
        <v>6.5840778777954564E-2</v>
      </c>
      <c r="Q100" s="262">
        <f>(LN(Tabella34[[#This Row],[Day]]-pt)-mu_t)/sigma_t</f>
        <v>-0.35669988484464127</v>
      </c>
      <c r="R100" s="262">
        <f>EXP(mu_t+sigma_t*Tabella34[[#This Row],[x_t_alpha©+plus]])-(Tabella34[[#This Row],[Day]]-pt)</f>
        <v>23.832551731402191</v>
      </c>
      <c r="S100" s="262">
        <f>EXP(mu_t+sigma_t*Tabella34[[#This Row],[x_t_alpha©-minus]])-(Tabella34[[#This Row],[Day]]-pt)</f>
        <v>-14.927731974040618</v>
      </c>
      <c r="T100" s="262">
        <f>-sigma_t+SQRT(sigma_t^2-2*Tabella34[[#This Row],[c_t]])</f>
        <v>0.91197286696135582</v>
      </c>
      <c r="U100" s="262">
        <f>-sigma_t-SQRT(sigma_t^2-2*Tabella34[[#This Row],[c_t]])</f>
        <v>-1.4494122168045231</v>
      </c>
      <c r="V100" s="262">
        <f>mu_t-LN(alpha*Kt/(Tabella34[[#This Row],[Spain fitted velocity]]*sigma_t*SQRTPI(2)))</f>
        <v>-0.66091230738401752</v>
      </c>
      <c r="W100" s="262">
        <f>Tabella34[[#This Row],[Spain fitted g.r.]]/Spain_gr_at_lockdown</f>
        <v>0.31774126873991804</v>
      </c>
      <c r="X100" s="262">
        <f>Tabella34[[#This Row],[t_alpha_t+plus]]</f>
        <v>23.832551731402191</v>
      </c>
      <c r="Y100" s="262">
        <f>Tabella34[[#This Row],[Spain fitted h.t.]]/Spain_ht_at_lockdown</f>
        <v>0.38713988264860982</v>
      </c>
      <c r="Z100" s="90">
        <f>IFERROR(-Kf*_xlfn.LOGNORM.DIST((Tabella34[[#This Row],[Day]]-pf),mu_f,sigma_f,FALSE)*(1+(LN((Tabella34[[#This Row],[Day]]-pf))-mu_f)/sigma_f^2)/(Tabella34[[#This Row],[Day]]-pf),0)</f>
        <v>37.105914173188133</v>
      </c>
      <c r="AA100" s="90">
        <f>Tabella34[[#This Row],[Spain acc. fit]]/Spain_acc_at_lockdown</f>
        <v>0.12644468901270572</v>
      </c>
      <c r="AB100" s="95">
        <f>Tabella34[[#This Row],[Spain acc. fit]]/y_f_peak</f>
        <v>5.5592167703865953E-3</v>
      </c>
      <c r="AC100" s="157">
        <f>Tabella34[[#This Row],[Colonna4]]*NOT(ISBLANK(Tabella34[[#This Row],[Spain daily cases]]))</f>
        <v>0</v>
      </c>
      <c r="AD100" s="157">
        <f>Tabella34[[#This Row],[Spain acc. fit]]*NOT(ISBLANK(Tabella34[[#This Row],[Spain daily cases]]))</f>
        <v>37.105914173188133</v>
      </c>
      <c r="AE100" s="95">
        <f>Tabella34[[#This Row],[Spain acc. fit]]+CIf</f>
        <v>2379.7943318542807</v>
      </c>
      <c r="AF100" s="95">
        <f>MAX(Tabella34[[#This Row],[Spain acc. fit]]-CIf,0)</f>
        <v>0</v>
      </c>
      <c r="AG100" s="4">
        <f>Tabella8[[#This Row],[Lombardy]]</f>
        <v>0</v>
      </c>
      <c r="AH100" s="90">
        <f>(Tabella34[[#This Row],[Lombardy cumul. Data]]-AG99)</f>
        <v>0</v>
      </c>
      <c r="AI100" s="90">
        <f>Tabella34[[#This Row],[Lombardy data]]-AH99</f>
        <v>0</v>
      </c>
      <c r="AJ100" s="95">
        <f>Tabella34[[#This Row],[Lombardy data]]*NOT(ISBLANK(Tabella34[[#This Row],[Lombardy data]]))</f>
        <v>0</v>
      </c>
      <c r="AK100" s="95">
        <f>Tabella8[[#This Row],[Lombardy fit]]</f>
        <v>44032.799164431563</v>
      </c>
      <c r="AL100" s="157" t="e">
        <f>_xlfn.LOGNORM.INV(alpha*Tabella34[[#This Row],[Lombardy cumul. Fit]]/Kr,mu_r,sigma_r)-(Tabella34[[#This Row],[Day]]-pr)</f>
        <v>#NUM!</v>
      </c>
      <c r="AM100" s="95">
        <f>Tabella34[[#This Row],[Lombardy cumul. Fit]]/Kl</f>
        <v>0.50612412832679954</v>
      </c>
      <c r="AN100" s="95">
        <f>IFERROR(Kr*_xlfn.LOGNORM.DIST((Tabella34[[#This Row],[Day]]-pr),mu_r,sigma_r,FALSE),0)</f>
        <v>1650.1424522075963</v>
      </c>
      <c r="AO100" s="202">
        <f>Tabella34[[#This Row],[Lombardy velocity]]/Tabella34[[#This Row],[Lombardy cumul. Fit]]</f>
        <v>3.7475302127522571E-2</v>
      </c>
      <c r="AP100" s="259">
        <f>(LN(Tabella34[[#This Row],[Day]]-pr)-mu_r)/sigma_r</f>
        <v>1.5351516179645929E-2</v>
      </c>
      <c r="AQ100" s="262">
        <f>EXP(mu_r+sigma_r*Tabella34[[#This Row],[x_r_alpha©+plus]])-(Tabella34[[#This Row],[Day]]-pr)</f>
        <v>21.414019601398252</v>
      </c>
      <c r="AR100" s="262">
        <f>EXP(mu_r+sigma_r*Tabella34[[#This Row],[x_r_alpha©-minus]])-(Tabella34[[#This Row],[Day]]-pr)</f>
        <v>-25.771079288237466</v>
      </c>
      <c r="AS100" s="262">
        <f>-sigma_r+SQRT(sigma_r^2-2*Tabella34[[#This Row],[c_r]])</f>
        <v>0.88956169572937349</v>
      </c>
      <c r="AT100" s="262">
        <f>-sigma_r-SQRT(sigma_r^2-2*Tabella34[[#This Row],[c_r]])</f>
        <v>-1.5704162929231027</v>
      </c>
      <c r="AU100" s="262">
        <f>mu_r-LN(alpha*Kr/(Tabella34[[#This Row],[Lombardy velocity]]*sigma_r*SQRTPI(2)))</f>
        <v>-0.69849109026685596</v>
      </c>
      <c r="AV100" s="262">
        <f>Tabella34[[#This Row],[t_alpha_r+plus]]</f>
        <v>21.414019601398252</v>
      </c>
      <c r="AW100" s="90">
        <f>IFERROR(-Kl*_xlfn.LOGNORM.DIST((Tabella34[[#This Row],[Day]]-pl),mu_l,sigma_l,FALSE)*(1+(LN((Tabella34[[#This Row],[Day]]-pl))-mu_l)/sigma_l^2)/(Tabella34[[#This Row],[Day]]-pl),0)</f>
        <v>-27.915461689443593</v>
      </c>
      <c r="AX100" s="95">
        <f>Tabella34[[#This Row],[Lombardy acc. fit]]/y_l_peak</f>
        <v>-1.5879513452896826E-2</v>
      </c>
      <c r="AY100" s="157">
        <f>Tabella34[[#This Row],[Lombardy acc. fit]]*NOT(ISBLANK(Tabella34[[#This Row],[Lombardy data]]))</f>
        <v>-27.915461689443593</v>
      </c>
      <c r="AZ100" s="95">
        <f>Tabella34[[#This Row],[Lombardy acc. fit]]+CIl</f>
        <v>2542.4668612269652</v>
      </c>
      <c r="BA100" s="95">
        <f>MAX(Tabella34[[#This Row],[Lombardy acc. fit]]-CIl,0)</f>
        <v>0</v>
      </c>
      <c r="BB100" s="10">
        <f>Tabella8[[#This Row],[rest of Italy ]]</f>
        <v>112065</v>
      </c>
      <c r="BC100" s="10">
        <f>(Tabella34[[#This Row],[rest of Italy cum. Data]]-BB99)</f>
        <v>7947</v>
      </c>
      <c r="BD100" s="10">
        <f>Tabella34[[#This Row],[rest of Italy data]]-BC99</f>
        <v>-248</v>
      </c>
      <c r="BE100" s="95">
        <f>Tabella34[[#This Row],[rest of Italy data]]*NOT(ISBLANK(Tabella34[[#This Row],[rest of Italy data]]))</f>
        <v>7947</v>
      </c>
      <c r="BF100" s="95">
        <f>Tabella8[[#This Row],[rest of Italy fit]]</f>
        <v>67645.126002901379</v>
      </c>
      <c r="BG100" s="157">
        <f>_xlfn.LOGNORM.INV(alpha*Tabella34[[#This Row],[rest of Italy cumul. Fit]]/Ko,mu_o,sigma_o)-(Tabella34[[#This Row],[Day]]-po)</f>
        <v>33.524589998605194</v>
      </c>
      <c r="BH100" s="95">
        <f>Tabella34[[#This Row],[rest of Italy cumul. Fit]]/Ka</f>
        <v>0.45706171538900836</v>
      </c>
      <c r="BI100" s="157">
        <f>IFERROR(Ko*_xlfn.LOGNORM.DIST((Tabella34[[#This Row],[Day]]-po),mu_o,sigma_o,FALSE),0)</f>
        <v>3302.901499412304</v>
      </c>
      <c r="BJ100" s="199">
        <f>Tabella34[[#This Row],[rest of Italy velocity]]/Tabella34[[#This Row],[rest of Italy cumul. Fit]]</f>
        <v>4.8826895514551022E-2</v>
      </c>
      <c r="BK100" s="254">
        <f>(LN(Tabella34[[#This Row],[Day]]-po)-mu_o)/sigma_o</f>
        <v>-0.10783896843611498</v>
      </c>
      <c r="BL100" s="262">
        <f>EXP(mu_o+sigma_o*Tabella34[[#This Row],[x_o_alpha©+plus]])-(Tabella34[[#This Row],[Day]]-po)</f>
        <v>20.546019399725878</v>
      </c>
      <c r="BM100" s="262">
        <f>EXP(mu_o+sigma_o*Tabella34[[#This Row],[x_o_alpha©-minus]])-(Tabella34[[#This Row],[Day]]-po)</f>
        <v>-20.152043707161923</v>
      </c>
      <c r="BN100" s="262">
        <f>-sigma_o+SQRT(sigma_o^2-2*Tabella34[[#This Row],[c_o]])</f>
        <v>0.87515039052942079</v>
      </c>
      <c r="BO100" s="262">
        <f>-sigma_o-SQRT(sigma_o^2-2*Tabella34[[#This Row],[c_o]])</f>
        <v>-1.5181231678284468</v>
      </c>
      <c r="BP100" s="262">
        <f>mu_o-LN(alpha*Ko/(Tabella34[[#This Row],[rest of Italy velocity]]*sigma_o*SQRTPI(2)))</f>
        <v>-0.6642930415984134</v>
      </c>
      <c r="BQ100" s="262">
        <f>Tabella34[[#This Row],[t_alpha_o+plus]]</f>
        <v>20.546019399725878</v>
      </c>
      <c r="BR100" s="90">
        <f>IFERROR(-Ka*_xlfn.LOGNORM.DIST((Tabella34[[#This Row],[Day]]-pa),mu_a,sigma_a,FALSE)*(1+(LN((Tabella34[[#This Row],[Day]]-pa))-mu_a)/sigma_a^2)/(Tabella34[[#This Row],[Day]]-pa),0)</f>
        <v>-39.704746249160529</v>
      </c>
      <c r="BS100" s="95">
        <f>Tabella34[[#This Row],[rest of Italy acc. fit]]/y_a_peak</f>
        <v>-1.1749924310729569E-2</v>
      </c>
      <c r="BT100" s="95">
        <f>Tabella34[[#This Row],[rest of Italy acc. fit]]*NOT(ISBLANK(Tabella34[[#This Row],[rest of Italy data]]))</f>
        <v>-39.704746249160529</v>
      </c>
      <c r="BU100" s="95">
        <f>Tabella34[[#This Row],[rest of Italy acc. fit]]+CIa</f>
        <v>5299.1346889108563</v>
      </c>
      <c r="BV100" s="95">
        <f>MAX(Tabella34[[#This Row],[rest of Italy acc. fit]]-CIa,0)</f>
        <v>0</v>
      </c>
    </row>
    <row r="101" spans="2:74" ht="15" thickBot="1" x14ac:dyDescent="0.35">
      <c r="B101" s="281">
        <v>43924</v>
      </c>
      <c r="C101" s="190">
        <v>94</v>
      </c>
      <c r="D101" s="191">
        <f>Tabella8[[#This Row],[Spain cum. Cases]]</f>
        <v>119199</v>
      </c>
      <c r="E101" s="192">
        <f>(Tabella34[[#This Row],[Spain cumul. Cases]]-D100)</f>
        <v>7134</v>
      </c>
      <c r="F101" s="192">
        <f>Tabella34[[#This Row],[Spain daily cases]]-E100</f>
        <v>-813</v>
      </c>
      <c r="G101" s="193">
        <f>Tabella34[[#This Row],[Spain daily cases]]*NOT(ISBLANK(Tabella34[[#This Row],[Spain daily cases]]))</f>
        <v>7134</v>
      </c>
      <c r="H101" s="194">
        <f>Tabella8[[#This Row],[Spain cum. fit]]</f>
        <v>107647.21868857004</v>
      </c>
      <c r="I101" s="194">
        <f>_xlfn.LOGNORM.INV(alpha*Tabella34[[#This Row],[Spain cumul. Fit]]/Kt,mu_t,sigma_t)-(Tabella34[[#This Row],[Day]]-pt)</f>
        <v>19.006508203058502</v>
      </c>
      <c r="J101" s="194">
        <f>Tabella34[[#This Row],[Spain fitted d.t.]]/Spain_dt_at_lockdown</f>
        <v>5.0718180034595806</v>
      </c>
      <c r="K101" s="193">
        <f>Tabella34[[#This Row],[Spain cumul. Fit]]/Kf</f>
        <v>0.38445449557329958</v>
      </c>
      <c r="L101" s="195"/>
      <c r="M101" s="193"/>
      <c r="N101" s="194">
        <f>IFERROR(Kt*_xlfn.LOGNORM.DIST((Tabella34[[#This Row],[Day]]-pt),mu_t,sigma_t,FALSE),0)</f>
        <v>6672.5665117635563</v>
      </c>
      <c r="O101" s="194" t="e">
        <f>Kt*EXP(-0.5*Tabella34[[#This Row],[x_t]]^2)/(sigma_t*SQRTPI(2)*(Tabella34[[#This Row],[Day]]-D_bk))</f>
        <v>#NAME?</v>
      </c>
      <c r="P101" s="200">
        <f>Tabella34[[#This Row],[Spain fitted velocity]]/Tabella34[[#This Row],[Spain cumul. Fit]]</f>
        <v>6.1985498492698618E-2</v>
      </c>
      <c r="Q101" s="263">
        <f>(LN(Tabella34[[#This Row],[Day]]-pt)-mu_t)/sigma_t</f>
        <v>-0.2938022821027495</v>
      </c>
      <c r="R101" s="263">
        <f>EXP(mu_t+sigma_t*Tabella34[[#This Row],[x_t_alpha©+plus]])-(Tabella34[[#This Row],[Day]]-pt)</f>
        <v>22.765730398317459</v>
      </c>
      <c r="S101" s="263">
        <f>EXP(mu_t+sigma_t*Tabella34[[#This Row],[x_t_alpha©-minus]])-(Tabella34[[#This Row],[Day]]-pt)</f>
        <v>-15.892276344349249</v>
      </c>
      <c r="T101" s="263">
        <f>-sigma_t+SQRT(sigma_t^2-2*Tabella34[[#This Row],[c_t]])</f>
        <v>0.90895748725101111</v>
      </c>
      <c r="U101" s="263">
        <f>-sigma_t-SQRT(sigma_t^2-2*Tabella34[[#This Row],[c_t]])</f>
        <v>-1.4463968370941784</v>
      </c>
      <c r="V101" s="263">
        <f>mu_t-LN(alpha*Kt/(Tabella34[[#This Row],[Spain fitted velocity]]*sigma_t*SQRTPI(2)))</f>
        <v>-0.65735661730646733</v>
      </c>
      <c r="W101" s="263">
        <f>Tabella34[[#This Row],[Spain fitted g.r.]]/Spain_gr_at_lockdown</f>
        <v>0.29913605671293975</v>
      </c>
      <c r="X101" s="263">
        <f>Tabella34[[#This Row],[t_alpha_t+plus]]</f>
        <v>22.765730398317459</v>
      </c>
      <c r="Y101" s="263">
        <f>Tabella34[[#This Row],[Spain fitted h.t.]]/Spain_ht_at_lockdown</f>
        <v>0.36981026178584381</v>
      </c>
      <c r="Z101" s="192">
        <f>IFERROR(-Kf*_xlfn.LOGNORM.DIST((Tabella34[[#This Row],[Day]]-pf),mu_f,sigma_f,FALSE)*(1+(LN((Tabella34[[#This Row],[Day]]-pf))-mu_f)/sigma_f^2)/(Tabella34[[#This Row],[Day]]-pf),0)</f>
        <v>10.438417581414903</v>
      </c>
      <c r="AA101" s="192">
        <f>Tabella34[[#This Row],[Spain acc. fit]]/Spain_acc_at_lockdown</f>
        <v>3.5570676380760988E-2</v>
      </c>
      <c r="AB101" s="193">
        <f>Tabella34[[#This Row],[Spain acc. fit]]/y_f_peak</f>
        <v>1.5638861720008699E-3</v>
      </c>
      <c r="AC101" s="194">
        <f>Tabella34[[#This Row],[Colonna4]]*NOT(ISBLANK(Tabella34[[#This Row],[Spain daily cases]]))</f>
        <v>0</v>
      </c>
      <c r="AD101" s="194">
        <f>Tabella34[[#This Row],[Spain acc. fit]]*NOT(ISBLANK(Tabella34[[#This Row],[Spain daily cases]]))</f>
        <v>10.438417581414903</v>
      </c>
      <c r="AE101" s="193">
        <f>Tabella34[[#This Row],[Spain acc. fit]]+CIf</f>
        <v>2353.1268352625075</v>
      </c>
      <c r="AF101" s="193">
        <f>MAX(Tabella34[[#This Row],[Spain acc. fit]]-CIf,0)</f>
        <v>0</v>
      </c>
      <c r="AG101" s="196">
        <f>Tabella8[[#This Row],[Lombardy]]</f>
        <v>0</v>
      </c>
      <c r="AH101" s="192">
        <f>(Tabella34[[#This Row],[Lombardy cumul. Data]]-AG100)</f>
        <v>0</v>
      </c>
      <c r="AI101" s="192">
        <f>Tabella34[[#This Row],[Lombardy data]]-AH100</f>
        <v>0</v>
      </c>
      <c r="AJ101" s="193">
        <f>Tabella34[[#This Row],[Lombardy data]]*NOT(ISBLANK(Tabella34[[#This Row],[Lombardy data]]))</f>
        <v>0</v>
      </c>
      <c r="AK101" s="193">
        <f>Tabella8[[#This Row],[Lombardy fit]]</f>
        <v>45668.529572397463</v>
      </c>
      <c r="AL101" s="194" t="e">
        <f>_xlfn.LOGNORM.INV(alpha*Tabella34[[#This Row],[Lombardy cumul. Fit]]/Kr,mu_r,sigma_r)-(Tabella34[[#This Row],[Day]]-pr)</f>
        <v>#NUM!</v>
      </c>
      <c r="AM101" s="193">
        <f>Tabella34[[#This Row],[Lombardy cumul. Fit]]/Kl</f>
        <v>0.52492562726893632</v>
      </c>
      <c r="AN101" s="193">
        <f>IFERROR(Kr*_xlfn.LOGNORM.DIST((Tabella34[[#This Row],[Day]]-pr),mu_r,sigma_r,FALSE),0)</f>
        <v>1620.8774586452207</v>
      </c>
      <c r="AO101" s="201">
        <f>Tabella34[[#This Row],[Lombardy velocity]]/Tabella34[[#This Row],[Lombardy cumul. Fit]]</f>
        <v>3.54922191237989E-2</v>
      </c>
      <c r="AP101" s="258">
        <f>(LN(Tabella34[[#This Row],[Day]]-pr)-mu_r)/sigma_r</f>
        <v>6.2519987360798224E-2</v>
      </c>
      <c r="AQ101" s="263">
        <f>EXP(mu_r+sigma_r*Tabella34[[#This Row],[x_r_alpha©+plus]])-(Tabella34[[#This Row],[Day]]-pr)</f>
        <v>20.824634046698975</v>
      </c>
      <c r="AR101" s="263">
        <f>EXP(mu_r+sigma_r*Tabella34[[#This Row],[x_r_alpha©-minus]])-(Tabella34[[#This Row],[Day]]-pr)</f>
        <v>-26.947926722674381</v>
      </c>
      <c r="AS101" s="263">
        <f>-sigma_r+SQRT(sigma_r^2-2*Tabella34[[#This Row],[c_r]])</f>
        <v>0.90402474000508115</v>
      </c>
      <c r="AT101" s="263">
        <f>-sigma_r-SQRT(sigma_r^2-2*Tabella34[[#This Row],[c_r]])</f>
        <v>-1.5848793371988104</v>
      </c>
      <c r="AU101" s="263">
        <f>mu_r-LN(alpha*Kr/(Tabella34[[#This Row],[Lombardy velocity]]*sigma_r*SQRTPI(2)))</f>
        <v>-0.7163850653752899</v>
      </c>
      <c r="AV101" s="263">
        <f>Tabella34[[#This Row],[t_alpha_r+plus]]</f>
        <v>20.824634046698975</v>
      </c>
      <c r="AW101" s="192">
        <f>IFERROR(-Kl*_xlfn.LOGNORM.DIST((Tabella34[[#This Row],[Day]]-pl),mu_l,sigma_l,FALSE)*(1+(LN((Tabella34[[#This Row],[Day]]-pl))-mu_l)/sigma_l^2)/(Tabella34[[#This Row],[Day]]-pl),0)</f>
        <v>-30.561034824189441</v>
      </c>
      <c r="AX101" s="193">
        <f>Tabella34[[#This Row],[Lombardy acc. fit]]/y_l_peak</f>
        <v>-1.7384429067446937E-2</v>
      </c>
      <c r="AY101" s="194">
        <f>Tabella34[[#This Row],[Lombardy acc. fit]]*NOT(ISBLANK(Tabella34[[#This Row],[Lombardy data]]))</f>
        <v>-30.561034824189441</v>
      </c>
      <c r="AZ101" s="193">
        <f>Tabella34[[#This Row],[Lombardy acc. fit]]+CIl</f>
        <v>2539.8212880922192</v>
      </c>
      <c r="BA101" s="193">
        <f>MAX(Tabella34[[#This Row],[Lombardy acc. fit]]-CIl,0)</f>
        <v>0</v>
      </c>
      <c r="BB101" s="191">
        <f>Tabella8[[#This Row],[rest of Italy ]]</f>
        <v>119199</v>
      </c>
      <c r="BC101" s="191">
        <f>(Tabella34[[#This Row],[rest of Italy cum. Data]]-BB100)</f>
        <v>7134</v>
      </c>
      <c r="BD101" s="191">
        <f>Tabella34[[#This Row],[rest of Italy data]]-BC100</f>
        <v>-813</v>
      </c>
      <c r="BE101" s="193">
        <f>Tabella34[[#This Row],[rest of Italy data]]*NOT(ISBLANK(Tabella34[[#This Row],[rest of Italy data]]))</f>
        <v>7134</v>
      </c>
      <c r="BF101" s="193">
        <f>Tabella8[[#This Row],[rest of Italy fit]]</f>
        <v>70926.668664974175</v>
      </c>
      <c r="BG101" s="194">
        <f>_xlfn.LOGNORM.INV(alpha*Tabella34[[#This Row],[rest of Italy cumul. Fit]]/Ko,mu_o,sigma_o)-(Tabella34[[#This Row],[Day]]-po)</f>
        <v>43.632633802842435</v>
      </c>
      <c r="BH101" s="193">
        <f>Tabella34[[#This Row],[rest of Italy cumul. Fit]]/Ka</f>
        <v>0.47923430352469865</v>
      </c>
      <c r="BI101" s="194">
        <f>IFERROR(Ko*_xlfn.LOGNORM.DIST((Tabella34[[#This Row],[Day]]-po),mu_o,sigma_o,FALSE),0)</f>
        <v>3258.7145133293802</v>
      </c>
      <c r="BJ101" s="200">
        <f>Tabella34[[#This Row],[rest of Italy velocity]]/Tabella34[[#This Row],[rest of Italy cumul. Fit]]</f>
        <v>4.594484098389124E-2</v>
      </c>
      <c r="BK101" s="255">
        <f>(LN(Tabella34[[#This Row],[Day]]-po)-mu_o)/sigma_o</f>
        <v>-5.2075409123988115E-2</v>
      </c>
      <c r="BL101" s="263">
        <f>EXP(mu_o+sigma_o*Tabella34[[#This Row],[x_o_alpha©+plus]])-(Tabella34[[#This Row],[Day]]-po)</f>
        <v>19.819613985641794</v>
      </c>
      <c r="BM101" s="263">
        <f>EXP(mu_o+sigma_o*Tabella34[[#This Row],[x_o_alpha©-minus]])-(Tabella34[[#This Row],[Day]]-po)</f>
        <v>-21.278341297610616</v>
      </c>
      <c r="BN101" s="263">
        <f>-sigma_o+SQRT(sigma_o^2-2*Tabella34[[#This Row],[c_o]])</f>
        <v>0.88635326834507111</v>
      </c>
      <c r="BO101" s="263">
        <f>-sigma_o-SQRT(sigma_o^2-2*Tabella34[[#This Row],[c_o]])</f>
        <v>-1.5293260456440971</v>
      </c>
      <c r="BP101" s="263">
        <f>mu_o-LN(alpha*Ko/(Tabella34[[#This Row],[rest of Italy velocity]]*sigma_o*SQRTPI(2)))</f>
        <v>-0.67776156946094446</v>
      </c>
      <c r="BQ101" s="263">
        <f>Tabella34[[#This Row],[t_alpha_o+plus]]</f>
        <v>19.819613985641794</v>
      </c>
      <c r="BR101" s="192">
        <f>IFERROR(-Ka*_xlfn.LOGNORM.DIST((Tabella34[[#This Row],[Day]]-pa),mu_a,sigma_a,FALSE)*(1+(LN((Tabella34[[#This Row],[Day]]-pa))-mu_a)/sigma_a^2)/(Tabella34[[#This Row],[Day]]-pa),0)</f>
        <v>-48.520476838214385</v>
      </c>
      <c r="BS101" s="193">
        <f>Tabella34[[#This Row],[rest of Italy acc. fit]]/y_a_peak</f>
        <v>-1.4358785390338061E-2</v>
      </c>
      <c r="BT101" s="193">
        <f>Tabella34[[#This Row],[rest of Italy acc. fit]]*NOT(ISBLANK(Tabella34[[#This Row],[rest of Italy data]]))</f>
        <v>-48.520476838214385</v>
      </c>
      <c r="BU101" s="193">
        <f>Tabella34[[#This Row],[rest of Italy acc. fit]]+CIa</f>
        <v>5290.3189583218027</v>
      </c>
      <c r="BV101" s="198">
        <f>MAX(Tabella34[[#This Row],[rest of Italy acc. fit]]-CIa,0)</f>
        <v>0</v>
      </c>
    </row>
    <row r="102" spans="2:74" x14ac:dyDescent="0.3">
      <c r="B102" s="281">
        <v>43925</v>
      </c>
      <c r="C102" s="4">
        <v>95</v>
      </c>
      <c r="D102" s="10">
        <f>Tabella8[[#This Row],[Spain cum. Cases]]</f>
        <v>126168</v>
      </c>
      <c r="E102" s="90">
        <f>(Tabella34[[#This Row],[Spain cumul. Cases]]-D101)</f>
        <v>6969</v>
      </c>
      <c r="F102" s="90">
        <f>Tabella34[[#This Row],[Spain daily cases]]-E101</f>
        <v>-165</v>
      </c>
      <c r="G102" s="95">
        <f>Tabella34[[#This Row],[Spain daily cases]]*NOT(ISBLANK(Tabella34[[#This Row],[Spain daily cases]]))</f>
        <v>6969</v>
      </c>
      <c r="H102" s="157">
        <f>Tabella8[[#This Row],[Spain cum. fit]]</f>
        <v>114320.70344422456</v>
      </c>
      <c r="I102" s="157">
        <f>_xlfn.LOGNORM.INV(alpha*Tabella34[[#This Row],[Spain cumul. Fit]]/Kt,mu_t,sigma_t)-(Tabella34[[#This Row],[Day]]-pt)</f>
        <v>21.620516151817156</v>
      </c>
      <c r="J102" s="157">
        <f>Tabella34[[#This Row],[Spain fitted d.t.]]/Spain_dt_at_lockdown</f>
        <v>5.7693565746721074</v>
      </c>
      <c r="K102" s="95">
        <f>Tabella34[[#This Row],[Spain cumul. Fit]]/Kf</f>
        <v>0.4082883785728581</v>
      </c>
      <c r="L102" s="160"/>
      <c r="M102" s="95"/>
      <c r="N102" s="157">
        <f>IFERROR(Kt*_xlfn.LOGNORM.DIST((Tabella34[[#This Row],[Day]]-pt),mu_t,sigma_t,FALSE),0)</f>
        <v>6670.1552714164445</v>
      </c>
      <c r="O102" s="157" t="e">
        <f>Kt*EXP(-0.5*Tabella34[[#This Row],[x_t]]^2)/(sigma_t*SQRTPI(2)*(Tabella34[[#This Row],[Day]]-D_bk))</f>
        <v>#NAME?</v>
      </c>
      <c r="P102" s="199">
        <f>Tabella34[[#This Row],[Spain fitted velocity]]/Tabella34[[#This Row],[Spain cumul. Fit]]</f>
        <v>5.8345995698589434E-2</v>
      </c>
      <c r="Q102" s="262">
        <f>(LN(Tabella34[[#This Row],[Day]]-pt)-mu_t)/sigma_t</f>
        <v>-0.2319501181836619</v>
      </c>
      <c r="R102" s="262">
        <f>EXP(mu_t+sigma_t*Tabella34[[#This Row],[x_t_alpha©+plus]])-(Tabella34[[#This Row],[Day]]-pt)</f>
        <v>21.772528040657264</v>
      </c>
      <c r="S102" s="262">
        <f>EXP(mu_t+sigma_t*Tabella34[[#This Row],[x_t_alpha©-minus]])-(Tabella34[[#This Row],[Day]]-pt)</f>
        <v>-16.895885822946703</v>
      </c>
      <c r="T102" s="262">
        <f>-sigma_t+SQRT(sigma_t^2-2*Tabella34[[#This Row],[c_t]])</f>
        <v>0.90926434934300393</v>
      </c>
      <c r="U102" s="262">
        <f>-sigma_t-SQRT(sigma_t^2-2*Tabella34[[#This Row],[c_t]])</f>
        <v>-1.4467036991861713</v>
      </c>
      <c r="V102" s="262">
        <f>mu_t-LN(alpha*Kt/(Tabella34[[#This Row],[Spain fitted velocity]]*sigma_t*SQRTPI(2)))</f>
        <v>-0.65771804886631546</v>
      </c>
      <c r="W102" s="262">
        <f>Tabella34[[#This Row],[Spain fitted g.r.]]/Spain_gr_at_lockdown</f>
        <v>0.28157216611433805</v>
      </c>
      <c r="X102" s="262">
        <f>Tabella34[[#This Row],[t_alpha_t+plus]]</f>
        <v>21.772528040657264</v>
      </c>
      <c r="Y102" s="262">
        <f>Tabella34[[#This Row],[Spain fitted h.t.]]/Spain_ht_at_lockdown</f>
        <v>0.35367651964507862</v>
      </c>
      <c r="Z102" s="90">
        <f>IFERROR(-Kf*_xlfn.LOGNORM.DIST((Tabella34[[#This Row],[Day]]-pf),mu_f,sigma_f,FALSE)*(1+(LN((Tabella34[[#This Row],[Day]]-pf))-mu_f)/sigma_f^2)/(Tabella34[[#This Row],[Day]]-pf),0)</f>
        <v>-15.044406314583052</v>
      </c>
      <c r="AA102" s="90">
        <f>Tabella34[[#This Row],[Spain acc. fit]]/Spain_acc_at_lockdown</f>
        <v>-5.1266363333605382E-2</v>
      </c>
      <c r="AB102" s="95">
        <f>Tabella34[[#This Row],[Spain acc. fit]]/y_f_peak</f>
        <v>-2.2539564850546888E-3</v>
      </c>
      <c r="AC102" s="157">
        <f>Tabella34[[#This Row],[Colonna4]]*NOT(ISBLANK(Tabella34[[#This Row],[Spain daily cases]]))</f>
        <v>0</v>
      </c>
      <c r="AD102" s="157">
        <f>Tabella34[[#This Row],[Spain acc. fit]]*NOT(ISBLANK(Tabella34[[#This Row],[Spain daily cases]]))</f>
        <v>-15.044406314583052</v>
      </c>
      <c r="AE102" s="95">
        <f>Tabella34[[#This Row],[Spain acc. fit]]+CIf</f>
        <v>2327.6440113665099</v>
      </c>
      <c r="AF102" s="95">
        <f>MAX(Tabella34[[#This Row],[Spain acc. fit]]-CIf,0)</f>
        <v>0</v>
      </c>
      <c r="AG102" s="4">
        <f>Tabella8[[#This Row],[Lombardy]]</f>
        <v>0</v>
      </c>
      <c r="AH102" s="90">
        <f>(Tabella34[[#This Row],[Lombardy cumul. Data]]-AG101)</f>
        <v>0</v>
      </c>
      <c r="AI102" s="90">
        <f>Tabella34[[#This Row],[Lombardy data]]-AH101</f>
        <v>0</v>
      </c>
      <c r="AJ102" s="95">
        <f>Tabella34[[#This Row],[Lombardy data]]*NOT(ISBLANK(Tabella34[[#This Row],[Lombardy data]]))</f>
        <v>0</v>
      </c>
      <c r="AK102" s="95">
        <f>Tabella8[[#This Row],[Lombardy fit]]</f>
        <v>47273.725307568522</v>
      </c>
      <c r="AL102" s="157" t="e">
        <f>_xlfn.LOGNORM.INV(alpha*Tabella34[[#This Row],[Lombardy cumul. Fit]]/Kr,mu_r,sigma_r)-(Tabella34[[#This Row],[Day]]-pr)</f>
        <v>#NUM!</v>
      </c>
      <c r="AM102" s="95">
        <f>Tabella34[[#This Row],[Lombardy cumul. Fit]]/Kl</f>
        <v>0.54337615296055775</v>
      </c>
      <c r="AN102" s="95">
        <f>IFERROR(Kr*_xlfn.LOGNORM.DIST((Tabella34[[#This Row],[Day]]-pr),mu_r,sigma_r,FALSE),0)</f>
        <v>1589.1258180934817</v>
      </c>
      <c r="AO102" s="202">
        <f>Tabella34[[#This Row],[Lombardy velocity]]/Tabella34[[#This Row],[Lombardy cumul. Fit]]</f>
        <v>3.3615413377186557E-2</v>
      </c>
      <c r="AP102" s="259">
        <f>(LN(Tabella34[[#This Row],[Day]]-pr)-mu_r)/sigma_r</f>
        <v>0.108943008129115</v>
      </c>
      <c r="AQ102" s="262">
        <f>EXP(mu_r+sigma_r*Tabella34[[#This Row],[x_r_alpha©+plus]])-(Tabella34[[#This Row],[Day]]-pr)</f>
        <v>20.275440820140986</v>
      </c>
      <c r="AR102" s="262">
        <f>EXP(mu_r+sigma_r*Tabella34[[#This Row],[x_r_alpha©-minus]])-(Tabella34[[#This Row],[Day]]-pr)</f>
        <v>-28.140094750197271</v>
      </c>
      <c r="AS102" s="262">
        <f>-sigma_r+SQRT(sigma_r^2-2*Tabella34[[#This Row],[c_r]])</f>
        <v>0.91982189647801937</v>
      </c>
      <c r="AT102" s="262">
        <f>-sigma_r-SQRT(sigma_r^2-2*Tabella34[[#This Row],[c_r]])</f>
        <v>-1.6006764936717486</v>
      </c>
      <c r="AU102" s="262">
        <f>mu_r-LN(alpha*Kr/(Tabella34[[#This Row],[Lombardy velocity]]*sigma_r*SQRTPI(2)))</f>
        <v>-0.73616864402846716</v>
      </c>
      <c r="AV102" s="262">
        <f>Tabella34[[#This Row],[t_alpha_r+plus]]</f>
        <v>20.275440820140986</v>
      </c>
      <c r="AW102" s="90">
        <f>IFERROR(-Kl*_xlfn.LOGNORM.DIST((Tabella34[[#This Row],[Day]]-pl),mu_l,sigma_l,FALSE)*(1+(LN((Tabella34[[#This Row],[Day]]-pl))-mu_l)/sigma_l^2)/(Tabella34[[#This Row],[Day]]-pl),0)</f>
        <v>-32.890376871160946</v>
      </c>
      <c r="AX102" s="95">
        <f>Tabella34[[#This Row],[Lombardy acc. fit]]/y_l_peak</f>
        <v>-1.8709458858563371E-2</v>
      </c>
      <c r="AY102" s="157">
        <f>Tabella34[[#This Row],[Lombardy acc. fit]]*NOT(ISBLANK(Tabella34[[#This Row],[Lombardy data]]))</f>
        <v>-32.890376871160946</v>
      </c>
      <c r="AZ102" s="95">
        <f>Tabella34[[#This Row],[Lombardy acc. fit]]+CIl</f>
        <v>2537.4919460452475</v>
      </c>
      <c r="BA102" s="95">
        <f>MAX(Tabella34[[#This Row],[Lombardy acc. fit]]-CIl,0)</f>
        <v>0</v>
      </c>
      <c r="BB102" s="10">
        <f>Tabella8[[#This Row],[rest of Italy ]]</f>
        <v>126168</v>
      </c>
      <c r="BC102" s="10">
        <f>(Tabella34[[#This Row],[rest of Italy cum. Data]]-BB101)</f>
        <v>6969</v>
      </c>
      <c r="BD102" s="10">
        <f>Tabella34[[#This Row],[rest of Italy data]]-BC101</f>
        <v>-165</v>
      </c>
      <c r="BE102" s="95">
        <f>Tabella34[[#This Row],[rest of Italy data]]*NOT(ISBLANK(Tabella34[[#This Row],[rest of Italy data]]))</f>
        <v>6969</v>
      </c>
      <c r="BF102" s="95">
        <f>Tabella8[[#This Row],[rest of Italy fit]]</f>
        <v>74159.765417855233</v>
      </c>
      <c r="BG102" s="157" t="e">
        <f>_xlfn.LOGNORM.INV(alpha*Tabella34[[#This Row],[rest of Italy cumul. Fit]]/Ko,mu_o,sigma_o)-(Tabella34[[#This Row],[Day]]-po)</f>
        <v>#NUM!</v>
      </c>
      <c r="BH102" s="95">
        <f>Tabella34[[#This Row],[rest of Italy cumul. Fit]]/Ka</f>
        <v>0.50107955439801466</v>
      </c>
      <c r="BI102" s="157">
        <f>IFERROR(Ko*_xlfn.LOGNORM.DIST((Tabella34[[#This Row],[Day]]-po),mu_o,sigma_o,FALSE),0)</f>
        <v>3206.1587436562982</v>
      </c>
      <c r="BJ102" s="199">
        <f>Tabella34[[#This Row],[rest of Italy velocity]]/Tabella34[[#This Row],[rest of Italy cumul. Fit]]</f>
        <v>4.3233129522337467E-2</v>
      </c>
      <c r="BK102" s="254">
        <f>(LN(Tabella34[[#This Row],[Day]]-po)-mu_o)/sigma_o</f>
        <v>2.706044880644918E-3</v>
      </c>
      <c r="BL102" s="262">
        <f>EXP(mu_o+sigma_o*Tabella34[[#This Row],[x_o_alpha©+plus]])-(Tabella34[[#This Row],[Day]]-po)</f>
        <v>19.147849194911331</v>
      </c>
      <c r="BM102" s="262">
        <f>EXP(mu_o+sigma_o*Tabella34[[#This Row],[x_o_alpha©-minus]])-(Tabella34[[#This Row],[Day]]-po)</f>
        <v>-22.428669154831972</v>
      </c>
      <c r="BN102" s="262">
        <f>-sigma_o+SQRT(sigma_o^2-2*Tabella34[[#This Row],[c_o]])</f>
        <v>0.89974049243282528</v>
      </c>
      <c r="BO102" s="262">
        <f>-sigma_o-SQRT(sigma_o^2-2*Tabella34[[#This Row],[c_o]])</f>
        <v>-1.5427132697318515</v>
      </c>
      <c r="BP102" s="262">
        <f>mu_o-LN(alpha*Ko/(Tabella34[[#This Row],[rest of Italy velocity]]*sigma_o*SQRTPI(2)))</f>
        <v>-0.69402079849559506</v>
      </c>
      <c r="BQ102" s="262">
        <f>Tabella34[[#This Row],[t_alpha_o+plus]]</f>
        <v>19.147849194911331</v>
      </c>
      <c r="BR102" s="90">
        <f>IFERROR(-Ka*_xlfn.LOGNORM.DIST((Tabella34[[#This Row],[Day]]-pa),mu_a,sigma_a,FALSE)*(1+(LN((Tabella34[[#This Row],[Day]]-pa))-mu_a)/sigma_a^2)/(Tabella34[[#This Row],[Day]]-pa),0)</f>
        <v>-56.442049676677009</v>
      </c>
      <c r="BS102" s="95">
        <f>Tabella34[[#This Row],[rest of Italy acc. fit]]/y_a_peak</f>
        <v>-1.6703036142874602E-2</v>
      </c>
      <c r="BT102" s="95">
        <f>Tabella34[[#This Row],[rest of Italy acc. fit]]*NOT(ISBLANK(Tabella34[[#This Row],[rest of Italy data]]))</f>
        <v>-56.442049676677009</v>
      </c>
      <c r="BU102" s="95">
        <f>Tabella34[[#This Row],[rest of Italy acc. fit]]+CIa</f>
        <v>5282.3973854833403</v>
      </c>
      <c r="BV102" s="95">
        <f>MAX(Tabella34[[#This Row],[rest of Italy acc. fit]]-CIa,0)</f>
        <v>0</v>
      </c>
    </row>
    <row r="103" spans="2:74" x14ac:dyDescent="0.3">
      <c r="B103" s="281">
        <v>43926</v>
      </c>
      <c r="C103" s="4">
        <v>96</v>
      </c>
      <c r="D103" s="10">
        <f>Tabella8[[#This Row],[Spain cum. Cases]]</f>
        <v>131646</v>
      </c>
      <c r="E103" s="90">
        <f>(Tabella34[[#This Row],[Spain cumul. Cases]]-D102)</f>
        <v>5478</v>
      </c>
      <c r="F103" s="90">
        <f>Tabella34[[#This Row],[Spain daily cases]]-E102</f>
        <v>-1491</v>
      </c>
      <c r="G103" s="95">
        <f>Tabella34[[#This Row],[Spain daily cases]]*NOT(ISBLANK(Tabella34[[#This Row],[Spain daily cases]]))</f>
        <v>5478</v>
      </c>
      <c r="H103" s="157">
        <f>Tabella8[[#This Row],[Spain cum. fit]]</f>
        <v>120979.26042532903</v>
      </c>
      <c r="I103" s="157">
        <f>_xlfn.LOGNORM.INV(alpha*Tabella34[[#This Row],[Spain cumul. Fit]]/Kt,mu_t,sigma_t)-(Tabella34[[#This Row],[Day]]-pt)</f>
        <v>25.087086737416513</v>
      </c>
      <c r="J103" s="157">
        <f>Tabella34[[#This Row],[Spain fitted d.t.]]/Spain_dt_at_lockdown</f>
        <v>6.6943984034219559</v>
      </c>
      <c r="K103" s="95">
        <f>Tabella34[[#This Row],[Spain cumul. Fit]]/Kf</f>
        <v>0.43206894807203461</v>
      </c>
      <c r="L103" s="160"/>
      <c r="M103" s="95"/>
      <c r="N103" s="157">
        <f>IFERROR(Kt*_xlfn.LOGNORM.DIST((Tabella34[[#This Row],[Day]]-pt),mu_t,sigma_t,FALSE),0)</f>
        <v>6642.9439899023255</v>
      </c>
      <c r="O103" s="157" t="e">
        <f>Kt*EXP(-0.5*Tabella34[[#This Row],[x_t]]^2)/(sigma_t*SQRTPI(2)*(Tabella34[[#This Row],[Day]]-D_bk))</f>
        <v>#NAME?</v>
      </c>
      <c r="P103" s="199">
        <f>Tabella34[[#This Row],[Spain fitted velocity]]/Tabella34[[#This Row],[Spain cumul. Fit]]</f>
        <v>5.4909775167641166E-2</v>
      </c>
      <c r="Q103" s="262">
        <f>(LN(Tabella34[[#This Row],[Day]]-pt)-mu_t)/sigma_t</f>
        <v>-0.17110920745434641</v>
      </c>
      <c r="R103" s="262">
        <f>EXP(mu_t+sigma_t*Tabella34[[#This Row],[x_t_alpha©+plus]])-(Tabella34[[#This Row],[Day]]-pt)</f>
        <v>20.849327457555148</v>
      </c>
      <c r="S103" s="262">
        <f>EXP(mu_t+sigma_t*Tabella34[[#This Row],[x_t_alpha©-minus]])-(Tabella34[[#This Row],[Day]]-pt)</f>
        <v>-17.936624214288393</v>
      </c>
      <c r="T103" s="262">
        <f>-sigma_t+SQRT(sigma_t^2-2*Tabella34[[#This Row],[c_t]])</f>
        <v>0.91272950489067695</v>
      </c>
      <c r="U103" s="262">
        <f>-sigma_t-SQRT(sigma_t^2-2*Tabella34[[#This Row],[c_t]])</f>
        <v>-1.4501688547338443</v>
      </c>
      <c r="V103" s="262">
        <f>mu_t-LN(alpha*Kt/(Tabella34[[#This Row],[Spain fitted velocity]]*sigma_t*SQRTPI(2)))</f>
        <v>-0.66180595039455081</v>
      </c>
      <c r="W103" s="262">
        <f>Tabella34[[#This Row],[Spain fitted g.r.]]/Spain_gr_at_lockdown</f>
        <v>0.26498929617508948</v>
      </c>
      <c r="X103" s="262">
        <f>Tabella34[[#This Row],[t_alpha_t+plus]]</f>
        <v>20.849327457555148</v>
      </c>
      <c r="Y103" s="262">
        <f>Tabella34[[#This Row],[Spain fitted h.t.]]/Spain_ht_at_lockdown</f>
        <v>0.33867989782164398</v>
      </c>
      <c r="Z103" s="90">
        <f>IFERROR(-Kf*_xlfn.LOGNORM.DIST((Tabella34[[#This Row],[Day]]-pf),mu_f,sigma_f,FALSE)*(1+(LN((Tabella34[[#This Row],[Day]]-pf))-mu_f)/sigma_f^2)/(Tabella34[[#This Row],[Day]]-pf),0)</f>
        <v>-39.129775285430071</v>
      </c>
      <c r="AA103" s="90">
        <f>Tabella34[[#This Row],[Spain acc. fit]]/Spain_acc_at_lockdown</f>
        <v>-0.13334133863432462</v>
      </c>
      <c r="AB103" s="95">
        <f>Tabella34[[#This Row],[Spain acc. fit]]/y_f_peak</f>
        <v>-5.8624321172338753E-3</v>
      </c>
      <c r="AC103" s="157">
        <f>Tabella34[[#This Row],[Colonna4]]*NOT(ISBLANK(Tabella34[[#This Row],[Spain daily cases]]))</f>
        <v>0</v>
      </c>
      <c r="AD103" s="157">
        <f>Tabella34[[#This Row],[Spain acc. fit]]*NOT(ISBLANK(Tabella34[[#This Row],[Spain daily cases]]))</f>
        <v>-39.129775285430071</v>
      </c>
      <c r="AE103" s="95">
        <f>Tabella34[[#This Row],[Spain acc. fit]]+CIf</f>
        <v>2303.5586423956624</v>
      </c>
      <c r="AF103" s="95">
        <f>MAX(Tabella34[[#This Row],[Spain acc. fit]]-CIf,0)</f>
        <v>0</v>
      </c>
      <c r="AG103" s="4">
        <f>Tabella8[[#This Row],[Lombardy]]</f>
        <v>0</v>
      </c>
      <c r="AH103" s="90">
        <f>(Tabella34[[#This Row],[Lombardy cumul. Data]]-AG102)</f>
        <v>0</v>
      </c>
      <c r="AI103" s="90">
        <f>Tabella34[[#This Row],[Lombardy data]]-AH102</f>
        <v>0</v>
      </c>
      <c r="AJ103" s="95">
        <f>Tabella34[[#This Row],[Lombardy data]]*NOT(ISBLANK(Tabella34[[#This Row],[Lombardy data]]))</f>
        <v>0</v>
      </c>
      <c r="AK103" s="95">
        <f>Tabella8[[#This Row],[Lombardy fit]]</f>
        <v>48846.056127844786</v>
      </c>
      <c r="AL103" s="157" t="e">
        <f>_xlfn.LOGNORM.INV(alpha*Tabella34[[#This Row],[Lombardy cumul. Fit]]/Kr,mu_r,sigma_r)-(Tabella34[[#This Row],[Day]]-pr)</f>
        <v>#NUM!</v>
      </c>
      <c r="AM103" s="95">
        <f>Tabella34[[#This Row],[Lombardy cumul. Fit]]/Kl</f>
        <v>0.56144892100971022</v>
      </c>
      <c r="AN103" s="95">
        <f>IFERROR(Kr*_xlfn.LOGNORM.DIST((Tabella34[[#This Row],[Day]]-pr),mu_r,sigma_r,FALSE),0)</f>
        <v>1555.1985426467959</v>
      </c>
      <c r="AO103" s="202">
        <f>Tabella34[[#This Row],[Lombardy velocity]]/Tabella34[[#This Row],[Lombardy cumul. Fit]]</f>
        <v>3.1838774016399084E-2</v>
      </c>
      <c r="AP103" s="259">
        <f>(LN(Tabella34[[#This Row],[Day]]-pr)-mu_r)/sigma_r</f>
        <v>0.15464377456240383</v>
      </c>
      <c r="AQ103" s="262">
        <f>EXP(mu_r+sigma_r*Tabella34[[#This Row],[x_r_alpha©+plus]])-(Tabella34[[#This Row],[Day]]-pr)</f>
        <v>19.763562220773423</v>
      </c>
      <c r="AR103" s="262">
        <f>EXP(mu_r+sigma_r*Tabella34[[#This Row],[x_r_alpha©-minus]])-(Tabella34[[#This Row],[Day]]-pr)</f>
        <v>-29.345858197840023</v>
      </c>
      <c r="AS103" s="262">
        <f>-sigma_r+SQRT(sigma_r^2-2*Tabella34[[#This Row],[c_r]])</f>
        <v>0.93683137864864996</v>
      </c>
      <c r="AT103" s="262">
        <f>-sigma_r-SQRT(sigma_r^2-2*Tabella34[[#This Row],[c_r]])</f>
        <v>-1.6176859758423792</v>
      </c>
      <c r="AU103" s="262">
        <f>mu_r-LN(alpha*Kr/(Tabella34[[#This Row],[Lombardy velocity]]*sigma_r*SQRTPI(2)))</f>
        <v>-0.75774949148450155</v>
      </c>
      <c r="AV103" s="262">
        <f>Tabella34[[#This Row],[t_alpha_r+plus]]</f>
        <v>19.763562220773423</v>
      </c>
      <c r="AW103" s="90">
        <f>IFERROR(-Kl*_xlfn.LOGNORM.DIST((Tabella34[[#This Row],[Day]]-pl),mu_l,sigma_l,FALSE)*(1+(LN((Tabella34[[#This Row],[Day]]-pl))-mu_l)/sigma_l^2)/(Tabella34[[#This Row],[Day]]-pl),0)</f>
        <v>-34.914266668341909</v>
      </c>
      <c r="AX103" s="95">
        <f>Tabella34[[#This Row],[Lombardy acc. fit]]/y_l_peak</f>
        <v>-1.9860734292194083E-2</v>
      </c>
      <c r="AY103" s="157">
        <f>Tabella34[[#This Row],[Lombardy acc. fit]]*NOT(ISBLANK(Tabella34[[#This Row],[Lombardy data]]))</f>
        <v>-34.914266668341909</v>
      </c>
      <c r="AZ103" s="95">
        <f>Tabella34[[#This Row],[Lombardy acc. fit]]+CIl</f>
        <v>2535.4680562480667</v>
      </c>
      <c r="BA103" s="95">
        <f>MAX(Tabella34[[#This Row],[Lombardy acc. fit]]-CIl,0)</f>
        <v>0</v>
      </c>
      <c r="BB103" s="10">
        <f>Tabella8[[#This Row],[rest of Italy ]]</f>
        <v>131646</v>
      </c>
      <c r="BC103" s="10">
        <f>(Tabella34[[#This Row],[rest of Italy cum. Data]]-BB102)</f>
        <v>5478</v>
      </c>
      <c r="BD103" s="10">
        <f>Tabella34[[#This Row],[rest of Italy data]]-BC102</f>
        <v>-1491</v>
      </c>
      <c r="BE103" s="95">
        <f>Tabella34[[#This Row],[rest of Italy data]]*NOT(ISBLANK(Tabella34[[#This Row],[rest of Italy data]]))</f>
        <v>5478</v>
      </c>
      <c r="BF103" s="95">
        <f>Tabella8[[#This Row],[rest of Italy fit]]</f>
        <v>77336.494296891717</v>
      </c>
      <c r="BG103" s="157" t="e">
        <f>_xlfn.LOGNORM.INV(alpha*Tabella34[[#This Row],[rest of Italy cumul. Fit]]/Ko,mu_o,sigma_o)-(Tabella34[[#This Row],[Day]]-po)</f>
        <v>#NUM!</v>
      </c>
      <c r="BH103" s="95">
        <f>Tabella34[[#This Row],[rest of Italy cumul. Fit]]/Ka</f>
        <v>0.52254394121453029</v>
      </c>
      <c r="BI103" s="157">
        <f>IFERROR(Ko*_xlfn.LOGNORM.DIST((Tabella34[[#This Row],[Day]]-po),mu_o,sigma_o,FALSE),0)</f>
        <v>3146.127055224069</v>
      </c>
      <c r="BJ103" s="199">
        <f>Tabella34[[#This Row],[rest of Italy velocity]]/Tabella34[[#This Row],[rest of Italy cumul. Fit]]</f>
        <v>4.0681014620939662E-2</v>
      </c>
      <c r="BK103" s="254">
        <f>(LN(Tabella34[[#This Row],[Day]]-po)-mu_o)/sigma_o</f>
        <v>5.6539389299439309E-2</v>
      </c>
      <c r="BL103" s="262">
        <f>EXP(mu_o+sigma_o*Tabella34[[#This Row],[x_o_alpha©+plus]])-(Tabella34[[#This Row],[Day]]-po)</f>
        <v>18.526704929293132</v>
      </c>
      <c r="BM103" s="262">
        <f>EXP(mu_o+sigma_o*Tabella34[[#This Row],[x_o_alpha©-minus]])-(Tabella34[[#This Row],[Day]]-po)</f>
        <v>-23.600583303948369</v>
      </c>
      <c r="BN103" s="262">
        <f>-sigma_o+SQRT(sigma_o^2-2*Tabella34[[#This Row],[c_o]])</f>
        <v>0.91512100657089468</v>
      </c>
      <c r="BO103" s="262">
        <f>-sigma_o-SQRT(sigma_o^2-2*Tabella34[[#This Row],[c_o]])</f>
        <v>-1.5580937838699209</v>
      </c>
      <c r="BP103" s="262">
        <f>mu_o-LN(alpha*Ko/(Tabella34[[#This Row],[rest of Italy velocity]]*sigma_o*SQRTPI(2)))</f>
        <v>-0.71292217591344809</v>
      </c>
      <c r="BQ103" s="262">
        <f>Tabella34[[#This Row],[t_alpha_o+plus]]</f>
        <v>18.526704929293132</v>
      </c>
      <c r="BR103" s="90">
        <f>IFERROR(-Ka*_xlfn.LOGNORM.DIST((Tabella34[[#This Row],[Day]]-pa),mu_a,sigma_a,FALSE)*(1+(LN((Tabella34[[#This Row],[Day]]-pa))-mu_a)/sigma_a^2)/(Tabella34[[#This Row],[Day]]-pa),0)</f>
        <v>-63.474071281982802</v>
      </c>
      <c r="BS103" s="95">
        <f>Tabella34[[#This Row],[rest of Italy acc. fit]]/y_a_peak</f>
        <v>-1.8784039786500839E-2</v>
      </c>
      <c r="BT103" s="95">
        <f>Tabella34[[#This Row],[rest of Italy acc. fit]]*NOT(ISBLANK(Tabella34[[#This Row],[rest of Italy data]]))</f>
        <v>-63.474071281982802</v>
      </c>
      <c r="BU103" s="95">
        <f>Tabella34[[#This Row],[rest of Italy acc. fit]]+CIa</f>
        <v>5275.3653638780343</v>
      </c>
      <c r="BV103" s="95">
        <f>MAX(Tabella34[[#This Row],[rest of Italy acc. fit]]-CIa,0)</f>
        <v>0</v>
      </c>
    </row>
    <row r="104" spans="2:74" x14ac:dyDescent="0.3">
      <c r="B104" s="281">
        <v>43927</v>
      </c>
      <c r="C104" s="4">
        <v>97</v>
      </c>
      <c r="D104" s="10">
        <f>Tabella8[[#This Row],[Spain cum. Cases]]</f>
        <v>136675</v>
      </c>
      <c r="E104" s="90">
        <f>(Tabella34[[#This Row],[Spain cumul. Cases]]-D103)</f>
        <v>5029</v>
      </c>
      <c r="F104" s="90">
        <f>Tabella34[[#This Row],[Spain daily cases]]-E103</f>
        <v>-449</v>
      </c>
      <c r="G104" s="95">
        <f>Tabella34[[#This Row],[Spain daily cases]]*NOT(ISBLANK(Tabella34[[#This Row],[Spain daily cases]]))</f>
        <v>5029</v>
      </c>
      <c r="H104" s="157">
        <f>Tabella8[[#This Row],[Spain cum. fit]]</f>
        <v>127598.81845311921</v>
      </c>
      <c r="I104" s="157">
        <f>_xlfn.LOGNORM.INV(alpha*Tabella34[[#This Row],[Spain cumul. Fit]]/Kt,mu_t,sigma_t)-(Tabella34[[#This Row],[Day]]-pt)</f>
        <v>30.126726709838465</v>
      </c>
      <c r="J104" s="157">
        <f>Tabella34[[#This Row],[Spain fitted d.t.]]/Spain_dt_at_lockdown</f>
        <v>8.0392081112340978</v>
      </c>
      <c r="K104" s="95">
        <f>Tabella34[[#This Row],[Spain cumul. Fit]]/Kf</f>
        <v>0.45571023554324058</v>
      </c>
      <c r="L104" s="160"/>
      <c r="M104" s="95"/>
      <c r="N104" s="157">
        <f>IFERROR(Kt*_xlfn.LOGNORM.DIST((Tabella34[[#This Row],[Day]]-pt),mu_t,sigma_t,FALSE),0)</f>
        <v>6592.4187821421056</v>
      </c>
      <c r="O104" s="157" t="e">
        <f>Kt*EXP(-0.5*Tabella34[[#This Row],[x_t]]^2)/(sigma_t*SQRTPI(2)*(Tabella34[[#This Row],[Day]]-D_bk))</f>
        <v>#NAME?</v>
      </c>
      <c r="P104" s="199">
        <f>Tabella34[[#This Row],[Spain fitted velocity]]/Tabella34[[#This Row],[Spain cumul. Fit]]</f>
        <v>5.1665202405962805E-2</v>
      </c>
      <c r="Q104" s="262">
        <f>(LN(Tabella34[[#This Row],[Day]]-pt)-mu_t)/sigma_t</f>
        <v>-0.11124701413763681</v>
      </c>
      <c r="R104" s="262">
        <f>EXP(mu_t+sigma_t*Tabella34[[#This Row],[x_t_alpha©+plus]])-(Tabella34[[#This Row],[Day]]-pt)</f>
        <v>19.992355070135019</v>
      </c>
      <c r="S104" s="262">
        <f>EXP(mu_t+sigma_t*Tabella34[[#This Row],[x_t_alpha©-minus]])-(Tabella34[[#This Row],[Day]]-pt)</f>
        <v>-19.012291703173972</v>
      </c>
      <c r="T104" s="262">
        <f>-sigma_t+SQRT(sigma_t^2-2*Tabella34[[#This Row],[c_t]])</f>
        <v>0.91917425974357281</v>
      </c>
      <c r="U104" s="262">
        <f>-sigma_t-SQRT(sigma_t^2-2*Tabella34[[#This Row],[c_t]])</f>
        <v>-1.4566136095867401</v>
      </c>
      <c r="V104" s="262">
        <f>mu_t-LN(alpha*Kt/(Tabella34[[#This Row],[Spain fitted velocity]]*sigma_t*SQRTPI(2)))</f>
        <v>-0.66944086816215265</v>
      </c>
      <c r="W104" s="262">
        <f>Tabella34[[#This Row],[Spain fitted g.r.]]/Spain_gr_at_lockdown</f>
        <v>0.24933129994616504</v>
      </c>
      <c r="X104" s="262">
        <f>Tabella34[[#This Row],[t_alpha_t+plus]]</f>
        <v>19.992355070135019</v>
      </c>
      <c r="Y104" s="262">
        <f>Tabella34[[#This Row],[Spain fitted h.t.]]/Spain_ht_at_lockdown</f>
        <v>0.3247590976808104</v>
      </c>
      <c r="Z104" s="90">
        <f>IFERROR(-Kf*_xlfn.LOGNORM.DIST((Tabella34[[#This Row],[Day]]-pf),mu_f,sigma_f,FALSE)*(1+(LN((Tabella34[[#This Row],[Day]]-pf))-mu_f)/sigma_f^2)/(Tabella34[[#This Row],[Day]]-pf),0)</f>
        <v>-61.647319608533643</v>
      </c>
      <c r="AA104" s="90">
        <f>Tabella34[[#This Row],[Spain acc. fit]]/Spain_acc_at_lockdown</f>
        <v>-0.2100736858276997</v>
      </c>
      <c r="AB104" s="95">
        <f>Tabella34[[#This Row],[Spain acc. fit]]/y_f_peak</f>
        <v>-9.2360158927111795E-3</v>
      </c>
      <c r="AC104" s="157">
        <f>Tabella34[[#This Row],[Colonna4]]*NOT(ISBLANK(Tabella34[[#This Row],[Spain daily cases]]))</f>
        <v>0</v>
      </c>
      <c r="AD104" s="157">
        <f>Tabella34[[#This Row],[Spain acc. fit]]*NOT(ISBLANK(Tabella34[[#This Row],[Spain daily cases]]))</f>
        <v>-61.647319608533643</v>
      </c>
      <c r="AE104" s="95">
        <f>Tabella34[[#This Row],[Spain acc. fit]]+CIf</f>
        <v>2281.0410980725592</v>
      </c>
      <c r="AF104" s="95">
        <f>MAX(Tabella34[[#This Row],[Spain acc. fit]]-CIf,0)</f>
        <v>0</v>
      </c>
      <c r="AG104" s="4">
        <f>Tabella8[[#This Row],[Lombardy]]</f>
        <v>0</v>
      </c>
      <c r="AH104" s="90">
        <f>(Tabella34[[#This Row],[Lombardy cumul. Data]]-AG103)</f>
        <v>0</v>
      </c>
      <c r="AI104" s="90">
        <f>Tabella34[[#This Row],[Lombardy data]]-AH103</f>
        <v>0</v>
      </c>
      <c r="AJ104" s="95">
        <f>Tabella34[[#This Row],[Lombardy data]]*NOT(ISBLANK(Tabella34[[#This Row],[Lombardy data]]))</f>
        <v>0</v>
      </c>
      <c r="AK104" s="95">
        <f>Tabella8[[#This Row],[Lombardy fit]]</f>
        <v>50383.497090705459</v>
      </c>
      <c r="AL104" s="157" t="e">
        <f>_xlfn.LOGNORM.INV(alpha*Tabella34[[#This Row],[Lombardy cumul. Fit]]/Kr,mu_r,sigma_r)-(Tabella34[[#This Row],[Day]]-pr)</f>
        <v>#NUM!</v>
      </c>
      <c r="AM104" s="95">
        <f>Tabella34[[#This Row],[Lombardy cumul. Fit]]/Kl</f>
        <v>0.5791206562150053</v>
      </c>
      <c r="AN104" s="95">
        <f>IFERROR(Kr*_xlfn.LOGNORM.DIST((Tabella34[[#This Row],[Day]]-pr),mu_r,sigma_r,FALSE),0)</f>
        <v>1519.3949138216258</v>
      </c>
      <c r="AO104" s="202">
        <f>Tabella34[[#This Row],[Lombardy velocity]]/Tabella34[[#This Row],[Lombardy cumul. Fit]]</f>
        <v>3.0156598917424442E-2</v>
      </c>
      <c r="AP104" s="259">
        <f>(LN(Tabella34[[#This Row],[Day]]-pr)-mu_r)/sigma_r</f>
        <v>0.19964441662067278</v>
      </c>
      <c r="AQ104" s="262">
        <f>EXP(mu_r+sigma_r*Tabella34[[#This Row],[x_r_alpha©+plus]])-(Tabella34[[#This Row],[Day]]-pr)</f>
        <v>19.286289731619561</v>
      </c>
      <c r="AR104" s="262">
        <f>EXP(mu_r+sigma_r*Tabella34[[#This Row],[x_r_alpha©-minus]])-(Tabella34[[#This Row],[Day]]-pr)</f>
        <v>-30.563591039066452</v>
      </c>
      <c r="AS104" s="262">
        <f>-sigma_r+SQRT(sigma_r^2-2*Tabella34[[#This Row],[c_r]])</f>
        <v>0.9549382168843461</v>
      </c>
      <c r="AT104" s="262">
        <f>-sigma_r-SQRT(sigma_r^2-2*Tabella34[[#This Row],[c_r]])</f>
        <v>-1.6357928140780753</v>
      </c>
      <c r="AU104" s="262">
        <f>mu_r-LN(alpha*Kr/(Tabella34[[#This Row],[Lombardy velocity]]*sigma_r*SQRTPI(2)))</f>
        <v>-0.78104053653397187</v>
      </c>
      <c r="AV104" s="262">
        <f>Tabella34[[#This Row],[t_alpha_r+plus]]</f>
        <v>19.286289731619561</v>
      </c>
      <c r="AW104" s="90">
        <f>IFERROR(-Kl*_xlfn.LOGNORM.DIST((Tabella34[[#This Row],[Day]]-pl),mu_l,sigma_l,FALSE)*(1+(LN((Tabella34[[#This Row],[Day]]-pl))-mu_l)/sigma_l^2)/(Tabella34[[#This Row],[Day]]-pl),0)</f>
        <v>-36.645316965780012</v>
      </c>
      <c r="AX104" s="95">
        <f>Tabella34[[#This Row],[Lombardy acc. fit]]/y_l_peak</f>
        <v>-2.0845430042227272E-2</v>
      </c>
      <c r="AY104" s="157">
        <f>Tabella34[[#This Row],[Lombardy acc. fit]]*NOT(ISBLANK(Tabella34[[#This Row],[Lombardy data]]))</f>
        <v>-36.645316965780012</v>
      </c>
      <c r="AZ104" s="95">
        <f>Tabella34[[#This Row],[Lombardy acc. fit]]+CIl</f>
        <v>2533.7370059506284</v>
      </c>
      <c r="BA104" s="95">
        <f>MAX(Tabella34[[#This Row],[Lombardy acc. fit]]-CIl,0)</f>
        <v>0</v>
      </c>
      <c r="BB104" s="10">
        <f>Tabella8[[#This Row],[rest of Italy ]]</f>
        <v>136675</v>
      </c>
      <c r="BC104" s="10">
        <f>(Tabella34[[#This Row],[rest of Italy cum. Data]]-BB103)</f>
        <v>5029</v>
      </c>
      <c r="BD104" s="10">
        <f>Tabella34[[#This Row],[rest of Italy data]]-BC103</f>
        <v>-449</v>
      </c>
      <c r="BE104" s="95">
        <f>Tabella34[[#This Row],[rest of Italy data]]*NOT(ISBLANK(Tabella34[[#This Row],[rest of Italy data]]))</f>
        <v>5029</v>
      </c>
      <c r="BF104" s="95">
        <f>Tabella8[[#This Row],[rest of Italy fit]]</f>
        <v>80449.821956939806</v>
      </c>
      <c r="BG104" s="157" t="e">
        <f>_xlfn.LOGNORM.INV(alpha*Tabella34[[#This Row],[rest of Italy cumul. Fit]]/Ko,mu_o,sigma_o)-(Tabella34[[#This Row],[Day]]-po)</f>
        <v>#NUM!</v>
      </c>
      <c r="BH104" s="95">
        <f>Tabella34[[#This Row],[rest of Italy cumul. Fit]]/Ka</f>
        <v>0.54357994136639032</v>
      </c>
      <c r="BI104" s="157">
        <f>IFERROR(Ko*_xlfn.LOGNORM.DIST((Tabella34[[#This Row],[Day]]-po),mu_o,sigma_o,FALSE),0)</f>
        <v>3079.5019583444746</v>
      </c>
      <c r="BJ104" s="199">
        <f>Tabella34[[#This Row],[rest of Italy velocity]]/Tabella34[[#This Row],[rest of Italy cumul. Fit]]</f>
        <v>3.8278542866045817E-2</v>
      </c>
      <c r="BK104" s="254">
        <f>(LN(Tabella34[[#This Row],[Day]]-po)-mu_o)/sigma_o</f>
        <v>0.10945688469245264</v>
      </c>
      <c r="BL104" s="262">
        <f>EXP(mu_o+sigma_o*Tabella34[[#This Row],[x_o_alpha©+plus]])-(Tabella34[[#This Row],[Day]]-po)</f>
        <v>17.952340750478854</v>
      </c>
      <c r="BM104" s="262">
        <f>EXP(mu_o+sigma_o*Tabella34[[#This Row],[x_o_alpha©-minus]])-(Tabella34[[#This Row],[Day]]-po)</f>
        <v>-24.791713154592813</v>
      </c>
      <c r="BN104" s="262">
        <f>-sigma_o+SQRT(sigma_o^2-2*Tabella34[[#This Row],[c_o]])</f>
        <v>0.93231043139693248</v>
      </c>
      <c r="BO104" s="262">
        <f>-sigma_o-SQRT(sigma_o^2-2*Tabella34[[#This Row],[c_o]])</f>
        <v>-1.5752832086959585</v>
      </c>
      <c r="BP104" s="262">
        <f>mu_o-LN(alpha*Ko/(Tabella34[[#This Row],[rest of Italy velocity]]*sigma_o*SQRTPI(2)))</f>
        <v>-0.73432648393583655</v>
      </c>
      <c r="BQ104" s="262">
        <f>Tabella34[[#This Row],[t_alpha_o+plus]]</f>
        <v>17.952340750478854</v>
      </c>
      <c r="BR104" s="90">
        <f>IFERROR(-Ka*_xlfn.LOGNORM.DIST((Tabella34[[#This Row],[Day]]-pa),mu_a,sigma_a,FALSE)*(1+(LN((Tabella34[[#This Row],[Day]]-pa))-mu_a)/sigma_a^2)/(Tabella34[[#This Row],[Day]]-pa),0)</f>
        <v>-69.632332707767702</v>
      </c>
      <c r="BS104" s="95">
        <f>Tabella34[[#This Row],[rest of Italy acc. fit]]/y_a_peak</f>
        <v>-2.0606469406994583E-2</v>
      </c>
      <c r="BT104" s="95">
        <f>Tabella34[[#This Row],[rest of Italy acc. fit]]*NOT(ISBLANK(Tabella34[[#This Row],[rest of Italy data]]))</f>
        <v>-69.632332707767702</v>
      </c>
      <c r="BU104" s="95">
        <f>Tabella34[[#This Row],[rest of Italy acc. fit]]+CIa</f>
        <v>5269.2071024522493</v>
      </c>
      <c r="BV104" s="95">
        <f>MAX(Tabella34[[#This Row],[rest of Italy acc. fit]]-CIa,0)</f>
        <v>0</v>
      </c>
    </row>
    <row r="105" spans="2:74" x14ac:dyDescent="0.3">
      <c r="B105" s="281">
        <v>43928</v>
      </c>
      <c r="C105" s="4">
        <v>98</v>
      </c>
      <c r="D105" s="10">
        <f>Tabella8[[#This Row],[Spain cum. Cases]]</f>
        <v>141942</v>
      </c>
      <c r="E105" s="90">
        <f>(Tabella34[[#This Row],[Spain cumul. Cases]]-D104)</f>
        <v>5267</v>
      </c>
      <c r="F105" s="90">
        <f>Tabella34[[#This Row],[Spain daily cases]]-E104</f>
        <v>238</v>
      </c>
      <c r="G105" s="95">
        <f>Tabella34[[#This Row],[Spain daily cases]]*NOT(ISBLANK(Tabella34[[#This Row],[Spain daily cases]]))</f>
        <v>5267</v>
      </c>
      <c r="H105" s="157">
        <f>Tabella8[[#This Row],[Spain cum. fit]]</f>
        <v>134156.87077949292</v>
      </c>
      <c r="I105" s="157">
        <f>_xlfn.LOGNORM.INV(alpha*Tabella34[[#This Row],[Spain cumul. Fit]]/Kt,mu_t,sigma_t)-(Tabella34[[#This Row],[Day]]-pt)</f>
        <v>39.139577177477264</v>
      </c>
      <c r="J105" s="157">
        <f>Tabella34[[#This Row],[Spain fitted d.t.]]/Spain_dt_at_lockdown</f>
        <v>10.444254676120947</v>
      </c>
      <c r="K105" s="95">
        <f>Tabella34[[#This Row],[Spain cumul. Fit]]/Kf</f>
        <v>0.47913185971333183</v>
      </c>
      <c r="L105" s="160"/>
      <c r="M105" s="95"/>
      <c r="N105" s="157">
        <f>IFERROR(Kt*_xlfn.LOGNORM.DIST((Tabella34[[#This Row],[Day]]-pt),mu_t,sigma_t,FALSE),0)</f>
        <v>6520.2156105477125</v>
      </c>
      <c r="O105" s="157" t="e">
        <f>Kt*EXP(-0.5*Tabella34[[#This Row],[x_t]]^2)/(sigma_t*SQRTPI(2)*(Tabella34[[#This Row],[Day]]-D_bk))</f>
        <v>#NAME?</v>
      </c>
      <c r="P105" s="199">
        <f>Tabella34[[#This Row],[Spain fitted velocity]]/Tabella34[[#This Row],[Spain cumul. Fit]]</f>
        <v>4.8601428854618052E-2</v>
      </c>
      <c r="Q105" s="262">
        <f>(LN(Tabella34[[#This Row],[Day]]-pt)-mu_t)/sigma_t</f>
        <v>-5.2332547824525698E-2</v>
      </c>
      <c r="R105" s="262">
        <f>EXP(mu_t+sigma_t*Tabella34[[#This Row],[x_t_alpha©+plus]])-(Tabella34[[#This Row],[Day]]-pt)</f>
        <v>19.197739084152488</v>
      </c>
      <c r="S105" s="262">
        <f>EXP(mu_t+sigma_t*Tabella34[[#This Row],[x_t_alpha©-minus]])-(Tabella34[[#This Row],[Day]]-pt)</f>
        <v>-20.120491435080339</v>
      </c>
      <c r="T105" s="262">
        <f>-sigma_t+SQRT(sigma_t^2-2*Tabella34[[#This Row],[c_t]])</f>
        <v>0.92840928634082309</v>
      </c>
      <c r="U105" s="262">
        <f>-sigma_t-SQRT(sigma_t^2-2*Tabella34[[#This Row],[c_t]])</f>
        <v>-1.4658486361839904</v>
      </c>
      <c r="V105" s="262">
        <f>mu_t-LN(alpha*Kt/(Tabella34[[#This Row],[Spain fitted velocity]]*sigma_t*SQRTPI(2)))</f>
        <v>-0.68045374310162376</v>
      </c>
      <c r="W105" s="262">
        <f>Tabella34[[#This Row],[Spain fitted g.r.]]/Spain_gr_at_lockdown</f>
        <v>0.23454582332507079</v>
      </c>
      <c r="X105" s="262">
        <f>Tabella34[[#This Row],[t_alpha_t+plus]]</f>
        <v>19.197739084152488</v>
      </c>
      <c r="Y105" s="262">
        <f>Tabella34[[#This Row],[Spain fitted h.t.]]/Spain_ht_at_lockdown</f>
        <v>0.31185122516128277</v>
      </c>
      <c r="Z105" s="90">
        <f>IFERROR(-Kf*_xlfn.LOGNORM.DIST((Tabella34[[#This Row],[Day]]-pf),mu_f,sigma_f,FALSE)*(1+(LN((Tabella34[[#This Row],[Day]]-pf))-mu_f)/sigma_f^2)/(Tabella34[[#This Row],[Day]]-pf),0)</f>
        <v>-82.467361563200726</v>
      </c>
      <c r="AA105" s="90">
        <f>Tabella34[[#This Row],[Spain acc. fit]]/Spain_acc_at_lockdown</f>
        <v>-0.28102150611052695</v>
      </c>
      <c r="AB105" s="95">
        <f>Tabella34[[#This Row],[Spain acc. fit]]/y_f_peak</f>
        <v>-1.2355279464936307E-2</v>
      </c>
      <c r="AC105" s="157">
        <f>Tabella34[[#This Row],[Colonna4]]*NOT(ISBLANK(Tabella34[[#This Row],[Spain daily cases]]))</f>
        <v>0</v>
      </c>
      <c r="AD105" s="157">
        <f>Tabella34[[#This Row],[Spain acc. fit]]*NOT(ISBLANK(Tabella34[[#This Row],[Spain daily cases]]))</f>
        <v>-82.467361563200726</v>
      </c>
      <c r="AE105" s="95">
        <f>Tabella34[[#This Row],[Spain acc. fit]]+CIf</f>
        <v>2260.2210561178917</v>
      </c>
      <c r="AF105" s="95">
        <f>MAX(Tabella34[[#This Row],[Spain acc. fit]]-CIf,0)</f>
        <v>0</v>
      </c>
      <c r="AG105" s="4">
        <f>Tabella8[[#This Row],[Lombardy]]</f>
        <v>0</v>
      </c>
      <c r="AH105" s="90">
        <f>(Tabella34[[#This Row],[Lombardy cumul. Data]]-AG104)</f>
        <v>0</v>
      </c>
      <c r="AI105" s="90">
        <f>Tabella34[[#This Row],[Lombardy data]]-AH104</f>
        <v>0</v>
      </c>
      <c r="AJ105" s="95">
        <f>Tabella34[[#This Row],[Lombardy data]]*NOT(ISBLANK(Tabella34[[#This Row],[Lombardy data]]))</f>
        <v>0</v>
      </c>
      <c r="AK105" s="95">
        <f>Tabella8[[#This Row],[Lombardy fit]]</f>
        <v>51884.31597367175</v>
      </c>
      <c r="AL105" s="157" t="e">
        <f>_xlfn.LOGNORM.INV(alpha*Tabella34[[#This Row],[Lombardy cumul. Fit]]/Kr,mu_r,sigma_r)-(Tabella34[[#This Row],[Day]]-pr)</f>
        <v>#NUM!</v>
      </c>
      <c r="AM105" s="95">
        <f>Tabella34[[#This Row],[Lombardy cumul. Fit]]/Kl</f>
        <v>0.59637144797323849</v>
      </c>
      <c r="AN105" s="95">
        <f>IFERROR(Kr*_xlfn.LOGNORM.DIST((Tabella34[[#This Row],[Day]]-pr),mu_r,sigma_r,FALSE),0)</f>
        <v>1482.0008510551986</v>
      </c>
      <c r="AO105" s="202">
        <f>Tabella34[[#This Row],[Lombardy velocity]]/Tabella34[[#This Row],[Lombardy cumul. Fit]]</f>
        <v>2.8563561516494255E-2</v>
      </c>
      <c r="AP105" s="259">
        <f>(LN(Tabella34[[#This Row],[Day]]-pr)-mu_r)/sigma_r</f>
        <v>0.24396606249483757</v>
      </c>
      <c r="AQ105" s="262">
        <f>EXP(mu_r+sigma_r*Tabella34[[#This Row],[x_r_alpha©+plus]])-(Tabella34[[#This Row],[Day]]-pr)</f>
        <v>18.84108538212368</v>
      </c>
      <c r="AR105" s="262">
        <f>EXP(mu_r+sigma_r*Tabella34[[#This Row],[x_r_alpha©-minus]])-(Tabella34[[#This Row],[Day]]-pr)</f>
        <v>-31.791772996131385</v>
      </c>
      <c r="AS105" s="262">
        <f>-sigma_r+SQRT(sigma_r^2-2*Tabella34[[#This Row],[c_r]])</f>
        <v>0.97403455387659021</v>
      </c>
      <c r="AT105" s="262">
        <f>-sigma_r-SQRT(sigma_r^2-2*Tabella34[[#This Row],[c_r]])</f>
        <v>-1.6548891510703194</v>
      </c>
      <c r="AU105" s="262">
        <f>mu_r-LN(alpha*Kr/(Tabella34[[#This Row],[Lombardy velocity]]*sigma_r*SQRTPI(2)))</f>
        <v>-0.80595960798899391</v>
      </c>
      <c r="AV105" s="262">
        <f>Tabella34[[#This Row],[t_alpha_r+plus]]</f>
        <v>18.84108538212368</v>
      </c>
      <c r="AW105" s="90">
        <f>IFERROR(-Kl*_xlfn.LOGNORM.DIST((Tabella34[[#This Row],[Day]]-pl),mu_l,sigma_l,FALSE)*(1+(LN((Tabella34[[#This Row],[Day]]-pl))-mu_l)/sigma_l^2)/(Tabella34[[#This Row],[Day]]-pl),0)</f>
        <v>-38.097575930760819</v>
      </c>
      <c r="AX105" s="95">
        <f>Tabella34[[#This Row],[Lombardy acc. fit]]/y_l_peak</f>
        <v>-2.1671537309520775E-2</v>
      </c>
      <c r="AY105" s="157">
        <f>Tabella34[[#This Row],[Lombardy acc. fit]]*NOT(ISBLANK(Tabella34[[#This Row],[Lombardy data]]))</f>
        <v>-38.097575930760819</v>
      </c>
      <c r="AZ105" s="95">
        <f>Tabella34[[#This Row],[Lombardy acc. fit]]+CIl</f>
        <v>2532.2847469856479</v>
      </c>
      <c r="BA105" s="95">
        <f>MAX(Tabella34[[#This Row],[Lombardy acc. fit]]-CIl,0)</f>
        <v>0</v>
      </c>
      <c r="BB105" s="10">
        <f>Tabella8[[#This Row],[rest of Italy ]]</f>
        <v>141942</v>
      </c>
      <c r="BC105" s="10">
        <f>(Tabella34[[#This Row],[rest of Italy cum. Data]]-BB104)</f>
        <v>5267</v>
      </c>
      <c r="BD105" s="10">
        <f>Tabella34[[#This Row],[rest of Italy data]]-BC104</f>
        <v>238</v>
      </c>
      <c r="BE105" s="95">
        <f>Tabella34[[#This Row],[rest of Italy data]]*NOT(ISBLANK(Tabella34[[#This Row],[rest of Italy data]]))</f>
        <v>5267</v>
      </c>
      <c r="BF105" s="95">
        <f>Tabella8[[#This Row],[rest of Italy fit]]</f>
        <v>83493.588033471126</v>
      </c>
      <c r="BG105" s="157" t="e">
        <f>_xlfn.LOGNORM.INV(alpha*Tabella34[[#This Row],[rest of Italy cumul. Fit]]/Ko,mu_o,sigma_o)-(Tabella34[[#This Row],[Day]]-po)</f>
        <v>#NUM!</v>
      </c>
      <c r="BH105" s="95">
        <f>Tabella34[[#This Row],[rest of Italy cumul. Fit]]/Ka</f>
        <v>0.56414593076409814</v>
      </c>
      <c r="BI105" s="157">
        <f>IFERROR(Ko*_xlfn.LOGNORM.DIST((Tabella34[[#This Row],[Day]]-po),mu_o,sigma_o,FALSE),0)</f>
        <v>3007.145344209152</v>
      </c>
      <c r="BJ105" s="199">
        <f>Tabella34[[#This Row],[rest of Italy velocity]]/Tabella34[[#This Row],[rest of Italy cumul. Fit]]</f>
        <v>3.601648240345881E-2</v>
      </c>
      <c r="BK105" s="254">
        <f>(LN(Tabella34[[#This Row],[Day]]-po)-mu_o)/sigma_o</f>
        <v>0.16148917257031861</v>
      </c>
      <c r="BL105" s="262">
        <f>EXP(mu_o+sigma_o*Tabella34[[#This Row],[x_o_alpha©+plus]])-(Tabella34[[#This Row],[Day]]-po)</f>
        <v>17.421118072746367</v>
      </c>
      <c r="BM105" s="262">
        <f>EXP(mu_o+sigma_o*Tabella34[[#This Row],[x_o_alpha©-minus]])-(Tabella34[[#This Row],[Day]]-po)</f>
        <v>-25.999792501965125</v>
      </c>
      <c r="BN105" s="262">
        <f>-sigma_o+SQRT(sigma_o^2-2*Tabella34[[#This Row],[c_o]])</f>
        <v>0.95113286071594561</v>
      </c>
      <c r="BO105" s="262">
        <f>-sigma_o-SQRT(sigma_o^2-2*Tabella34[[#This Row],[c_o]])</f>
        <v>-1.5941056380149718</v>
      </c>
      <c r="BP105" s="262">
        <f>mu_o-LN(alpha*Ko/(Tabella34[[#This Row],[rest of Italy velocity]]*sigma_o*SQRTPI(2)))</f>
        <v>-0.7581031278842989</v>
      </c>
      <c r="BQ105" s="262">
        <f>Tabella34[[#This Row],[t_alpha_o+plus]]</f>
        <v>17.421118072746367</v>
      </c>
      <c r="BR105" s="90">
        <f>IFERROR(-Ka*_xlfn.LOGNORM.DIST((Tabella34[[#This Row],[Day]]-pa),mu_a,sigma_a,FALSE)*(1+(LN((Tabella34[[#This Row],[Day]]-pa))-mu_a)/sigma_a^2)/(Tabella34[[#This Row],[Day]]-pa),0)</f>
        <v>-74.941985160700028</v>
      </c>
      <c r="BS105" s="95">
        <f>Tabella34[[#This Row],[rest of Italy acc. fit]]/y_a_peak</f>
        <v>-2.2177768063501007E-2</v>
      </c>
      <c r="BT105" s="95">
        <f>Tabella34[[#This Row],[rest of Italy acc. fit]]*NOT(ISBLANK(Tabella34[[#This Row],[rest of Italy data]]))</f>
        <v>-74.941985160700028</v>
      </c>
      <c r="BU105" s="95">
        <f>Tabella34[[#This Row],[rest of Italy acc. fit]]+CIa</f>
        <v>5263.8974499993174</v>
      </c>
      <c r="BV105" s="95">
        <f>MAX(Tabella34[[#This Row],[rest of Italy acc. fit]]-CIa,0)</f>
        <v>0</v>
      </c>
    </row>
    <row r="106" spans="2:74" x14ac:dyDescent="0.3">
      <c r="B106" s="281">
        <v>43929</v>
      </c>
      <c r="C106" s="4">
        <v>99</v>
      </c>
      <c r="D106" s="10">
        <f>Tabella8[[#This Row],[Spain cum. Cases]]</f>
        <v>148220</v>
      </c>
      <c r="E106" s="90">
        <f>(Tabella34[[#This Row],[Spain cumul. Cases]]-D105)</f>
        <v>6278</v>
      </c>
      <c r="F106" s="90">
        <f>Tabella34[[#This Row],[Spain daily cases]]-E105</f>
        <v>1011</v>
      </c>
      <c r="G106" s="95">
        <f>Tabella34[[#This Row],[Spain daily cases]]*NOT(ISBLANK(Tabella34[[#This Row],[Spain daily cases]]))</f>
        <v>6278</v>
      </c>
      <c r="H106" s="157">
        <f>Tabella8[[#This Row],[Spain cum. fit]]</f>
        <v>140632.60496872157</v>
      </c>
      <c r="I106" s="157" t="e">
        <f>_xlfn.LOGNORM.INV(alpha*Tabella34[[#This Row],[Spain cumul. Fit]]/Kt,mu_t,sigma_t)-(Tabella34[[#This Row],[Day]]-pt)</f>
        <v>#NUM!</v>
      </c>
      <c r="J106" s="157" t="e">
        <f>Tabella34[[#This Row],[Spain fitted d.t.]]/Spain_dt_at_lockdown</f>
        <v>#NUM!</v>
      </c>
      <c r="K106" s="95">
        <f>Tabella34[[#This Row],[Spain cumul. Fit]]/Kf</f>
        <v>0.50225949042703666</v>
      </c>
      <c r="L106" s="160"/>
      <c r="M106" s="95"/>
      <c r="N106" s="157">
        <f>IFERROR(Kt*_xlfn.LOGNORM.DIST((Tabella34[[#This Row],[Day]]-pt),mu_t,sigma_t,FALSE),0)</f>
        <v>6428.0807604193878</v>
      </c>
      <c r="O106" s="157" t="e">
        <f>Kt*EXP(-0.5*Tabella34[[#This Row],[x_t]]^2)/(sigma_t*SQRTPI(2)*(Tabella34[[#This Row],[Day]]-D_bk))</f>
        <v>#NAME?</v>
      </c>
      <c r="P106" s="199">
        <f>Tabella34[[#This Row],[Spain fitted velocity]]/Tabella34[[#This Row],[Spain cumul. Fit]]</f>
        <v>4.5708324622508928E-2</v>
      </c>
      <c r="Q106" s="262">
        <f>(LN(Tabella34[[#This Row],[Day]]-pt)-mu_t)/sigma_t</f>
        <v>5.6637328706036789E-3</v>
      </c>
      <c r="R106" s="262">
        <f>EXP(mu_t+sigma_t*Tabella34[[#This Row],[x_t_alpha©+plus]])-(Tabella34[[#This Row],[Day]]-pt)</f>
        <v>18.46156954004627</v>
      </c>
      <c r="S106" s="262">
        <f>EXP(mu_t+sigma_t*Tabella34[[#This Row],[x_t_alpha©-minus]])-(Tabella34[[#This Row],[Day]]-pt)</f>
        <v>-21.25869720324139</v>
      </c>
      <c r="T106" s="262">
        <f>-sigma_t+SQRT(sigma_t^2-2*Tabella34[[#This Row],[c_t]])</f>
        <v>0.94023880889477329</v>
      </c>
      <c r="U106" s="262">
        <f>-sigma_t-SQRT(sigma_t^2-2*Tabella34[[#This Row],[c_t]])</f>
        <v>-1.4776781587379406</v>
      </c>
      <c r="V106" s="262">
        <f>mu_t-LN(alpha*Kt/(Tabella34[[#This Row],[Spain fitted velocity]]*sigma_t*SQRTPI(2)))</f>
        <v>-0.69468517595079149</v>
      </c>
      <c r="W106" s="262">
        <f>Tabella34[[#This Row],[Spain fitted g.r.]]/Spain_gr_at_lockdown</f>
        <v>0.220583980431211</v>
      </c>
      <c r="X106" s="262">
        <f>Tabella34[[#This Row],[t_alpha_t+plus]]</f>
        <v>18.46156954004627</v>
      </c>
      <c r="Y106" s="262">
        <f>Tabella34[[#This Row],[Spain fitted h.t.]]/Spain_ht_at_lockdown</f>
        <v>0.29989276623809324</v>
      </c>
      <c r="Z106" s="90">
        <f>IFERROR(-Kf*_xlfn.LOGNORM.DIST((Tabella34[[#This Row],[Day]]-pf),mu_f,sigma_f,FALSE)*(1+(LN((Tabella34[[#This Row],[Day]]-pf))-mu_f)/sigma_f^2)/(Tabella34[[#This Row],[Day]]-pf),0)</f>
        <v>-101.49847678317107</v>
      </c>
      <c r="AA106" s="90">
        <f>Tabella34[[#This Row],[Spain acc. fit]]/Spain_acc_at_lockdown</f>
        <v>-0.34587325546569897</v>
      </c>
      <c r="AB106" s="95">
        <f>Tabella34[[#This Row],[Spain acc. fit]]/y_f_peak</f>
        <v>-1.5206525613898347E-2</v>
      </c>
      <c r="AC106" s="157">
        <f>Tabella34[[#This Row],[Colonna4]]*NOT(ISBLANK(Tabella34[[#This Row],[Spain daily cases]]))</f>
        <v>0</v>
      </c>
      <c r="AD106" s="157">
        <f>Tabella34[[#This Row],[Spain acc. fit]]*NOT(ISBLANK(Tabella34[[#This Row],[Spain daily cases]]))</f>
        <v>-101.49847678317107</v>
      </c>
      <c r="AE106" s="95">
        <f>Tabella34[[#This Row],[Spain acc. fit]]+CIf</f>
        <v>2241.1899408979216</v>
      </c>
      <c r="AF106" s="95">
        <f>MAX(Tabella34[[#This Row],[Spain acc. fit]]-CIf,0)</f>
        <v>0</v>
      </c>
      <c r="AG106" s="4">
        <f>Tabella8[[#This Row],[Lombardy]]</f>
        <v>0</v>
      </c>
      <c r="AH106" s="90">
        <f>(Tabella34[[#This Row],[Lombardy cumul. Data]]-AG105)</f>
        <v>0</v>
      </c>
      <c r="AI106" s="90">
        <f>Tabella34[[#This Row],[Lombardy data]]-AH105</f>
        <v>0</v>
      </c>
      <c r="AJ106" s="95">
        <f>Tabella34[[#This Row],[Lombardy data]]*NOT(ISBLANK(Tabella34[[#This Row],[Lombardy data]]))</f>
        <v>0</v>
      </c>
      <c r="AK106" s="95">
        <f>Tabella8[[#This Row],[Lombardy fit]]</f>
        <v>53347.059256157372</v>
      </c>
      <c r="AL106" s="157" t="e">
        <f>_xlfn.LOGNORM.INV(alpha*Tabella34[[#This Row],[Lombardy cumul. Fit]]/Kr,mu_r,sigma_r)-(Tabella34[[#This Row],[Day]]-pr)</f>
        <v>#NUM!</v>
      </c>
      <c r="AM106" s="95">
        <f>Tabella34[[#This Row],[Lombardy cumul. Fit]]/Kl</f>
        <v>0.61318458915123419</v>
      </c>
      <c r="AN106" s="95">
        <f>IFERROR(Kr*_xlfn.LOGNORM.DIST((Tabella34[[#This Row],[Day]]-pr),mu_r,sigma_r,FALSE),0)</f>
        <v>1443.2876596031119</v>
      </c>
      <c r="AO106" s="202">
        <f>Tabella34[[#This Row],[Lombardy velocity]]/Tabella34[[#This Row],[Lombardy cumul. Fit]]</f>
        <v>2.7054680796421336E-2</v>
      </c>
      <c r="AP106" s="259">
        <f>(LN(Tabella34[[#This Row],[Day]]-pr)-mu_r)/sigma_r</f>
        <v>0.28762889817253307</v>
      </c>
      <c r="AQ106" s="262">
        <f>EXP(mu_r+sigma_r*Tabella34[[#This Row],[x_r_alpha©+plus]])-(Tabella34[[#This Row],[Day]]-pr)</f>
        <v>18.425580196201395</v>
      </c>
      <c r="AR106" s="262">
        <f>EXP(mu_r+sigma_r*Tabella34[[#This Row],[x_r_alpha©-minus]])-(Tabella34[[#This Row],[Day]]-pr)</f>
        <v>-33.028992764521398</v>
      </c>
      <c r="AS106" s="262">
        <f>-sigma_r+SQRT(sigma_r^2-2*Tabella34[[#This Row],[c_r]])</f>
        <v>0.99401975820993593</v>
      </c>
      <c r="AT106" s="262">
        <f>-sigma_r-SQRT(sigma_r^2-2*Tabella34[[#This Row],[c_r]])</f>
        <v>-1.6748743554036651</v>
      </c>
      <c r="AU106" s="262">
        <f>mu_r-LN(alpha*Kr/(Tabella34[[#This Row],[Lombardy velocity]]*sigma_r*SQRTPI(2)))</f>
        <v>-0.83242910089518674</v>
      </c>
      <c r="AV106" s="262">
        <f>Tabella34[[#This Row],[t_alpha_r+plus]]</f>
        <v>18.425580196201395</v>
      </c>
      <c r="AW106" s="90">
        <f>IFERROR(-Kl*_xlfn.LOGNORM.DIST((Tabella34[[#This Row],[Day]]-pl),mu_l,sigma_l,FALSE)*(1+(LN((Tabella34[[#This Row],[Day]]-pl))-mu_l)/sigma_l^2)/(Tabella34[[#This Row],[Day]]-pl),0)</f>
        <v>-39.286166926325279</v>
      </c>
      <c r="AX106" s="95">
        <f>Tabella34[[#This Row],[Lombardy acc. fit]]/y_l_peak</f>
        <v>-2.2347658912452936E-2</v>
      </c>
      <c r="AY106" s="157">
        <f>Tabella34[[#This Row],[Lombardy acc. fit]]*NOT(ISBLANK(Tabella34[[#This Row],[Lombardy data]]))</f>
        <v>-39.286166926325279</v>
      </c>
      <c r="AZ106" s="95">
        <f>Tabella34[[#This Row],[Lombardy acc. fit]]+CIl</f>
        <v>2531.0961559900834</v>
      </c>
      <c r="BA106" s="95">
        <f>MAX(Tabella34[[#This Row],[Lombardy acc. fit]]-CIl,0)</f>
        <v>0</v>
      </c>
      <c r="BB106" s="10">
        <f>Tabella8[[#This Row],[rest of Italy ]]</f>
        <v>148220</v>
      </c>
      <c r="BC106" s="10">
        <f>(Tabella34[[#This Row],[rest of Italy cum. Data]]-BB105)</f>
        <v>6278</v>
      </c>
      <c r="BD106" s="10">
        <f>Tabella34[[#This Row],[rest of Italy data]]-BC105</f>
        <v>1011</v>
      </c>
      <c r="BE106" s="95">
        <f>Tabella34[[#This Row],[rest of Italy data]]*NOT(ISBLANK(Tabella34[[#This Row],[rest of Italy data]]))</f>
        <v>6278</v>
      </c>
      <c r="BF106" s="95">
        <f>Tabella8[[#This Row],[rest of Italy fit]]</f>
        <v>86462.480134613143</v>
      </c>
      <c r="BG106" s="157" t="e">
        <f>_xlfn.LOGNORM.INV(alpha*Tabella34[[#This Row],[rest of Italy cumul. Fit]]/Ko,mu_o,sigma_o)-(Tabella34[[#This Row],[Day]]-po)</f>
        <v>#NUM!</v>
      </c>
      <c r="BH106" s="95">
        <f>Tabella34[[#This Row],[rest of Italy cumul. Fit]]/Ka</f>
        <v>0.58420601486379575</v>
      </c>
      <c r="BI106" s="157">
        <f>IFERROR(Ko*_xlfn.LOGNORM.DIST((Tabella34[[#This Row],[Day]]-po),mu_o,sigma_o,FALSE),0)</f>
        <v>2929.8899935897552</v>
      </c>
      <c r="BJ106" s="199">
        <f>Tabella34[[#This Row],[rest of Italy velocity]]/Tabella34[[#This Row],[rest of Italy cumul. Fit]]</f>
        <v>3.3886258976474182E-2</v>
      </c>
      <c r="BK106" s="254">
        <f>(LN(Tabella34[[#This Row],[Day]]-po)-mu_o)/sigma_o</f>
        <v>0.21266538195361459</v>
      </c>
      <c r="BL106" s="262">
        <f>EXP(mu_o+sigma_o*Tabella34[[#This Row],[x_o_alpha©+plus]])-(Tabella34[[#This Row],[Day]]-po)</f>
        <v>16.929614759526316</v>
      </c>
      <c r="BM106" s="262">
        <f>EXP(mu_o+sigma_o*Tabella34[[#This Row],[x_o_alpha©-minus]])-(Tabella34[[#This Row],[Day]]-po)</f>
        <v>-27.222682069957159</v>
      </c>
      <c r="BN106" s="262">
        <f>-sigma_o+SQRT(sigma_o^2-2*Tabella34[[#This Row],[c_o]])</f>
        <v>0.97142214452611275</v>
      </c>
      <c r="BO106" s="262">
        <f>-sigma_o-SQRT(sigma_o^2-2*Tabella34[[#This Row],[c_o]])</f>
        <v>-1.6143949218251388</v>
      </c>
      <c r="BP106" s="262">
        <f>mu_o-LN(alpha*Ko/(Tabella34[[#This Row],[rest of Italy velocity]]*sigma_o*SQRTPI(2)))</f>
        <v>-0.78412948853572129</v>
      </c>
      <c r="BQ106" s="262">
        <f>Tabella34[[#This Row],[t_alpha_o+plus]]</f>
        <v>16.929614759526316</v>
      </c>
      <c r="BR106" s="90">
        <f>IFERROR(-Ka*_xlfn.LOGNORM.DIST((Tabella34[[#This Row],[Day]]-pa),mu_a,sigma_a,FALSE)*(1+(LN((Tabella34[[#This Row],[Day]]-pa))-mu_a)/sigma_a^2)/(Tabella34[[#This Row],[Day]]-pa),0)</f>
        <v>-79.435822089839561</v>
      </c>
      <c r="BS106" s="95">
        <f>Tabella34[[#This Row],[rest of Italy acc. fit]]/y_a_peak</f>
        <v>-2.3507640402963884E-2</v>
      </c>
      <c r="BT106" s="95">
        <f>Tabella34[[#This Row],[rest of Italy acc. fit]]*NOT(ISBLANK(Tabella34[[#This Row],[rest of Italy data]]))</f>
        <v>-79.435822089839561</v>
      </c>
      <c r="BU106" s="95">
        <f>Tabella34[[#This Row],[rest of Italy acc. fit]]+CIa</f>
        <v>5259.4036130701779</v>
      </c>
      <c r="BV106" s="95">
        <f>MAX(Tabella34[[#This Row],[rest of Italy acc. fit]]-CIa,0)</f>
        <v>0</v>
      </c>
    </row>
    <row r="107" spans="2:74" x14ac:dyDescent="0.3">
      <c r="B107" s="281">
        <v>43930</v>
      </c>
      <c r="C107" s="4">
        <v>100</v>
      </c>
      <c r="D107" s="10">
        <f>Tabella8[[#This Row],[Spain cum. Cases]]</f>
        <v>153222</v>
      </c>
      <c r="E107" s="90">
        <f>(Tabella34[[#This Row],[Spain cumul. Cases]]-D106)</f>
        <v>5002</v>
      </c>
      <c r="F107" s="90">
        <f>Tabella34[[#This Row],[Spain daily cases]]-E106</f>
        <v>-1276</v>
      </c>
      <c r="G107" s="95">
        <f>Tabella34[[#This Row],[Spain daily cases]]*NOT(ISBLANK(Tabella34[[#This Row],[Spain daily cases]]))</f>
        <v>5002</v>
      </c>
      <c r="H107" s="157">
        <f>Tabella8[[#This Row],[Spain cum. fit]]</f>
        <v>147006.99457020764</v>
      </c>
      <c r="I107" s="157" t="e">
        <f>_xlfn.LOGNORM.INV(alpha*Tabella34[[#This Row],[Spain cumul. Fit]]/Kt,mu_t,sigma_t)-(Tabella34[[#This Row],[Day]]-pt)</f>
        <v>#NUM!</v>
      </c>
      <c r="J107" s="157" t="e">
        <f>Tabella34[[#This Row],[Spain fitted d.t.]]/Spain_dt_at_lockdown</f>
        <v>#NUM!</v>
      </c>
      <c r="K107" s="95">
        <f>Tabella34[[#This Row],[Spain cumul. Fit]]/Kf</f>
        <v>0.52502517604978294</v>
      </c>
      <c r="L107" s="160"/>
      <c r="M107" s="95"/>
      <c r="N107" s="157">
        <f>IFERROR(Kt*_xlfn.LOGNORM.DIST((Tabella34[[#This Row],[Day]]-pt),mu_t,sigma_t,FALSE),0)</f>
        <v>6317.8340355287664</v>
      </c>
      <c r="O107" s="157" t="e">
        <f>Kt*EXP(-0.5*Tabella34[[#This Row],[x_t]]^2)/(sigma_t*SQRTPI(2)*(Tabella34[[#This Row],[Day]]-D_bk))</f>
        <v>#NAME?</v>
      </c>
      <c r="P107" s="199">
        <f>Tabella34[[#This Row],[Spain fitted velocity]]/Tabella34[[#This Row],[Spain cumul. Fit]]</f>
        <v>4.2976417918070518E-2</v>
      </c>
      <c r="Q107" s="262">
        <f>(LN(Tabella34[[#This Row],[Day]]-pt)-mu_t)/sigma_t</f>
        <v>6.2770009261666135E-2</v>
      </c>
      <c r="R107" s="262">
        <f>EXP(mu_t+sigma_t*Tabella34[[#This Row],[x_t_alpha©+plus]])-(Tabella34[[#This Row],[Day]]-pt)</f>
        <v>17.779956014972299</v>
      </c>
      <c r="S107" s="262">
        <f>EXP(mu_t+sigma_t*Tabella34[[#This Row],[x_t_alpha©-minus]])-(Tabella34[[#This Row],[Day]]-pt)</f>
        <v>-22.42431809023288</v>
      </c>
      <c r="T107" s="262">
        <f>-sigma_t+SQRT(sigma_t^2-2*Tabella34[[#This Row],[c_t]])</f>
        <v>0.95446460058223481</v>
      </c>
      <c r="U107" s="262">
        <f>-sigma_t-SQRT(sigma_t^2-2*Tabella34[[#This Row],[c_t]])</f>
        <v>-1.4919039504254021</v>
      </c>
      <c r="V107" s="262">
        <f>mu_t-LN(alpha*Kt/(Tabella34[[#This Row],[Spain fitted velocity]]*sigma_t*SQRTPI(2)))</f>
        <v>-0.71198475407492001</v>
      </c>
      <c r="W107" s="262">
        <f>Tabella34[[#This Row],[Spain fitted g.r.]]/Spain_gr_at_lockdown</f>
        <v>0.20740006130906974</v>
      </c>
      <c r="X107" s="262">
        <f>Tabella34[[#This Row],[t_alpha_t+plus]]</f>
        <v>17.779956014972299</v>
      </c>
      <c r="Y107" s="262">
        <f>Tabella34[[#This Row],[Spain fitted h.t.]]/Spain_ht_at_lockdown</f>
        <v>0.28882052424391563</v>
      </c>
      <c r="Z107" s="90">
        <f>IFERROR(-Kf*_xlfn.LOGNORM.DIST((Tabella34[[#This Row],[Day]]-pf),mu_f,sigma_f,FALSE)*(1+(LN((Tabella34[[#This Row],[Day]]-pf))-mu_f)/sigma_f^2)/(Tabella34[[#This Row],[Day]]-pf),0)</f>
        <v>-118.68452196951095</v>
      </c>
      <c r="AA107" s="90">
        <f>Tabella34[[#This Row],[Spain acc. fit]]/Spain_acc_at_lockdown</f>
        <v>-0.40443761609032614</v>
      </c>
      <c r="AB107" s="95">
        <f>Tabella34[[#This Row],[Spain acc. fit]]/y_f_peak</f>
        <v>-1.7781342937373917E-2</v>
      </c>
      <c r="AC107" s="157">
        <f>Tabella34[[#This Row],[Colonna4]]*NOT(ISBLANK(Tabella34[[#This Row],[Spain daily cases]]))</f>
        <v>0</v>
      </c>
      <c r="AD107" s="157">
        <f>Tabella34[[#This Row],[Spain acc. fit]]*NOT(ISBLANK(Tabella34[[#This Row],[Spain daily cases]]))</f>
        <v>-118.68452196951095</v>
      </c>
      <c r="AE107" s="95">
        <f>Tabella34[[#This Row],[Spain acc. fit]]+CIf</f>
        <v>2224.0038957115817</v>
      </c>
      <c r="AF107" s="95">
        <f>MAX(Tabella34[[#This Row],[Spain acc. fit]]-CIf,0)</f>
        <v>0</v>
      </c>
      <c r="AG107" s="4">
        <f>Tabella8[[#This Row],[Lombardy]]</f>
        <v>0</v>
      </c>
      <c r="AH107" s="90">
        <f>(Tabella34[[#This Row],[Lombardy cumul. Data]]-AG106)</f>
        <v>0</v>
      </c>
      <c r="AI107" s="90">
        <f>Tabella34[[#This Row],[Lombardy data]]-AH106</f>
        <v>0</v>
      </c>
      <c r="AJ107" s="95">
        <f>Tabella34[[#This Row],[Lombardy data]]*NOT(ISBLANK(Tabella34[[#This Row],[Lombardy data]]))</f>
        <v>0</v>
      </c>
      <c r="AK107" s="95">
        <f>Tabella8[[#This Row],[Lombardy fit]]</f>
        <v>54770.537022930162</v>
      </c>
      <c r="AL107" s="157" t="e">
        <f>_xlfn.LOGNORM.INV(alpha*Tabella34[[#This Row],[Lombardy cumul. Fit]]/Kr,mu_r,sigma_r)-(Tabella34[[#This Row],[Day]]-pr)</f>
        <v>#NUM!</v>
      </c>
      <c r="AM107" s="95">
        <f>Tabella34[[#This Row],[Lombardy cumul. Fit]]/Kl</f>
        <v>0.62954640256241567</v>
      </c>
      <c r="AN107" s="95">
        <f>IFERROR(Kr*_xlfn.LOGNORM.DIST((Tabella34[[#This Row],[Day]]-pr),mu_r,sigma_r,FALSE),0)</f>
        <v>1403.5111194784272</v>
      </c>
      <c r="AO107" s="202">
        <f>Tabella34[[#This Row],[Lombardy velocity]]/Tabella34[[#This Row],[Lombardy cumul. Fit]]</f>
        <v>2.562529410458099E-2</v>
      </c>
      <c r="AP107" s="259">
        <f>(LN(Tabella34[[#This Row],[Day]]-pr)-mu_r)/sigma_r</f>
        <v>0.33065222264143734</v>
      </c>
      <c r="AQ107" s="262">
        <f>EXP(mu_r+sigma_r*Tabella34[[#This Row],[x_r_alpha©+plus]])-(Tabella34[[#This Row],[Day]]-pr)</f>
        <v>18.037570283984067</v>
      </c>
      <c r="AR107" s="262">
        <f>EXP(mu_r+sigma_r*Tabella34[[#This Row],[x_r_alpha©-minus]])-(Tabella34[[#This Row],[Day]]-pr)</f>
        <v>-34.273948464710678</v>
      </c>
      <c r="AS107" s="262">
        <f>-sigma_r+SQRT(sigma_r^2-2*Tabella34[[#This Row],[c_r]])</f>
        <v>1.0148003888952846</v>
      </c>
      <c r="AT107" s="262">
        <f>-sigma_r-SQRT(sigma_r^2-2*Tabella34[[#This Row],[c_r]])</f>
        <v>-1.6956549860890138</v>
      </c>
      <c r="AU107" s="262">
        <f>mu_r-LN(alpha*Kr/(Tabella34[[#This Row],[Lombardy velocity]]*sigma_r*SQRTPI(2)))</f>
        <v>-0.86037566965767986</v>
      </c>
      <c r="AV107" s="262">
        <f>Tabella34[[#This Row],[t_alpha_r+plus]]</f>
        <v>18.037570283984067</v>
      </c>
      <c r="AW107" s="90">
        <f>IFERROR(-Kl*_xlfn.LOGNORM.DIST((Tabella34[[#This Row],[Day]]-pl),mu_l,sigma_l,FALSE)*(1+(LN((Tabella34[[#This Row],[Day]]-pl))-mu_l)/sigma_l^2)/(Tabella34[[#This Row],[Day]]-pl),0)</f>
        <v>-40.226966578142893</v>
      </c>
      <c r="AX107" s="95">
        <f>Tabella34[[#This Row],[Lombardy acc. fit]]/y_l_peak</f>
        <v>-2.2882826157534463E-2</v>
      </c>
      <c r="AY107" s="157">
        <f>Tabella34[[#This Row],[Lombardy acc. fit]]*NOT(ISBLANK(Tabella34[[#This Row],[Lombardy data]]))</f>
        <v>-40.226966578142893</v>
      </c>
      <c r="AZ107" s="95">
        <f>Tabella34[[#This Row],[Lombardy acc. fit]]+CIl</f>
        <v>2530.1553563382658</v>
      </c>
      <c r="BA107" s="95">
        <f>MAX(Tabella34[[#This Row],[Lombardy acc. fit]]-CIl,0)</f>
        <v>0</v>
      </c>
      <c r="BB107" s="10">
        <f>Tabella8[[#This Row],[rest of Italy ]]</f>
        <v>153222</v>
      </c>
      <c r="BC107" s="10">
        <f>(Tabella34[[#This Row],[rest of Italy cum. Data]]-BB106)</f>
        <v>5002</v>
      </c>
      <c r="BD107" s="10">
        <f>Tabella34[[#This Row],[rest of Italy data]]-BC106</f>
        <v>-1276</v>
      </c>
      <c r="BE107" s="95">
        <f>Tabella34[[#This Row],[rest of Italy data]]*NOT(ISBLANK(Tabella34[[#This Row],[rest of Italy data]]))</f>
        <v>5002</v>
      </c>
      <c r="BF107" s="95">
        <f>Tabella8[[#This Row],[rest of Italy fit]]</f>
        <v>89352.001180257022</v>
      </c>
      <c r="BG107" s="157" t="e">
        <f>_xlfn.LOGNORM.INV(alpha*Tabella34[[#This Row],[rest of Italy cumul. Fit]]/Ko,mu_o,sigma_o)-(Tabella34[[#This Row],[Day]]-po)</f>
        <v>#NUM!</v>
      </c>
      <c r="BH107" s="95">
        <f>Tabella34[[#This Row],[rest of Italy cumul. Fit]]/Ka</f>
        <v>0.60372980798553511</v>
      </c>
      <c r="BI107" s="157">
        <f>IFERROR(Ko*_xlfn.LOGNORM.DIST((Tabella34[[#This Row],[Day]]-po),mu_o,sigma_o,FALSE),0)</f>
        <v>2848.5327409277602</v>
      </c>
      <c r="BJ107" s="199">
        <f>Tabella34[[#This Row],[rest of Italy velocity]]/Tabella34[[#This Row],[rest of Italy cumul. Fit]]</f>
        <v>3.1879898640223898E-2</v>
      </c>
      <c r="BK107" s="254">
        <f>(LN(Tabella34[[#This Row],[Day]]-po)-mu_o)/sigma_o</f>
        <v>0.263013227307345</v>
      </c>
      <c r="BL107" s="262">
        <f>EXP(mu_o+sigma_o*Tabella34[[#This Row],[x_o_alpha©+plus]])-(Tabella34[[#This Row],[Day]]-po)</f>
        <v>16.474632822259522</v>
      </c>
      <c r="BM107" s="262">
        <f>EXP(mu_o+sigma_o*Tabella34[[#This Row],[x_o_alpha©-minus]])-(Tabella34[[#This Row],[Day]]-po)</f>
        <v>-28.458384391532277</v>
      </c>
      <c r="BN107" s="262">
        <f>-sigma_o+SQRT(sigma_o^2-2*Tabella34[[#This Row],[c_o]])</f>
        <v>0.99302270685861849</v>
      </c>
      <c r="BO107" s="262">
        <f>-sigma_o-SQRT(sigma_o^2-2*Tabella34[[#This Row],[c_o]])</f>
        <v>-1.6359954841576445</v>
      </c>
      <c r="BP107" s="262">
        <f>mu_o-LN(alpha*Ko/(Tabella34[[#This Row],[rest of Italy velocity]]*sigma_o*SQRTPI(2)))</f>
        <v>-0.81229033204335011</v>
      </c>
      <c r="BQ107" s="262">
        <f>Tabella34[[#This Row],[t_alpha_o+plus]]</f>
        <v>16.474632822259522</v>
      </c>
      <c r="BR107" s="90">
        <f>IFERROR(-Ka*_xlfn.LOGNORM.DIST((Tabella34[[#This Row],[Day]]-pa),mu_a,sigma_a,FALSE)*(1+(LN((Tabella34[[#This Row],[Day]]-pa))-mu_a)/sigma_a^2)/(Tabella34[[#This Row],[Day]]-pa),0)</f>
        <v>-83.152689187822531</v>
      </c>
      <c r="BS107" s="95">
        <f>Tabella34[[#This Row],[rest of Italy acc. fit]]/y_a_peak</f>
        <v>-2.4607582127821635E-2</v>
      </c>
      <c r="BT107" s="95">
        <f>Tabella34[[#This Row],[rest of Italy acc. fit]]*NOT(ISBLANK(Tabella34[[#This Row],[rest of Italy data]]))</f>
        <v>-83.152689187822531</v>
      </c>
      <c r="BU107" s="95">
        <f>Tabella34[[#This Row],[rest of Italy acc. fit]]+CIa</f>
        <v>5255.6867459721943</v>
      </c>
      <c r="BV107" s="95">
        <f>MAX(Tabella34[[#This Row],[rest of Italy acc. fit]]-CIa,0)</f>
        <v>0</v>
      </c>
    </row>
    <row r="108" spans="2:74" x14ac:dyDescent="0.3">
      <c r="B108" s="281">
        <v>43931</v>
      </c>
      <c r="C108" s="4">
        <v>101</v>
      </c>
      <c r="D108" s="10">
        <f>Tabella8[[#This Row],[Spain cum. Cases]]</f>
        <v>158273</v>
      </c>
      <c r="E108" s="90">
        <f>(Tabella34[[#This Row],[Spain cumul. Cases]]-D107)</f>
        <v>5051</v>
      </c>
      <c r="F108" s="90">
        <f>Tabella34[[#This Row],[Spain daily cases]]-E107</f>
        <v>49</v>
      </c>
      <c r="G108" s="95">
        <f>Tabella34[[#This Row],[Spain daily cases]]*NOT(ISBLANK(Tabella34[[#This Row],[Spain daily cases]]))</f>
        <v>5051</v>
      </c>
      <c r="H108" s="157">
        <f>Tabella8[[#This Row],[Spain cum. fit]]</f>
        <v>153262.85554059967</v>
      </c>
      <c r="I108" s="157" t="e">
        <f>_xlfn.LOGNORM.INV(alpha*Tabella34[[#This Row],[Spain cumul. Fit]]/Kt,mu_t,sigma_t)-(Tabella34[[#This Row],[Day]]-pt)</f>
        <v>#NUM!</v>
      </c>
      <c r="J108" s="157" t="e">
        <f>Tabella34[[#This Row],[Spain fitted d.t.]]/Spain_dt_at_lockdown</f>
        <v>#NUM!</v>
      </c>
      <c r="K108" s="95">
        <f>Tabella34[[#This Row],[Spain cumul. Fit]]/Kf</f>
        <v>0.54736754497532714</v>
      </c>
      <c r="L108" s="160"/>
      <c r="M108" s="95"/>
      <c r="N108" s="157">
        <f>IFERROR(Kt*_xlfn.LOGNORM.DIST((Tabella34[[#This Row],[Day]]-pt),mu_t,sigma_t,FALSE),0)</f>
        <v>6191.3351222170459</v>
      </c>
      <c r="O108" s="157" t="e">
        <f>Kt*EXP(-0.5*Tabella34[[#This Row],[x_t]]^2)/(sigma_t*SQRTPI(2)*(Tabella34[[#This Row],[Day]]-D_bk))</f>
        <v>#NAME?</v>
      </c>
      <c r="P108" s="199">
        <f>Tabella34[[#This Row],[Spain fitted velocity]]/Tabella34[[#This Row],[Spain cumul. Fit]]</f>
        <v>4.0396840450209068E-2</v>
      </c>
      <c r="Q108" s="262">
        <f>(LN(Tabella34[[#This Row],[Day]]-pt)-mu_t)/sigma_t</f>
        <v>0.11901318481996126</v>
      </c>
      <c r="R108" s="262">
        <f>EXP(mu_t+sigma_t*Tabella34[[#This Row],[x_t_alpha©+plus]])-(Tabella34[[#This Row],[Day]]-pt)</f>
        <v>17.149079688651085</v>
      </c>
      <c r="S108" s="262">
        <f>EXP(mu_t+sigma_t*Tabella34[[#This Row],[x_t_alpha©-minus]])-(Tabella34[[#This Row],[Day]]-pt)</f>
        <v>-23.614756849098896</v>
      </c>
      <c r="T108" s="262">
        <f>-sigma_t+SQRT(sigma_t^2-2*Tabella34[[#This Row],[c_t]])</f>
        <v>0.97088959079211223</v>
      </c>
      <c r="U108" s="262">
        <f>-sigma_t-SQRT(sigma_t^2-2*Tabella34[[#This Row],[c_t]])</f>
        <v>-1.5083289406352796</v>
      </c>
      <c r="V108" s="262">
        <f>mu_t-LN(alpha*Kt/(Tabella34[[#This Row],[Spain fitted velocity]]*sigma_t*SQRTPI(2)))</f>
        <v>-0.73221043397664332</v>
      </c>
      <c r="W108" s="262">
        <f>Tabella34[[#This Row],[Spain fitted g.r.]]/Spain_gr_at_lockdown</f>
        <v>0.19495126843838695</v>
      </c>
      <c r="X108" s="262">
        <f>Tabella34[[#This Row],[t_alpha_t+plus]]</f>
        <v>17.149079688651085</v>
      </c>
      <c r="Y108" s="262">
        <f>Tabella34[[#This Row],[Spain fitted h.t.]]/Spain_ht_at_lockdown</f>
        <v>0.27857246563523674</v>
      </c>
      <c r="Z108" s="90">
        <f>IFERROR(-Kf*_xlfn.LOGNORM.DIST((Tabella34[[#This Row],[Day]]-pf),mu_f,sigma_f,FALSE)*(1+(LN((Tabella34[[#This Row],[Day]]-pf))-mu_f)/sigma_f^2)/(Tabella34[[#This Row],[Day]]-pf),0)</f>
        <v>-134.00129650041194</v>
      </c>
      <c r="AA108" s="90">
        <f>Tabella34[[#This Row],[Spain acc. fit]]/Spain_acc_at_lockdown</f>
        <v>-0.45663212026553762</v>
      </c>
      <c r="AB108" s="95">
        <f>Tabella34[[#This Row],[Spain acc. fit]]/y_f_peak</f>
        <v>-2.007610569252366E-2</v>
      </c>
      <c r="AC108" s="157">
        <f>Tabella34[[#This Row],[Colonna4]]*NOT(ISBLANK(Tabella34[[#This Row],[Spain daily cases]]))</f>
        <v>0</v>
      </c>
      <c r="AD108" s="157">
        <f>Tabella34[[#This Row],[Spain acc. fit]]*NOT(ISBLANK(Tabella34[[#This Row],[Spain daily cases]]))</f>
        <v>-134.00129650041194</v>
      </c>
      <c r="AE108" s="95">
        <f>Tabella34[[#This Row],[Spain acc. fit]]+CIf</f>
        <v>2208.6871211806806</v>
      </c>
      <c r="AF108" s="95">
        <f>MAX(Tabella34[[#This Row],[Spain acc. fit]]-CIf,0)</f>
        <v>0</v>
      </c>
      <c r="AG108" s="4">
        <f>Tabella8[[#This Row],[Lombardy]]</f>
        <v>0</v>
      </c>
      <c r="AH108" s="90">
        <f>(Tabella34[[#This Row],[Lombardy cumul. Data]]-AG107)</f>
        <v>0</v>
      </c>
      <c r="AI108" s="90">
        <f>Tabella34[[#This Row],[Lombardy data]]-AH107</f>
        <v>0</v>
      </c>
      <c r="AJ108" s="95">
        <f>Tabella34[[#This Row],[Lombardy data]]*NOT(ISBLANK(Tabella34[[#This Row],[Lombardy data]]))</f>
        <v>0</v>
      </c>
      <c r="AK108" s="95">
        <f>Tabella8[[#This Row],[Lombardy fit]]</f>
        <v>56153.80711118412</v>
      </c>
      <c r="AL108" s="157" t="e">
        <f>_xlfn.LOGNORM.INV(alpha*Tabella34[[#This Row],[Lombardy cumul. Fit]]/Kr,mu_r,sigma_r)-(Tabella34[[#This Row],[Day]]-pr)</f>
        <v>#NUM!</v>
      </c>
      <c r="AM108" s="95">
        <f>Tabella34[[#This Row],[Lombardy cumul. Fit]]/Kl</f>
        <v>0.64544605874924277</v>
      </c>
      <c r="AN108" s="95">
        <f>IFERROR(Kr*_xlfn.LOGNORM.DIST((Tabella34[[#This Row],[Day]]-pr),mu_r,sigma_r,FALSE),0)</f>
        <v>1362.9108774841045</v>
      </c>
      <c r="AO108" s="202">
        <f>Tabella34[[#This Row],[Lombardy velocity]]/Tabella34[[#This Row],[Lombardy cumul. Fit]]</f>
        <v>2.42710325015996E-2</v>
      </c>
      <c r="AP108" s="259">
        <f>(LN(Tabella34[[#This Row],[Day]]-pr)-mu_r)/sigma_r</f>
        <v>0.37305449910796351</v>
      </c>
      <c r="AQ108" s="262">
        <f>EXP(mu_r+sigma_r*Tabella34[[#This Row],[x_r_alpha©+plus]])-(Tabella34[[#This Row],[Day]]-pr)</f>
        <v>17.675011114172236</v>
      </c>
      <c r="AR108" s="262">
        <f>EXP(mu_r+sigma_r*Tabella34[[#This Row],[x_r_alpha©-minus]])-(Tabella34[[#This Row],[Day]]-pr)</f>
        <v>-35.52544589989111</v>
      </c>
      <c r="AS108" s="262">
        <f>-sigma_r+SQRT(sigma_r^2-2*Tabella34[[#This Row],[c_r]])</f>
        <v>1.0362900423181125</v>
      </c>
      <c r="AT108" s="262">
        <f>-sigma_r-SQRT(sigma_r^2-2*Tabella34[[#This Row],[c_r]])</f>
        <v>-1.7171446395118417</v>
      </c>
      <c r="AU108" s="262">
        <f>mu_r-LN(alpha*Kr/(Tabella34[[#This Row],[Lombardy velocity]]*sigma_r*SQRTPI(2)))</f>
        <v>-0.88972994557302343</v>
      </c>
      <c r="AV108" s="262">
        <f>Tabella34[[#This Row],[t_alpha_r+plus]]</f>
        <v>17.675011114172236</v>
      </c>
      <c r="AW108" s="90">
        <f>IFERROR(-Kl*_xlfn.LOGNORM.DIST((Tabella34[[#This Row],[Day]]-pl),mu_l,sigma_l,FALSE)*(1+(LN((Tabella34[[#This Row],[Day]]-pl))-mu_l)/sigma_l^2)/(Tabella34[[#This Row],[Day]]-pl),0)</f>
        <v>-40.936320330259704</v>
      </c>
      <c r="AX108" s="95">
        <f>Tabella34[[#This Row],[Lombardy acc. fit]]/y_l_peak</f>
        <v>-2.3286337035302297E-2</v>
      </c>
      <c r="AY108" s="157">
        <f>Tabella34[[#This Row],[Lombardy acc. fit]]*NOT(ISBLANK(Tabella34[[#This Row],[Lombardy data]]))</f>
        <v>-40.936320330259704</v>
      </c>
      <c r="AZ108" s="95">
        <f>Tabella34[[#This Row],[Lombardy acc. fit]]+CIl</f>
        <v>2529.446002586149</v>
      </c>
      <c r="BA108" s="95">
        <f>MAX(Tabella34[[#This Row],[Lombardy acc. fit]]-CIl,0)</f>
        <v>0</v>
      </c>
      <c r="BB108" s="10">
        <f>Tabella8[[#This Row],[rest of Italy ]]</f>
        <v>158273</v>
      </c>
      <c r="BC108" s="10">
        <f>(Tabella34[[#This Row],[rest of Italy cum. Data]]-BB107)</f>
        <v>5051</v>
      </c>
      <c r="BD108" s="10">
        <f>Tabella34[[#This Row],[rest of Italy data]]-BC107</f>
        <v>49</v>
      </c>
      <c r="BE108" s="95">
        <f>Tabella34[[#This Row],[rest of Italy data]]*NOT(ISBLANK(Tabella34[[#This Row],[rest of Italy data]]))</f>
        <v>5051</v>
      </c>
      <c r="BF108" s="95">
        <f>Tabella8[[#This Row],[rest of Italy fit]]</f>
        <v>92158.430677105629</v>
      </c>
      <c r="BG108" s="157" t="e">
        <f>_xlfn.LOGNORM.INV(alpha*Tabella34[[#This Row],[rest of Italy cumul. Fit]]/Ko,mu_o,sigma_o)-(Tabella34[[#This Row],[Day]]-po)</f>
        <v>#NUM!</v>
      </c>
      <c r="BH108" s="95">
        <f>Tabella34[[#This Row],[rest of Italy cumul. Fit]]/Ka</f>
        <v>0.62269217165816571</v>
      </c>
      <c r="BI108" s="157">
        <f>IFERROR(Ko*_xlfn.LOGNORM.DIST((Tabella34[[#This Row],[Day]]-po),mu_o,sigma_o,FALSE),0)</f>
        <v>2763.8291585423817</v>
      </c>
      <c r="BJ108" s="199">
        <f>Tabella34[[#This Row],[rest of Italy velocity]]/Tabella34[[#This Row],[rest of Italy cumul. Fit]]</f>
        <v>2.9989976372600965E-2</v>
      </c>
      <c r="BK108" s="254">
        <f>(LN(Tabella34[[#This Row],[Day]]-po)-mu_o)/sigma_o</f>
        <v>0.31255909867484355</v>
      </c>
      <c r="BL108" s="262">
        <f>EXP(mu_o+sigma_o*Tabella34[[#This Row],[x_o_alpha©+plus]])-(Tabella34[[#This Row],[Day]]-po)</f>
        <v>16.053200201985732</v>
      </c>
      <c r="BM108" s="262">
        <f>EXP(mu_o+sigma_o*Tabella34[[#This Row],[x_o_alpha©-minus]])-(Tabella34[[#This Row],[Day]]-po)</f>
        <v>-29.705052091377816</v>
      </c>
      <c r="BN108" s="262">
        <f>-sigma_o+SQRT(sigma_o^2-2*Tabella34[[#This Row],[c_o]])</f>
        <v>1.0157899631627334</v>
      </c>
      <c r="BO108" s="262">
        <f>-sigma_o-SQRT(sigma_o^2-2*Tabella34[[#This Row],[c_o]])</f>
        <v>-1.6587627404617593</v>
      </c>
      <c r="BP108" s="262">
        <f>mu_o-LN(alpha*Ko/(Tabella34[[#This Row],[rest of Italy velocity]]*sigma_o*SQRTPI(2)))</f>
        <v>-0.84247727151468244</v>
      </c>
      <c r="BQ108" s="262">
        <f>Tabella34[[#This Row],[t_alpha_o+plus]]</f>
        <v>16.053200201985732</v>
      </c>
      <c r="BR108" s="90">
        <f>IFERROR(-Ka*_xlfn.LOGNORM.DIST((Tabella34[[#This Row],[Day]]-pa),mu_a,sigma_a,FALSE)*(1+(LN((Tabella34[[#This Row],[Day]]-pa))-mu_a)/sigma_a^2)/(Tabella34[[#This Row],[Day]]-pa),0)</f>
        <v>-86.136035819091944</v>
      </c>
      <c r="BS108" s="95">
        <f>Tabella34[[#This Row],[rest of Italy acc. fit]]/y_a_peak</f>
        <v>-2.5490451316560671E-2</v>
      </c>
      <c r="BT108" s="95">
        <f>Tabella34[[#This Row],[rest of Italy acc. fit]]*NOT(ISBLANK(Tabella34[[#This Row],[rest of Italy data]]))</f>
        <v>-86.136035819091944</v>
      </c>
      <c r="BU108" s="95">
        <f>Tabella34[[#This Row],[rest of Italy acc. fit]]+CIa</f>
        <v>5252.703399340925</v>
      </c>
      <c r="BV108" s="95">
        <f>MAX(Tabella34[[#This Row],[rest of Italy acc. fit]]-CIa,0)</f>
        <v>0</v>
      </c>
    </row>
    <row r="109" spans="2:74" x14ac:dyDescent="0.3">
      <c r="B109" s="281">
        <v>43932</v>
      </c>
      <c r="C109" s="4">
        <v>102</v>
      </c>
      <c r="D109" s="10">
        <f>Tabella8[[#This Row],[Spain cum. Cases]]</f>
        <v>163027</v>
      </c>
      <c r="E109" s="90">
        <f>(Tabella34[[#This Row],[Spain cumul. Cases]]-D108)</f>
        <v>4754</v>
      </c>
      <c r="F109" s="90">
        <f>Tabella34[[#This Row],[Spain daily cases]]-E108</f>
        <v>-297</v>
      </c>
      <c r="G109" s="95">
        <f>Tabella34[[#This Row],[Spain daily cases]]*NOT(ISBLANK(Tabella34[[#This Row],[Spain daily cases]]))</f>
        <v>4754</v>
      </c>
      <c r="H109" s="157">
        <f>Tabella8[[#This Row],[Spain cum. fit]]</f>
        <v>159384.87074131594</v>
      </c>
      <c r="I109" s="157" t="e">
        <f>_xlfn.LOGNORM.INV(alpha*Tabella34[[#This Row],[Spain cumul. Fit]]/Kt,mu_t,sigma_t)-(Tabella34[[#This Row],[Day]]-pt)</f>
        <v>#NUM!</v>
      </c>
      <c r="J109" s="157" t="e">
        <f>Tabella34[[#This Row],[Spain fitted d.t.]]/Spain_dt_at_lockdown</f>
        <v>#NUM!</v>
      </c>
      <c r="K109" s="95">
        <f>Tabella34[[#This Row],[Spain cumul. Fit]]/Kf</f>
        <v>0.569231893116942</v>
      </c>
      <c r="L109" s="160"/>
      <c r="M109" s="95"/>
      <c r="N109" s="157">
        <f>IFERROR(Kt*_xlfn.LOGNORM.DIST((Tabella34[[#This Row],[Day]]-pt),mu_t,sigma_t,FALSE),0)</f>
        <v>6050.4534124004522</v>
      </c>
      <c r="O109" s="157" t="e">
        <f>Kt*EXP(-0.5*Tabella34[[#This Row],[x_t]]^2)/(sigma_t*SQRTPI(2)*(Tabella34[[#This Row],[Day]]-D_bk))</f>
        <v>#NAME?</v>
      </c>
      <c r="P109" s="199">
        <f>Tabella34[[#This Row],[Spain fitted velocity]]/Tabella34[[#This Row],[Spain cumul. Fit]]</f>
        <v>3.7961278158078315E-2</v>
      </c>
      <c r="Q109" s="262">
        <f>(LN(Tabella34[[#This Row],[Day]]-pt)-mu_t)/sigma_t</f>
        <v>0.17441896128127349</v>
      </c>
      <c r="R109" s="262">
        <f>EXP(mu_t+sigma_t*Tabella34[[#This Row],[x_t_alpha©+plus]])-(Tabella34[[#This Row],[Day]]-pt)</f>
        <v>16.565237590201505</v>
      </c>
      <c r="S109" s="262">
        <f>EXP(mu_t+sigma_t*Tabella34[[#This Row],[x_t_alpha©-minus]])-(Tabella34[[#This Row],[Day]]-pt)</f>
        <v>-24.827459905747133</v>
      </c>
      <c r="T109" s="262">
        <f>-sigma_t+SQRT(sigma_t^2-2*Tabella34[[#This Row],[c_t]])</f>
        <v>0.98932094922996572</v>
      </c>
      <c r="U109" s="262">
        <f>-sigma_t-SQRT(sigma_t^2-2*Tabella34[[#This Row],[c_t]])</f>
        <v>-1.526760299073133</v>
      </c>
      <c r="V109" s="262">
        <f>mu_t-LN(alpha*Kt/(Tabella34[[#This Row],[Spain fitted velocity]]*sigma_t*SQRTPI(2)))</f>
        <v>-0.75522797416282916</v>
      </c>
      <c r="W109" s="262">
        <f>Tabella34[[#This Row],[Spain fitted g.r.]]/Spain_gr_at_lockdown</f>
        <v>0.18319747896079583</v>
      </c>
      <c r="X109" s="262">
        <f>Tabella34[[#This Row],[t_alpha_t+plus]]</f>
        <v>16.565237590201505</v>
      </c>
      <c r="Y109" s="262">
        <f>Tabella34[[#This Row],[Spain fitted h.t.]]/Spain_ht_at_lockdown</f>
        <v>0.26908843874518834</v>
      </c>
      <c r="Z109" s="90">
        <f>IFERROR(-Kf*_xlfn.LOGNORM.DIST((Tabella34[[#This Row],[Day]]-pf),mu_f,sigma_f,FALSE)*(1+(LN((Tabella34[[#This Row],[Day]]-pf))-mu_f)/sigma_f^2)/(Tabella34[[#This Row],[Day]]-pf),0)</f>
        <v>-147.45298597323941</v>
      </c>
      <c r="AA109" s="90">
        <f>Tabella34[[#This Row],[Spain acc. fit]]/Spain_acc_at_lockdown</f>
        <v>-0.50247103112347802</v>
      </c>
      <c r="AB109" s="95">
        <f>Tabella34[[#This Row],[Spain acc. fit]]/y_f_peak</f>
        <v>-2.2091440966527237E-2</v>
      </c>
      <c r="AC109" s="157">
        <f>Tabella34[[#This Row],[Colonna4]]*NOT(ISBLANK(Tabella34[[#This Row],[Spain daily cases]]))</f>
        <v>0</v>
      </c>
      <c r="AD109" s="157">
        <f>Tabella34[[#This Row],[Spain acc. fit]]*NOT(ISBLANK(Tabella34[[#This Row],[Spain daily cases]]))</f>
        <v>-147.45298597323941</v>
      </c>
      <c r="AE109" s="95">
        <f>Tabella34[[#This Row],[Spain acc. fit]]+CIf</f>
        <v>2195.2354317078534</v>
      </c>
      <c r="AF109" s="95">
        <f>MAX(Tabella34[[#This Row],[Spain acc. fit]]-CIf,0)</f>
        <v>0</v>
      </c>
      <c r="AG109" s="4">
        <f>Tabella8[[#This Row],[Lombardy]]</f>
        <v>0</v>
      </c>
      <c r="AH109" s="90">
        <f>(Tabella34[[#This Row],[Lombardy cumul. Data]]-AG108)</f>
        <v>0</v>
      </c>
      <c r="AI109" s="90">
        <f>Tabella34[[#This Row],[Lombardy data]]-AH108</f>
        <v>0</v>
      </c>
      <c r="AJ109" s="95">
        <f>Tabella34[[#This Row],[Lombardy data]]*NOT(ISBLANK(Tabella34[[#This Row],[Lombardy data]]))</f>
        <v>0</v>
      </c>
      <c r="AK109" s="95">
        <f>Tabella8[[#This Row],[Lombardy fit]]</f>
        <v>57496.158785785505</v>
      </c>
      <c r="AL109" s="157" t="e">
        <f>_xlfn.LOGNORM.INV(alpha*Tabella34[[#This Row],[Lombardy cumul. Fit]]/Kr,mu_r,sigma_r)-(Tabella34[[#This Row],[Day]]-pr)</f>
        <v>#NUM!</v>
      </c>
      <c r="AM109" s="95">
        <f>Tabella34[[#This Row],[Lombardy cumul. Fit]]/Kl</f>
        <v>0.66087538834236215</v>
      </c>
      <c r="AN109" s="95">
        <f>IFERROR(Kr*_xlfn.LOGNORM.DIST((Tabella34[[#This Row],[Day]]-pr),mu_r,sigma_r,FALSE),0)</f>
        <v>1321.7101055171868</v>
      </c>
      <c r="AO109" s="202">
        <f>Tabella34[[#This Row],[Lombardy velocity]]/Tabella34[[#This Row],[Lombardy cumul. Fit]]</f>
        <v>2.2987798375218534E-2</v>
      </c>
      <c r="AP109" s="259">
        <f>(LN(Tabella34[[#This Row],[Day]]-pr)-mu_r)/sigma_r</f>
        <v>0.41485340257153958</v>
      </c>
      <c r="AQ109" s="262">
        <f>EXP(mu_r+sigma_r*Tabella34[[#This Row],[x_r_alpha©+plus]])-(Tabella34[[#This Row],[Day]]-pr)</f>
        <v>17.336010456293323</v>
      </c>
      <c r="AR109" s="262">
        <f>EXP(mu_r+sigma_r*Tabella34[[#This Row],[x_r_alpha©-minus]])-(Tabella34[[#This Row],[Day]]-pr)</f>
        <v>-36.782395146000304</v>
      </c>
      <c r="AS109" s="262">
        <f>-sigma_r+SQRT(sigma_r^2-2*Tabella34[[#This Row],[c_r]])</f>
        <v>1.0584091102363229</v>
      </c>
      <c r="AT109" s="262">
        <f>-sigma_r-SQRT(sigma_r^2-2*Tabella34[[#This Row],[c_r]])</f>
        <v>-1.7392637074300521</v>
      </c>
      <c r="AU109" s="262">
        <f>mu_r-LN(alpha*Kr/(Tabella34[[#This Row],[Lombardy velocity]]*sigma_r*SQRTPI(2)))</f>
        <v>-0.92042627652368481</v>
      </c>
      <c r="AV109" s="262">
        <f>Tabella34[[#This Row],[t_alpha_r+plus]]</f>
        <v>17.336010456293323</v>
      </c>
      <c r="AW109" s="90">
        <f>IFERROR(-Kl*_xlfn.LOGNORM.DIST((Tabella34[[#This Row],[Day]]-pl),mu_l,sigma_l,FALSE)*(1+(LN((Tabella34[[#This Row],[Day]]-pl))-mu_l)/sigma_l^2)/(Tabella34[[#This Row],[Day]]-pl),0)</f>
        <v>-41.430794065487923</v>
      </c>
      <c r="AX109" s="95">
        <f>Tabella34[[#This Row],[Lombardy acc. fit]]/y_l_peak</f>
        <v>-2.356761493133043E-2</v>
      </c>
      <c r="AY109" s="157">
        <f>Tabella34[[#This Row],[Lombardy acc. fit]]*NOT(ISBLANK(Tabella34[[#This Row],[Lombardy data]]))</f>
        <v>-41.430794065487923</v>
      </c>
      <c r="AZ109" s="95">
        <f>Tabella34[[#This Row],[Lombardy acc. fit]]+CIl</f>
        <v>2528.9515288509206</v>
      </c>
      <c r="BA109" s="95">
        <f>MAX(Tabella34[[#This Row],[Lombardy acc. fit]]-CIl,0)</f>
        <v>0</v>
      </c>
      <c r="BB109" s="10">
        <f>Tabella8[[#This Row],[rest of Italy ]]</f>
        <v>163027</v>
      </c>
      <c r="BC109" s="10">
        <f>(Tabella34[[#This Row],[rest of Italy cum. Data]]-BB108)</f>
        <v>4754</v>
      </c>
      <c r="BD109" s="10">
        <f>Tabella34[[#This Row],[rest of Italy data]]-BC108</f>
        <v>-297</v>
      </c>
      <c r="BE109" s="95">
        <f>Tabella34[[#This Row],[rest of Italy data]]*NOT(ISBLANK(Tabella34[[#This Row],[rest of Italy data]]))</f>
        <v>4754</v>
      </c>
      <c r="BF109" s="95">
        <f>Tabella8[[#This Row],[rest of Italy fit]]</f>
        <v>94878.781377666935</v>
      </c>
      <c r="BG109" s="157" t="e">
        <f>_xlfn.LOGNORM.INV(alpha*Tabella34[[#This Row],[rest of Italy cumul. Fit]]/Ko,mu_o,sigma_o)-(Tabella34[[#This Row],[Day]]-po)</f>
        <v>#NUM!</v>
      </c>
      <c r="BH109" s="95">
        <f>Tabella34[[#This Row],[rest of Italy cumul. Fit]]/Ka</f>
        <v>0.64107292177466202</v>
      </c>
      <c r="BI109" s="157">
        <f>IFERROR(Ko*_xlfn.LOGNORM.DIST((Tabella34[[#This Row],[Day]]-po),mu_o,sigma_o,FALSE),0)</f>
        <v>2676.4896155606684</v>
      </c>
      <c r="BJ109" s="199">
        <f>Tabella34[[#This Row],[rest of Italy velocity]]/Tabella34[[#This Row],[rest of Italy cumul. Fit]]</f>
        <v>2.8209569902746184E-2</v>
      </c>
      <c r="BK109" s="254">
        <f>(LN(Tabella34[[#This Row],[Day]]-po)-mu_o)/sigma_o</f>
        <v>0.36132814474512254</v>
      </c>
      <c r="BL109" s="262">
        <f>EXP(mu_o+sigma_o*Tabella34[[#This Row],[x_o_alpha©+plus]])-(Tabella34[[#This Row],[Day]]-po)</f>
        <v>15.66256773178435</v>
      </c>
      <c r="BM109" s="262">
        <f>EXP(mu_o+sigma_o*Tabella34[[#This Row],[x_o_alpha©-minus]])-(Tabella34[[#This Row],[Day]]-po)</f>
        <v>-30.960990743004459</v>
      </c>
      <c r="BN109" s="262">
        <f>-sigma_o+SQRT(sigma_o^2-2*Tabella34[[#This Row],[c_o]])</f>
        <v>1.0395904086454912</v>
      </c>
      <c r="BO109" s="262">
        <f>-sigma_o-SQRT(sigma_o^2-2*Tabella34[[#This Row],[c_o]])</f>
        <v>-1.6825631859445171</v>
      </c>
      <c r="BP109" s="262">
        <f>mu_o-LN(alpha*Ko/(Tabella34[[#This Row],[rest of Italy velocity]]*sigma_o*SQRTPI(2)))</f>
        <v>-0.87458827502396019</v>
      </c>
      <c r="BQ109" s="262">
        <f>Tabella34[[#This Row],[t_alpha_o+plus]]</f>
        <v>15.66256773178435</v>
      </c>
      <c r="BR109" s="90">
        <f>IFERROR(-Ka*_xlfn.LOGNORM.DIST((Tabella34[[#This Row],[Day]]-pa),mu_a,sigma_a,FALSE)*(1+(LN((Tabella34[[#This Row],[Day]]-pa))-mu_a)/sigma_a^2)/(Tabella34[[#This Row],[Day]]-pa),0)</f>
        <v>-88.432614826897094</v>
      </c>
      <c r="BS109" s="95">
        <f>Tabella34[[#This Row],[rest of Italy acc. fit]]/y_a_peak</f>
        <v>-2.6170083654366922E-2</v>
      </c>
      <c r="BT109" s="95">
        <f>Tabella34[[#This Row],[rest of Italy acc. fit]]*NOT(ISBLANK(Tabella34[[#This Row],[rest of Italy data]]))</f>
        <v>-88.432614826897094</v>
      </c>
      <c r="BU109" s="95">
        <f>Tabella34[[#This Row],[rest of Italy acc. fit]]+CIa</f>
        <v>5250.4068203331199</v>
      </c>
      <c r="BV109" s="95">
        <f>MAX(Tabella34[[#This Row],[rest of Italy acc. fit]]-CIa,0)</f>
        <v>0</v>
      </c>
    </row>
    <row r="110" spans="2:74" x14ac:dyDescent="0.3">
      <c r="B110" s="281">
        <v>43933</v>
      </c>
      <c r="C110" s="4">
        <v>103</v>
      </c>
      <c r="D110" s="10">
        <f>Tabella8[[#This Row],[Spain cum. Cases]]</f>
        <v>166831</v>
      </c>
      <c r="E110" s="90">
        <f>(Tabella34[[#This Row],[Spain cumul. Cases]]-D109)</f>
        <v>3804</v>
      </c>
      <c r="F110" s="90">
        <f>Tabella34[[#This Row],[Spain daily cases]]-E109</f>
        <v>-950</v>
      </c>
      <c r="G110" s="95">
        <f>Tabella34[[#This Row],[Spain daily cases]]*NOT(ISBLANK(Tabella34[[#This Row],[Spain daily cases]]))</f>
        <v>3804</v>
      </c>
      <c r="H110" s="157">
        <f>Tabella8[[#This Row],[Spain cum. fit]]</f>
        <v>165359.58605732227</v>
      </c>
      <c r="I110" s="157" t="e">
        <f>_xlfn.LOGNORM.INV(alpha*Tabella34[[#This Row],[Spain cumul. Fit]]/Kt,mu_t,sigma_t)-(Tabella34[[#This Row],[Day]]-pt)</f>
        <v>#NUM!</v>
      </c>
      <c r="J110" s="157" t="e">
        <f>Tabella34[[#This Row],[Spain fitted d.t.]]/Spain_dt_at_lockdown</f>
        <v>#NUM!</v>
      </c>
      <c r="K110" s="95">
        <f>Tabella34[[#This Row],[Spain cumul. Fit]]/Kf</f>
        <v>0.5905701700459044</v>
      </c>
      <c r="L110" s="160"/>
      <c r="M110" s="95"/>
      <c r="N110" s="157">
        <f>IFERROR(Kt*_xlfn.LOGNORM.DIST((Tabella34[[#This Row],[Day]]-pt),mu_t,sigma_t,FALSE),0)</f>
        <v>5897.0414381368118</v>
      </c>
      <c r="O110" s="157" t="e">
        <f>Kt*EXP(-0.5*Tabella34[[#This Row],[x_t]]^2)/(sigma_t*SQRTPI(2)*(Tabella34[[#This Row],[Day]]-D_bk))</f>
        <v>#NAME?</v>
      </c>
      <c r="P110" s="199">
        <f>Tabella34[[#This Row],[Spain fitted velocity]]/Tabella34[[#This Row],[Spain cumul. Fit]]</f>
        <v>3.5661926706157747E-2</v>
      </c>
      <c r="Q110" s="262">
        <f>(LN(Tabella34[[#This Row],[Day]]-pt)-mu_t)/sigma_t</f>
        <v>0.22901190916992173</v>
      </c>
      <c r="R110" s="262">
        <f>EXP(mu_t+sigma_t*Tabella34[[#This Row],[x_t_alpha©+plus]])-(Tabella34[[#This Row],[Day]]-pt)</f>
        <v>16.024877920907272</v>
      </c>
      <c r="S110" s="262">
        <f>EXP(mu_t+sigma_t*Tabella34[[#This Row],[x_t_alpha©-minus]])-(Tabella34[[#This Row],[Day]]-pt)</f>
        <v>-26.059957934594969</v>
      </c>
      <c r="T110" s="262">
        <f>-sigma_t+SQRT(sigma_t^2-2*Tabella34[[#This Row],[c_t]])</f>
        <v>1.0095725807547657</v>
      </c>
      <c r="U110" s="262">
        <f>-sigma_t-SQRT(sigma_t^2-2*Tabella34[[#This Row],[c_t]])</f>
        <v>-1.5470119305979331</v>
      </c>
      <c r="V110" s="262">
        <f>mu_t-LN(alpha*Kt/(Tabella34[[#This Row],[Spain fitted velocity]]*sigma_t*SQRTPI(2)))</f>
        <v>-0.78091041361608404</v>
      </c>
      <c r="W110" s="262">
        <f>Tabella34[[#This Row],[Spain fitted g.r.]]/Spain_gr_at_lockdown</f>
        <v>0.17210102990334877</v>
      </c>
      <c r="X110" s="262">
        <f>Tabella34[[#This Row],[t_alpha_t+plus]]</f>
        <v>16.024877920907272</v>
      </c>
      <c r="Y110" s="262">
        <f>Tabella34[[#This Row],[Spain fitted h.t.]]/Spain_ht_at_lockdown</f>
        <v>0.26031074757236389</v>
      </c>
      <c r="Z110" s="90">
        <f>IFERROR(-Kf*_xlfn.LOGNORM.DIST((Tabella34[[#This Row],[Day]]-pf),mu_f,sigma_f,FALSE)*(1+(LN((Tabella34[[#This Row],[Day]]-pf))-mu_f)/sigma_f^2)/(Tabella34[[#This Row],[Day]]-pf),0)</f>
        <v>-159.06851501824127</v>
      </c>
      <c r="AA110" s="90">
        <f>Tabella34[[#This Row],[Spain acc. fit]]/Spain_acc_at_lockdown</f>
        <v>-0.5420529142421151</v>
      </c>
      <c r="AB110" s="95">
        <f>Tabella34[[#This Row],[Spain acc. fit]]/y_f_peak</f>
        <v>-2.3831682254277155E-2</v>
      </c>
      <c r="AC110" s="157">
        <f>Tabella34[[#This Row],[Colonna4]]*NOT(ISBLANK(Tabella34[[#This Row],[Spain daily cases]]))</f>
        <v>0</v>
      </c>
      <c r="AD110" s="157">
        <f>Tabella34[[#This Row],[Spain acc. fit]]*NOT(ISBLANK(Tabella34[[#This Row],[Spain daily cases]]))</f>
        <v>-159.06851501824127</v>
      </c>
      <c r="AE110" s="95">
        <f>Tabella34[[#This Row],[Spain acc. fit]]+CIf</f>
        <v>2183.6199026628515</v>
      </c>
      <c r="AF110" s="95">
        <f>MAX(Tabella34[[#This Row],[Spain acc. fit]]-CIf,0)</f>
        <v>0</v>
      </c>
      <c r="AG110" s="4">
        <f>Tabella8[[#This Row],[Lombardy]]</f>
        <v>0</v>
      </c>
      <c r="AH110" s="90">
        <f>(Tabella34[[#This Row],[Lombardy cumul. Data]]-AG109)</f>
        <v>0</v>
      </c>
      <c r="AI110" s="90">
        <f>Tabella34[[#This Row],[Lombardy data]]-AH109</f>
        <v>0</v>
      </c>
      <c r="AJ110" s="95">
        <f>Tabella34[[#This Row],[Lombardy data]]*NOT(ISBLANK(Tabella34[[#This Row],[Lombardy data]]))</f>
        <v>0</v>
      </c>
      <c r="AK110" s="95">
        <f>Tabella8[[#This Row],[Lombardy fit]]</f>
        <v>58797.096191230899</v>
      </c>
      <c r="AL110" s="157" t="e">
        <f>_xlfn.LOGNORM.INV(alpha*Tabella34[[#This Row],[Lombardy cumul. Fit]]/Kr,mu_r,sigma_r)-(Tabella34[[#This Row],[Day]]-pr)</f>
        <v>#NUM!</v>
      </c>
      <c r="AM110" s="95">
        <f>Tabella34[[#This Row],[Lombardy cumul. Fit]]/Kl</f>
        <v>0.67582869185322869</v>
      </c>
      <c r="AN110" s="95">
        <f>IFERROR(Kr*_xlfn.LOGNORM.DIST((Tabella34[[#This Row],[Day]]-pr),mu_r,sigma_r,FALSE),0)</f>
        <v>1280.115389990418</v>
      </c>
      <c r="AO110" s="202">
        <f>Tabella34[[#This Row],[Lombardy velocity]]/Tabella34[[#This Row],[Lombardy cumul. Fit]]</f>
        <v>2.1771745084603968E-2</v>
      </c>
      <c r="AP110" s="259">
        <f>(LN(Tabella34[[#This Row],[Day]]-pr)-mu_r)/sigma_r</f>
        <v>0.45606586406131128</v>
      </c>
      <c r="AQ110" s="262">
        <f>EXP(mu_r+sigma_r*Tabella34[[#This Row],[x_r_alpha©+plus]])-(Tabella34[[#This Row],[Day]]-pr)</f>
        <v>17.018820420008026</v>
      </c>
      <c r="AR110" s="262">
        <f>EXP(mu_r+sigma_r*Tabella34[[#This Row],[x_r_alpha©-minus]])-(Tabella34[[#This Row],[Day]]-pr)</f>
        <v>-38.043805934094777</v>
      </c>
      <c r="AS110" s="262">
        <f>-sigma_r+SQRT(sigma_r^2-2*Tabella34[[#This Row],[c_r]])</f>
        <v>1.0810844738767633</v>
      </c>
      <c r="AT110" s="262">
        <f>-sigma_r-SQRT(sigma_r^2-2*Tabella34[[#This Row],[c_r]])</f>
        <v>-1.7619390710704925</v>
      </c>
      <c r="AU110" s="262">
        <f>mu_r-LN(alpha*Kr/(Tabella34[[#This Row],[Lombardy velocity]]*sigma_r*SQRTPI(2)))</f>
        <v>-0.95240248682557826</v>
      </c>
      <c r="AV110" s="262">
        <f>Tabella34[[#This Row],[t_alpha_r+plus]]</f>
        <v>17.018820420008026</v>
      </c>
      <c r="AW110" s="90">
        <f>IFERROR(-Kl*_xlfn.LOGNORM.DIST((Tabella34[[#This Row],[Day]]-pl),mu_l,sigma_l,FALSE)*(1+(LN((Tabella34[[#This Row],[Day]]-pl))-mu_l)/sigma_l^2)/(Tabella34[[#This Row],[Day]]-pl),0)</f>
        <v>-41.726959905161195</v>
      </c>
      <c r="AX110" s="95">
        <f>Tabella34[[#This Row],[Lombardy acc. fit]]/y_l_peak</f>
        <v>-2.3736086779931762E-2</v>
      </c>
      <c r="AY110" s="157">
        <f>Tabella34[[#This Row],[Lombardy acc. fit]]*NOT(ISBLANK(Tabella34[[#This Row],[Lombardy data]]))</f>
        <v>-41.726959905161195</v>
      </c>
      <c r="AZ110" s="95">
        <f>Tabella34[[#This Row],[Lombardy acc. fit]]+CIl</f>
        <v>2528.6553630112476</v>
      </c>
      <c r="BA110" s="95">
        <f>MAX(Tabella34[[#This Row],[Lombardy acc. fit]]-CIl,0)</f>
        <v>0</v>
      </c>
      <c r="BB110" s="10">
        <f>Tabella8[[#This Row],[rest of Italy ]]</f>
        <v>166831</v>
      </c>
      <c r="BC110" s="10">
        <f>(Tabella34[[#This Row],[rest of Italy cum. Data]]-BB109)</f>
        <v>3804</v>
      </c>
      <c r="BD110" s="10">
        <f>Tabella34[[#This Row],[rest of Italy data]]-BC109</f>
        <v>-950</v>
      </c>
      <c r="BE110" s="95">
        <f>Tabella34[[#This Row],[rest of Italy data]]*NOT(ISBLANK(Tabella34[[#This Row],[rest of Italy data]]))</f>
        <v>3804</v>
      </c>
      <c r="BF110" s="95">
        <f>Tabella8[[#This Row],[rest of Italy fit]]</f>
        <v>97510.752623245149</v>
      </c>
      <c r="BG110" s="157" t="e">
        <f>_xlfn.LOGNORM.INV(alpha*Tabella34[[#This Row],[rest of Italy cumul. Fit]]/Ko,mu_o,sigma_o)-(Tabella34[[#This Row],[Day]]-po)</f>
        <v>#NUM!</v>
      </c>
      <c r="BH110" s="95">
        <f>Tabella34[[#This Row],[rest of Italy cumul. Fit]]/Ka</f>
        <v>0.65885651334202677</v>
      </c>
      <c r="BI110" s="157">
        <f>IFERROR(Ko*_xlfn.LOGNORM.DIST((Tabella34[[#This Row],[Day]]-po),mu_o,sigma_o,FALSE),0)</f>
        <v>2587.1765619750977</v>
      </c>
      <c r="BJ110" s="199">
        <f>Tabella34[[#This Row],[rest of Italy velocity]]/Tabella34[[#This Row],[rest of Italy cumul. Fit]]</f>
        <v>2.6532218164403258E-2</v>
      </c>
      <c r="BK110" s="254">
        <f>(LN(Tabella34[[#This Row],[Day]]-po)-mu_o)/sigma_o</f>
        <v>0.40934434950812054</v>
      </c>
      <c r="BL110" s="262">
        <f>EXP(mu_o+sigma_o*Tabella34[[#This Row],[x_o_alpha©+plus]])-(Tabella34[[#This Row],[Day]]-po)</f>
        <v>15.300202373930716</v>
      </c>
      <c r="BM110" s="262">
        <f>EXP(mu_o+sigma_o*Tabella34[[#This Row],[x_o_alpha©-minus]])-(Tabella34[[#This Row],[Day]]-po)</f>
        <v>-32.224657459144687</v>
      </c>
      <c r="BN110" s="262">
        <f>-sigma_o+SQRT(sigma_o^2-2*Tabella34[[#This Row],[c_o]])</f>
        <v>1.0643014482706707</v>
      </c>
      <c r="BO110" s="262">
        <f>-sigma_o-SQRT(sigma_o^2-2*Tabella34[[#This Row],[c_o]])</f>
        <v>-1.7072742255696967</v>
      </c>
      <c r="BP110" s="262">
        <f>mu_o-LN(alpha*Ko/(Tabella34[[#This Row],[rest of Italy velocity]]*sigma_o*SQRTPI(2)))</f>
        <v>-0.90852721543450787</v>
      </c>
      <c r="BQ110" s="262">
        <f>Tabella34[[#This Row],[t_alpha_o+plus]]</f>
        <v>15.300202373930716</v>
      </c>
      <c r="BR110" s="90">
        <f>IFERROR(-Ka*_xlfn.LOGNORM.DIST((Tabella34[[#This Row],[Day]]-pa),mu_a,sigma_a,FALSE)*(1+(LN((Tabella34[[#This Row],[Day]]-pa))-mu_a)/sigma_a^2)/(Tabella34[[#This Row],[Day]]-pa),0)</f>
        <v>-90.09133236591498</v>
      </c>
      <c r="BS110" s="95">
        <f>Tabella34[[#This Row],[rest of Italy acc. fit]]/y_a_peak</f>
        <v>-2.6660952061232809E-2</v>
      </c>
      <c r="BT110" s="95">
        <f>Tabella34[[#This Row],[rest of Italy acc. fit]]*NOT(ISBLANK(Tabella34[[#This Row],[rest of Italy data]]))</f>
        <v>-90.09133236591498</v>
      </c>
      <c r="BU110" s="95">
        <f>Tabella34[[#This Row],[rest of Italy acc. fit]]+CIa</f>
        <v>5248.7481027941021</v>
      </c>
      <c r="BV110" s="95">
        <f>MAX(Tabella34[[#This Row],[rest of Italy acc. fit]]-CIa,0)</f>
        <v>0</v>
      </c>
    </row>
    <row r="111" spans="2:74" x14ac:dyDescent="0.3">
      <c r="B111" s="281">
        <v>43934</v>
      </c>
      <c r="C111" s="4">
        <v>104</v>
      </c>
      <c r="D111" s="10">
        <f>Tabella8[[#This Row],[Spain cum. Cases]]</f>
        <v>170099</v>
      </c>
      <c r="E111" s="90">
        <f>(Tabella34[[#This Row],[Spain cumul. Cases]]-D110)</f>
        <v>3268</v>
      </c>
      <c r="F111" s="90">
        <f>Tabella34[[#This Row],[Spain daily cases]]-E110</f>
        <v>-536</v>
      </c>
      <c r="G111" s="95">
        <f>Tabella34[[#This Row],[Spain daily cases]]*NOT(ISBLANK(Tabella34[[#This Row],[Spain daily cases]]))</f>
        <v>3268</v>
      </c>
      <c r="H111" s="157">
        <f>Tabella8[[#This Row],[Spain cum. fit]]</f>
        <v>171175.38177547927</v>
      </c>
      <c r="I111" s="157" t="e">
        <f>_xlfn.LOGNORM.INV(alpha*Tabella34[[#This Row],[Spain cumul. Fit]]/Kt,mu_t,sigma_t)-(Tabella34[[#This Row],[Day]]-pt)</f>
        <v>#NUM!</v>
      </c>
      <c r="J111" s="157" t="e">
        <f>Tabella34[[#This Row],[Spain fitted d.t.]]/Spain_dt_at_lockdown</f>
        <v>#NUM!</v>
      </c>
      <c r="K111" s="95">
        <f>Tabella34[[#This Row],[Spain cumul. Fit]]/Kf</f>
        <v>0.61134087677126825</v>
      </c>
      <c r="L111" s="160"/>
      <c r="M111" s="95"/>
      <c r="N111" s="157">
        <f>IFERROR(Kt*_xlfn.LOGNORM.DIST((Tabella34[[#This Row],[Day]]-pt),mu_t,sigma_t,FALSE),0)</f>
        <v>5732.9119535054133</v>
      </c>
      <c r="O111" s="157" t="e">
        <f>Kt*EXP(-0.5*Tabella34[[#This Row],[x_t]]^2)/(sigma_t*SQRTPI(2)*(Tabella34[[#This Row],[Day]]-D_bk))</f>
        <v>#NAME?</v>
      </c>
      <c r="P111" s="199">
        <f>Tabella34[[#This Row],[Spain fitted velocity]]/Tabella34[[#This Row],[Spain cumul. Fit]]</f>
        <v>3.3491451247498534E-2</v>
      </c>
      <c r="Q111" s="262">
        <f>(LN(Tabella34[[#This Row],[Day]]-pt)-mu_t)/sigma_t</f>
        <v>0.28281553322414277</v>
      </c>
      <c r="R111" s="262">
        <f>EXP(mu_t+sigma_t*Tabella34[[#This Row],[x_t_alpha©+plus]])-(Tabella34[[#This Row],[Day]]-pt)</f>
        <v>15.524626267079483</v>
      </c>
      <c r="S111" s="262">
        <f>EXP(mu_t+sigma_t*Tabella34[[#This Row],[x_t_alpha©-minus]])-(Tabella34[[#This Row],[Day]]-pt)</f>
        <v>-27.309896872118124</v>
      </c>
      <c r="T111" s="262">
        <f>-sigma_t+SQRT(sigma_t^2-2*Tabella34[[#This Row],[c_t]])</f>
        <v>1.0314670220355269</v>
      </c>
      <c r="U111" s="262">
        <f>-sigma_t-SQRT(sigma_t^2-2*Tabella34[[#This Row],[c_t]])</f>
        <v>-1.5689063718786942</v>
      </c>
      <c r="V111" s="262">
        <f>mu_t-LN(alpha*Kt/(Tabella34[[#This Row],[Spain fitted velocity]]*sigma_t*SQRTPI(2)))</f>
        <v>-0.80913759162713994</v>
      </c>
      <c r="W111" s="262">
        <f>Tabella34[[#This Row],[Spain fitted g.r.]]/Spain_gr_at_lockdown</f>
        <v>0.16162652399981062</v>
      </c>
      <c r="X111" s="262">
        <f>Tabella34[[#This Row],[t_alpha_t+plus]]</f>
        <v>15.524626267079483</v>
      </c>
      <c r="Y111" s="262">
        <f>Tabella34[[#This Row],[Spain fitted h.t.]]/Spain_ht_at_lockdown</f>
        <v>0.25218457758686108</v>
      </c>
      <c r="Z111" s="90">
        <f>IFERROR(-Kf*_xlfn.LOGNORM.DIST((Tabella34[[#This Row],[Day]]-pf),mu_f,sigma_f,FALSE)*(1+(LN((Tabella34[[#This Row],[Day]]-pf))-mu_f)/sigma_f^2)/(Tabella34[[#This Row],[Day]]-pf),0)</f>
        <v>-168.89791590225209</v>
      </c>
      <c r="AA111" s="90">
        <f>Tabella34[[#This Row],[Spain acc. fit]]/Spain_acc_at_lockdown</f>
        <v>-0.57554826304713214</v>
      </c>
      <c r="AB111" s="95">
        <f>Tabella34[[#This Row],[Spain acc. fit]]/y_f_peak</f>
        <v>-2.530432540173342E-2</v>
      </c>
      <c r="AC111" s="157">
        <f>Tabella34[[#This Row],[Colonna4]]*NOT(ISBLANK(Tabella34[[#This Row],[Spain daily cases]]))</f>
        <v>0</v>
      </c>
      <c r="AD111" s="157">
        <f>Tabella34[[#This Row],[Spain acc. fit]]*NOT(ISBLANK(Tabella34[[#This Row],[Spain daily cases]]))</f>
        <v>-168.89791590225209</v>
      </c>
      <c r="AE111" s="95">
        <f>Tabella34[[#This Row],[Spain acc. fit]]+CIf</f>
        <v>2173.7905017788407</v>
      </c>
      <c r="AF111" s="95">
        <f>MAX(Tabella34[[#This Row],[Spain acc. fit]]-CIf,0)</f>
        <v>0</v>
      </c>
      <c r="AG111" s="4">
        <f>Tabella8[[#This Row],[Lombardy]]</f>
        <v>0</v>
      </c>
      <c r="AH111" s="90">
        <f>(Tabella34[[#This Row],[Lombardy cumul. Data]]-AG110)</f>
        <v>0</v>
      </c>
      <c r="AI111" s="90">
        <f>Tabella34[[#This Row],[Lombardy data]]-AH110</f>
        <v>0</v>
      </c>
      <c r="AJ111" s="95">
        <f>Tabella34[[#This Row],[Lombardy data]]*NOT(ISBLANK(Tabella34[[#This Row],[Lombardy data]]))</f>
        <v>0</v>
      </c>
      <c r="AK111" s="95">
        <f>Tabella8[[#This Row],[Lombardy fit]]</f>
        <v>60056.3217947015</v>
      </c>
      <c r="AL111" s="157" t="e">
        <f>_xlfn.LOGNORM.INV(alpha*Tabella34[[#This Row],[Lombardy cumul. Fit]]/Kr,mu_r,sigma_r)-(Tabella34[[#This Row],[Day]]-pr)</f>
        <v>#NUM!</v>
      </c>
      <c r="AM111" s="95">
        <f>Tabella34[[#This Row],[Lombardy cumul. Fit]]/Kl</f>
        <v>0.69030254936438507</v>
      </c>
      <c r="AN111" s="95">
        <f>IFERROR(Kr*_xlfn.LOGNORM.DIST((Tabella34[[#This Row],[Day]]-pr),mu_r,sigma_r,FALSE),0)</f>
        <v>1238.3168192739481</v>
      </c>
      <c r="AO111" s="202">
        <f>Tabella34[[#This Row],[Lombardy velocity]]/Tabella34[[#This Row],[Lombardy cumul. Fit]]</f>
        <v>2.0619258427231873E-2</v>
      </c>
      <c r="AP111" s="259">
        <f>(LN(Tabella34[[#This Row],[Day]]-pr)-mu_r)/sigma_r</f>
        <v>0.49670811181235841</v>
      </c>
      <c r="AQ111" s="262">
        <f>EXP(mu_r+sigma_r*Tabella34[[#This Row],[x_r_alpha©+plus]])-(Tabella34[[#This Row],[Day]]-pr)</f>
        <v>16.721828950957374</v>
      </c>
      <c r="AR111" s="262">
        <f>EXP(mu_r+sigma_r*Tabella34[[#This Row],[x_r_alpha©-minus]])-(Tabella34[[#This Row],[Day]]-pr)</f>
        <v>-39.308782213850009</v>
      </c>
      <c r="AS111" s="262">
        <f>-sigma_r+SQRT(sigma_r^2-2*Tabella34[[#This Row],[c_r]])</f>
        <v>1.1042491553127669</v>
      </c>
      <c r="AT111" s="262">
        <f>-sigma_r-SQRT(sigma_r^2-2*Tabella34[[#This Row],[c_r]])</f>
        <v>-1.7851037525064961</v>
      </c>
      <c r="AU111" s="262">
        <f>mu_r-LN(alpha*Kr/(Tabella34[[#This Row],[Lombardy velocity]]*sigma_r*SQRTPI(2)))</f>
        <v>-0.98559965542547445</v>
      </c>
      <c r="AV111" s="262">
        <f>Tabella34[[#This Row],[t_alpha_r+plus]]</f>
        <v>16.721828950957374</v>
      </c>
      <c r="AW111" s="90">
        <f>IFERROR(-Kl*_xlfn.LOGNORM.DIST((Tabella34[[#This Row],[Day]]-pl),mu_l,sigma_l,FALSE)*(1+(LN((Tabella34[[#This Row],[Day]]-pl))-mu_l)/sigma_l^2)/(Tabella34[[#This Row],[Day]]-pl),0)</f>
        <v>-41.841213980991569</v>
      </c>
      <c r="AX111" s="95">
        <f>Tabella34[[#This Row],[Lombardy acc. fit]]/y_l_peak</f>
        <v>-2.3801079404964461E-2</v>
      </c>
      <c r="AY111" s="157">
        <f>Tabella34[[#This Row],[Lombardy acc. fit]]*NOT(ISBLANK(Tabella34[[#This Row],[Lombardy data]]))</f>
        <v>-41.841213980991569</v>
      </c>
      <c r="AZ111" s="95">
        <f>Tabella34[[#This Row],[Lombardy acc. fit]]+CIl</f>
        <v>2528.541108935417</v>
      </c>
      <c r="BA111" s="95">
        <f>MAX(Tabella34[[#This Row],[Lombardy acc. fit]]-CIl,0)</f>
        <v>0</v>
      </c>
      <c r="BB111" s="10">
        <f>Tabella8[[#This Row],[rest of Italy ]]</f>
        <v>170099</v>
      </c>
      <c r="BC111" s="10">
        <f>(Tabella34[[#This Row],[rest of Italy cum. Data]]-BB110)</f>
        <v>3268</v>
      </c>
      <c r="BD111" s="10">
        <f>Tabella34[[#This Row],[rest of Italy data]]-BC110</f>
        <v>-536</v>
      </c>
      <c r="BE111" s="95">
        <f>Tabella34[[#This Row],[rest of Italy data]]*NOT(ISBLANK(Tabella34[[#This Row],[rest of Italy data]]))</f>
        <v>3268</v>
      </c>
      <c r="BF111" s="95">
        <f>Tabella8[[#This Row],[rest of Italy fit]]</f>
        <v>100052.68152131849</v>
      </c>
      <c r="BG111" s="157" t="e">
        <f>_xlfn.LOGNORM.INV(alpha*Tabella34[[#This Row],[rest of Italy cumul. Fit]]/Ko,mu_o,sigma_o)-(Tabella34[[#This Row],[Day]]-po)</f>
        <v>#NUM!</v>
      </c>
      <c r="BH111" s="95">
        <f>Tabella34[[#This Row],[rest of Italy cumul. Fit]]/Ka</f>
        <v>0.67603171059866962</v>
      </c>
      <c r="BI111" s="157">
        <f>IFERROR(Ko*_xlfn.LOGNORM.DIST((Tabella34[[#This Row],[Day]]-po),mu_o,sigma_o,FALSE),0)</f>
        <v>2496.5028887607327</v>
      </c>
      <c r="BJ111" s="199">
        <f>Tabella34[[#This Row],[rest of Italy velocity]]/Tabella34[[#This Row],[rest of Italy cumul. Fit]]</f>
        <v>2.4951883855594579E-2</v>
      </c>
      <c r="BK111" s="254">
        <f>(LN(Tabella34[[#This Row],[Day]]-po)-mu_o)/sigma_o</f>
        <v>0.45663060308288816</v>
      </c>
      <c r="BL111" s="262">
        <f>EXP(mu_o+sigma_o*Tabella34[[#This Row],[x_o_alpha©+plus]])-(Tabella34[[#This Row],[Day]]-po)</f>
        <v>14.963777741104423</v>
      </c>
      <c r="BM111" s="262">
        <f>EXP(mu_o+sigma_o*Tabella34[[#This Row],[x_o_alpha©-minus]])-(Tabella34[[#This Row],[Day]]-po)</f>
        <v>-33.494656281929515</v>
      </c>
      <c r="BN111" s="262">
        <f>-sigma_o+SQRT(sigma_o^2-2*Tabella34[[#This Row],[c_o]])</f>
        <v>1.0898110335626066</v>
      </c>
      <c r="BO111" s="262">
        <f>-sigma_o-SQRT(sigma_o^2-2*Tabella34[[#This Row],[c_o]])</f>
        <v>-1.7327838108616329</v>
      </c>
      <c r="BP111" s="262">
        <f>mu_o-LN(alpha*Ko/(Tabella34[[#This Row],[rest of Italy velocity]]*sigma_o*SQRTPI(2)))</f>
        <v>-0.94420345792783422</v>
      </c>
      <c r="BQ111" s="262">
        <f>Tabella34[[#This Row],[t_alpha_o+plus]]</f>
        <v>14.963777741104423</v>
      </c>
      <c r="BR111" s="90">
        <f>IFERROR(-Ka*_xlfn.LOGNORM.DIST((Tabella34[[#This Row],[Day]]-pa),mu_a,sigma_a,FALSE)*(1+(LN((Tabella34[[#This Row],[Day]]-pa))-mu_a)/sigma_a^2)/(Tabella34[[#This Row],[Day]]-pa),0)</f>
        <v>-91.162245236947626</v>
      </c>
      <c r="BS111" s="95">
        <f>Tabella34[[#This Row],[rest of Italy acc. fit]]/y_a_peak</f>
        <v>-2.6977869970720412E-2</v>
      </c>
      <c r="BT111" s="95">
        <f>Tabella34[[#This Row],[rest of Italy acc. fit]]*NOT(ISBLANK(Tabella34[[#This Row],[rest of Italy data]]))</f>
        <v>-91.162245236947626</v>
      </c>
      <c r="BU111" s="95">
        <f>Tabella34[[#This Row],[rest of Italy acc. fit]]+CIa</f>
        <v>5247.6771899230698</v>
      </c>
      <c r="BV111" s="95">
        <f>MAX(Tabella34[[#This Row],[rest of Italy acc. fit]]-CIa,0)</f>
        <v>0</v>
      </c>
    </row>
    <row r="112" spans="2:74" x14ac:dyDescent="0.3">
      <c r="B112" s="281">
        <v>43935</v>
      </c>
      <c r="C112" s="4">
        <v>105</v>
      </c>
      <c r="D112" s="10">
        <f>Tabella8[[#This Row],[Spain cum. Cases]]</f>
        <v>172541</v>
      </c>
      <c r="E112" s="90">
        <f>(Tabella34[[#This Row],[Spain cumul. Cases]]-D111)</f>
        <v>2442</v>
      </c>
      <c r="F112" s="90">
        <f>Tabella34[[#This Row],[Spain daily cases]]-E111</f>
        <v>-826</v>
      </c>
      <c r="G112" s="95">
        <f>Tabella34[[#This Row],[Spain daily cases]]*NOT(ISBLANK(Tabella34[[#This Row],[Spain daily cases]]))</f>
        <v>2442</v>
      </c>
      <c r="H112" s="157">
        <f>Tabella8[[#This Row],[Spain cum. fit]]</f>
        <v>176822.42284665449</v>
      </c>
      <c r="I112" s="157" t="e">
        <f>_xlfn.LOGNORM.INV(alpha*Tabella34[[#This Row],[Spain cumul. Fit]]/Kt,mu_t,sigma_t)-(Tabella34[[#This Row],[Day]]-pt)</f>
        <v>#NUM!</v>
      </c>
      <c r="J112" s="157" t="e">
        <f>Tabella34[[#This Row],[Spain fitted d.t.]]/Spain_dt_at_lockdown</f>
        <v>#NUM!</v>
      </c>
      <c r="K112" s="95">
        <f>Tabella34[[#This Row],[Spain cumul. Fit]]/Kf</f>
        <v>0.63150888810448536</v>
      </c>
      <c r="L112" s="160"/>
      <c r="M112" s="95"/>
      <c r="N112" s="157">
        <f>IFERROR(Kt*_xlfn.LOGNORM.DIST((Tabella34[[#This Row],[Day]]-pt),mu_t,sigma_t,FALSE),0)</f>
        <v>5559.8186031841678</v>
      </c>
      <c r="O112" s="157" t="e">
        <f>Kt*EXP(-0.5*Tabella34[[#This Row],[x_t]]^2)/(sigma_t*SQRTPI(2)*(Tabella34[[#This Row],[Day]]-D_bk))</f>
        <v>#NAME?</v>
      </c>
      <c r="P112" s="199">
        <f>Tabella34[[#This Row],[Spain fitted velocity]]/Tabella34[[#This Row],[Spain cumul. Fit]]</f>
        <v>3.1442950015484195E-2</v>
      </c>
      <c r="Q112" s="262">
        <f>(LN(Tabella34[[#This Row],[Day]]-pt)-mu_t)/sigma_t</f>
        <v>0.33585233315880281</v>
      </c>
      <c r="R112" s="262">
        <f>EXP(mu_t+sigma_t*Tabella34[[#This Row],[x_t_alpha©+plus]])-(Tabella34[[#This Row],[Day]]-pt)</f>
        <v>15.061303210044613</v>
      </c>
      <c r="S112" s="262">
        <f>EXP(mu_t+sigma_t*Tabella34[[#This Row],[x_t_alpha©-minus]])-(Tabella34[[#This Row],[Day]]-pt)</f>
        <v>-28.575059920106789</v>
      </c>
      <c r="T112" s="262">
        <f>-sigma_t+SQRT(sigma_t^2-2*Tabella34[[#This Row],[c_t]])</f>
        <v>1.0548367742237641</v>
      </c>
      <c r="U112" s="262">
        <f>-sigma_t-SQRT(sigma_t^2-2*Tabella34[[#This Row],[c_t]])</f>
        <v>-1.5922761240669314</v>
      </c>
      <c r="V112" s="262">
        <f>mu_t-LN(alpha*Kt/(Tabella34[[#This Row],[Spain fitted velocity]]*sigma_t*SQRTPI(2)))</f>
        <v>-0.83979570519213986</v>
      </c>
      <c r="W112" s="262">
        <f>Tabella34[[#This Row],[Spain fitted g.r.]]/Spain_gr_at_lockdown</f>
        <v>0.15174065398799569</v>
      </c>
      <c r="X112" s="262">
        <f>Tabella34[[#This Row],[t_alpha_t+plus]]</f>
        <v>15.061303210044613</v>
      </c>
      <c r="Y112" s="262">
        <f>Tabella34[[#This Row],[Spain fitted h.t.]]/Spain_ht_at_lockdown</f>
        <v>0.24465828178981758</v>
      </c>
      <c r="Z112" s="90">
        <f>IFERROR(-Kf*_xlfn.LOGNORM.DIST((Tabella34[[#This Row],[Day]]-pf),mu_f,sigma_f,FALSE)*(1+(LN((Tabella34[[#This Row],[Day]]-pf))-mu_f)/sigma_f^2)/(Tabella34[[#This Row],[Day]]-pf),0)</f>
        <v>-177.00879931227584</v>
      </c>
      <c r="AA112" s="90">
        <f>Tabella34[[#This Row],[Spain acc. fit]]/Spain_acc_at_lockdown</f>
        <v>-0.60318747240906789</v>
      </c>
      <c r="AB112" s="95">
        <f>Tabella34[[#This Row],[Spain acc. fit]]/y_f_peak</f>
        <v>-2.6519499857891558E-2</v>
      </c>
      <c r="AC112" s="157">
        <f>Tabella34[[#This Row],[Colonna4]]*NOT(ISBLANK(Tabella34[[#This Row],[Spain daily cases]]))</f>
        <v>0</v>
      </c>
      <c r="AD112" s="157">
        <f>Tabella34[[#This Row],[Spain acc. fit]]*NOT(ISBLANK(Tabella34[[#This Row],[Spain daily cases]]))</f>
        <v>-177.00879931227584</v>
      </c>
      <c r="AE112" s="95">
        <f>Tabella34[[#This Row],[Spain acc. fit]]+CIf</f>
        <v>2165.679618368817</v>
      </c>
      <c r="AF112" s="95">
        <f>MAX(Tabella34[[#This Row],[Spain acc. fit]]-CIf,0)</f>
        <v>0</v>
      </c>
      <c r="AG112" s="4">
        <f>Tabella8[[#This Row],[Lombardy]]</f>
        <v>0</v>
      </c>
      <c r="AH112" s="90">
        <f>(Tabella34[[#This Row],[Lombardy cumul. Data]]-AG111)</f>
        <v>0</v>
      </c>
      <c r="AI112" s="90">
        <f>Tabella34[[#This Row],[Lombardy data]]-AH111</f>
        <v>0</v>
      </c>
      <c r="AJ112" s="95">
        <f>Tabella34[[#This Row],[Lombardy data]]*NOT(ISBLANK(Tabella34[[#This Row],[Lombardy data]]))</f>
        <v>0</v>
      </c>
      <c r="AK112" s="95">
        <f>Tabella8[[#This Row],[Lombardy fit]]</f>
        <v>61273.720002643167</v>
      </c>
      <c r="AL112" s="157" t="e">
        <f>_xlfn.LOGNORM.INV(alpha*Tabella34[[#This Row],[Lombardy cumul. Fit]]/Kr,mu_r,sigma_r)-(Tabella34[[#This Row],[Day]]-pr)</f>
        <v>#NUM!</v>
      </c>
      <c r="AM112" s="95">
        <f>Tabella34[[#This Row],[Lombardy cumul. Fit]]/Kl</f>
        <v>0.70429563221428926</v>
      </c>
      <c r="AN112" s="95">
        <f>IFERROR(Kr*_xlfn.LOGNORM.DIST((Tabella34[[#This Row],[Day]]-pr),mu_r,sigma_r,FALSE),0)</f>
        <v>1196.4882383786437</v>
      </c>
      <c r="AO112" s="202">
        <f>Tabella34[[#This Row],[Lombardy velocity]]/Tabella34[[#This Row],[Lombardy cumul. Fit]]</f>
        <v>1.9526939743939663E-2</v>
      </c>
      <c r="AP112" s="259">
        <f>(LN(Tabella34[[#This Row],[Day]]-pr)-mu_r)/sigma_r</f>
        <v>0.53679570963203249</v>
      </c>
      <c r="AQ112" s="262">
        <f>EXP(mu_r+sigma_r*Tabella34[[#This Row],[x_r_alpha©+plus]])-(Tabella34[[#This Row],[Day]]-pr)</f>
        <v>16.44355107581562</v>
      </c>
      <c r="AR112" s="262">
        <f>EXP(mu_r+sigma_r*Tabella34[[#This Row],[x_r_alpha©-minus]])-(Tabella34[[#This Row],[Day]]-pr)</f>
        <v>-40.576516216965814</v>
      </c>
      <c r="AS112" s="262">
        <f>-sigma_r+SQRT(sigma_r^2-2*Tabella34[[#This Row],[c_r]])</f>
        <v>1.1278419434994365</v>
      </c>
      <c r="AT112" s="262">
        <f>-sigma_r-SQRT(sigma_r^2-2*Tabella34[[#This Row],[c_r]])</f>
        <v>-1.8086965406931657</v>
      </c>
      <c r="AU112" s="262">
        <f>mu_r-LN(alpha*Kr/(Tabella34[[#This Row],[Lombardy velocity]]*sigma_r*SQRTPI(2)))</f>
        <v>-1.0199619108280435</v>
      </c>
      <c r="AV112" s="262">
        <f>Tabella34[[#This Row],[t_alpha_r+plus]]</f>
        <v>16.44355107581562</v>
      </c>
      <c r="AW112" s="90">
        <f>IFERROR(-Kl*_xlfn.LOGNORM.DIST((Tabella34[[#This Row],[Day]]-pl),mu_l,sigma_l,FALSE)*(1+(LN((Tabella34[[#This Row],[Day]]-pl))-mu_l)/sigma_l^2)/(Tabella34[[#This Row],[Day]]-pl),0)</f>
        <v>-41.7896237660187</v>
      </c>
      <c r="AX112" s="95">
        <f>Tabella34[[#This Row],[Lombardy acc. fit]]/y_l_peak</f>
        <v>-2.3771732675119426E-2</v>
      </c>
      <c r="AY112" s="157">
        <f>Tabella34[[#This Row],[Lombardy acc. fit]]*NOT(ISBLANK(Tabella34[[#This Row],[Lombardy data]]))</f>
        <v>-41.7896237660187</v>
      </c>
      <c r="AZ112" s="95">
        <f>Tabella34[[#This Row],[Lombardy acc. fit]]+CIl</f>
        <v>2528.5926991503898</v>
      </c>
      <c r="BA112" s="95">
        <f>MAX(Tabella34[[#This Row],[Lombardy acc. fit]]-CIl,0)</f>
        <v>0</v>
      </c>
      <c r="BB112" s="10">
        <f>Tabella8[[#This Row],[rest of Italy ]]</f>
        <v>172541</v>
      </c>
      <c r="BC112" s="10">
        <f>(Tabella34[[#This Row],[rest of Italy cum. Data]]-BB111)</f>
        <v>2442</v>
      </c>
      <c r="BD112" s="10">
        <f>Tabella34[[#This Row],[rest of Italy data]]-BC111</f>
        <v>-826</v>
      </c>
      <c r="BE112" s="95">
        <f>Tabella34[[#This Row],[rest of Italy data]]*NOT(ISBLANK(Tabella34[[#This Row],[rest of Italy data]]))</f>
        <v>2442</v>
      </c>
      <c r="BF112" s="95">
        <f>Tabella8[[#This Row],[rest of Italy fit]]</f>
        <v>102503.49296044245</v>
      </c>
      <c r="BG112" s="157" t="e">
        <f>_xlfn.LOGNORM.INV(alpha*Tabella34[[#This Row],[rest of Italy cumul. Fit]]/Ko,mu_o,sigma_o)-(Tabella34[[#This Row],[Day]]-po)</f>
        <v>#NUM!</v>
      </c>
      <c r="BH112" s="95">
        <f>Tabella34[[#This Row],[rest of Italy cumul. Fit]]/Ka</f>
        <v>0.69259124927722804</v>
      </c>
      <c r="BI112" s="157">
        <f>IFERROR(Ko*_xlfn.LOGNORM.DIST((Tabella34[[#This Row],[Day]]-po),mu_o,sigma_o,FALSE),0)</f>
        <v>2405.0312191711232</v>
      </c>
      <c r="BJ112" s="199">
        <f>Tabella34[[#This Row],[rest of Italy velocity]]/Tabella34[[#This Row],[rest of Italy cumul. Fit]]</f>
        <v>2.3462919649960209E-2</v>
      </c>
      <c r="BK112" s="254">
        <f>(LN(Tabella34[[#This Row],[Day]]-po)-mu_o)/sigma_o</f>
        <v>0.50320876724223729</v>
      </c>
      <c r="BL112" s="262">
        <f>EXP(mu_o+sigma_o*Tabella34[[#This Row],[x_o_alpha©+plus]])-(Tabella34[[#This Row],[Day]]-po)</f>
        <v>14.651162781476827</v>
      </c>
      <c r="BM112" s="262">
        <f>EXP(mu_o+sigma_o*Tabella34[[#This Row],[x_o_alpha©-minus]])-(Tabella34[[#This Row],[Day]]-po)</f>
        <v>-34.769731303028152</v>
      </c>
      <c r="BN112" s="262">
        <f>-sigma_o+SQRT(sigma_o^2-2*Tabella34[[#This Row],[c_o]])</f>
        <v>1.1160171630926063</v>
      </c>
      <c r="BO112" s="262">
        <f>-sigma_o-SQRT(sigma_o^2-2*Tabella34[[#This Row],[c_o]])</f>
        <v>-1.7589899403916327</v>
      </c>
      <c r="BP112" s="262">
        <f>mu_o-LN(alpha*Ko/(Tabella34[[#This Row],[rest of Italy velocity]]*sigma_o*SQRTPI(2)))</f>
        <v>-0.98153148159215142</v>
      </c>
      <c r="BQ112" s="262">
        <f>Tabella34[[#This Row],[t_alpha_o+plus]]</f>
        <v>14.651162781476827</v>
      </c>
      <c r="BR112" s="90">
        <f>IFERROR(-Ka*_xlfn.LOGNORM.DIST((Tabella34[[#This Row],[Day]]-pa),mu_a,sigma_a,FALSE)*(1+(LN((Tabella34[[#This Row],[Day]]-pa))-mu_a)/sigma_a^2)/(Tabella34[[#This Row],[Day]]-pa),0)</f>
        <v>-91.695700029204119</v>
      </c>
      <c r="BS112" s="95">
        <f>Tabella34[[#This Row],[rest of Italy acc. fit]]/y_a_peak</f>
        <v>-2.7135736574195865E-2</v>
      </c>
      <c r="BT112" s="95">
        <f>Tabella34[[#This Row],[rest of Italy acc. fit]]*NOT(ISBLANK(Tabella34[[#This Row],[rest of Italy data]]))</f>
        <v>-91.695700029204119</v>
      </c>
      <c r="BU112" s="95">
        <f>Tabella34[[#This Row],[rest of Italy acc. fit]]+CIa</f>
        <v>5247.1437351308132</v>
      </c>
      <c r="BV112" s="95">
        <f>MAX(Tabella34[[#This Row],[rest of Italy acc. fit]]-CIa,0)</f>
        <v>0</v>
      </c>
    </row>
    <row r="113" spans="2:74" x14ac:dyDescent="0.3">
      <c r="B113" s="281">
        <v>43936</v>
      </c>
      <c r="C113" s="4">
        <v>106</v>
      </c>
      <c r="D113" s="10">
        <f>Tabella8[[#This Row],[Spain cum. Cases]]</f>
        <v>177644</v>
      </c>
      <c r="E113" s="90">
        <f>(Tabella34[[#This Row],[Spain cumul. Cases]]-D112)</f>
        <v>5103</v>
      </c>
      <c r="F113" s="90">
        <f>Tabella34[[#This Row],[Spain daily cases]]-E112</f>
        <v>2661</v>
      </c>
      <c r="G113" s="95">
        <f>Tabella34[[#This Row],[Spain daily cases]]*NOT(ISBLANK(Tabella34[[#This Row],[Spain daily cases]]))</f>
        <v>5103</v>
      </c>
      <c r="H113" s="157">
        <f>Tabella8[[#This Row],[Spain cum. fit]]</f>
        <v>182292.59155520526</v>
      </c>
      <c r="I113" s="157" t="e">
        <f>_xlfn.LOGNORM.INV(alpha*Tabella34[[#This Row],[Spain cumul. Fit]]/Kt,mu_t,sigma_t)-(Tabella34[[#This Row],[Day]]-pt)</f>
        <v>#NUM!</v>
      </c>
      <c r="J113" s="157" t="e">
        <f>Tabella34[[#This Row],[Spain fitted d.t.]]/Spain_dt_at_lockdown</f>
        <v>#NUM!</v>
      </c>
      <c r="K113" s="95">
        <f>Tabella34[[#This Row],[Spain cumul. Fit]]/Kf</f>
        <v>0.65104521219318223</v>
      </c>
      <c r="L113" s="160"/>
      <c r="M113" s="95"/>
      <c r="N113" s="157">
        <f>IFERROR(Kt*_xlfn.LOGNORM.DIST((Tabella34[[#This Row],[Day]]-pt),mu_t,sigma_t,FALSE),0)</f>
        <v>5379.440040265582</v>
      </c>
      <c r="O113" s="157" t="e">
        <f>Kt*EXP(-0.5*Tabella34[[#This Row],[x_t]]^2)/(sigma_t*SQRTPI(2)*(Tabella34[[#This Row],[Day]]-D_bk))</f>
        <v>#NAME?</v>
      </c>
      <c r="P113" s="199">
        <f>Tabella34[[#This Row],[Spain fitted velocity]]/Tabella34[[#This Row],[Spain cumul. Fit]]</f>
        <v>2.9509921354299685E-2</v>
      </c>
      <c r="Q113" s="262">
        <f>(LN(Tabella34[[#This Row],[Day]]-pt)-mu_t)/sigma_t</f>
        <v>0.38814386015867719</v>
      </c>
      <c r="R113" s="262">
        <f>EXP(mu_t+sigma_t*Tabella34[[#This Row],[x_t_alpha©+plus]])-(Tabella34[[#This Row],[Day]]-pt)</f>
        <v>14.63193429381343</v>
      </c>
      <c r="S113" s="262">
        <f>EXP(mu_t+sigma_t*Tabella34[[#This Row],[x_t_alpha©-minus]])-(Tabella34[[#This Row],[Day]]-pt)</f>
        <v>-29.853381538962211</v>
      </c>
      <c r="T113" s="262">
        <f>-sigma_t+SQRT(sigma_t^2-2*Tabella34[[#This Row],[c_t]])</f>
        <v>1.0795251340200371</v>
      </c>
      <c r="U113" s="262">
        <f>-sigma_t-SQRT(sigma_t^2-2*Tabella34[[#This Row],[c_t]])</f>
        <v>-1.6169644838632045</v>
      </c>
      <c r="V113" s="262">
        <f>mu_t-LN(alpha*Kt/(Tabella34[[#This Row],[Spain fitted velocity]]*sigma_t*SQRTPI(2)))</f>
        <v>-0.87277690057403312</v>
      </c>
      <c r="W113" s="262">
        <f>Tabella34[[#This Row],[Spain fitted g.r.]]/Spain_gr_at_lockdown</f>
        <v>0.14241204350198114</v>
      </c>
      <c r="X113" s="262">
        <f>Tabella34[[#This Row],[t_alpha_t+plus]]</f>
        <v>14.63193429381343</v>
      </c>
      <c r="Y113" s="262">
        <f>Tabella34[[#This Row],[Spain fitted h.t.]]/Spain_ht_at_lockdown</f>
        <v>0.23768354262986102</v>
      </c>
      <c r="Z113" s="90">
        <f>IFERROR(-Kf*_xlfn.LOGNORM.DIST((Tabella34[[#This Row],[Day]]-pf),mu_f,sigma_f,FALSE)*(1+(LN((Tabella34[[#This Row],[Day]]-pf))-mu_f)/sigma_f^2)/(Tabella34[[#This Row],[Day]]-pf),0)</f>
        <v>-183.48299486565685</v>
      </c>
      <c r="AA113" s="90">
        <f>Tabella34[[#This Row],[Spain acc. fit]]/Spain_acc_at_lockdown</f>
        <v>-0.6252493906125608</v>
      </c>
      <c r="AB113" s="95">
        <f>Tabella34[[#This Row],[Spain acc. fit]]/y_f_peak</f>
        <v>-2.7489465355227952E-2</v>
      </c>
      <c r="AC113" s="157">
        <f>Tabella34[[#This Row],[Colonna4]]*NOT(ISBLANK(Tabella34[[#This Row],[Spain daily cases]]))</f>
        <v>0</v>
      </c>
      <c r="AD113" s="157">
        <f>Tabella34[[#This Row],[Spain acc. fit]]*NOT(ISBLANK(Tabella34[[#This Row],[Spain daily cases]]))</f>
        <v>-183.48299486565685</v>
      </c>
      <c r="AE113" s="95">
        <f>Tabella34[[#This Row],[Spain acc. fit]]+CIf</f>
        <v>2159.2054228154357</v>
      </c>
      <c r="AF113" s="95">
        <f>MAX(Tabella34[[#This Row],[Spain acc. fit]]-CIf,0)</f>
        <v>0</v>
      </c>
      <c r="AG113" s="4">
        <f>Tabella8[[#This Row],[Lombardy]]</f>
        <v>0</v>
      </c>
      <c r="AH113" s="90">
        <f>(Tabella34[[#This Row],[Lombardy cumul. Data]]-AG112)</f>
        <v>0</v>
      </c>
      <c r="AI113" s="90">
        <f>Tabella34[[#This Row],[Lombardy data]]-AH112</f>
        <v>0</v>
      </c>
      <c r="AJ113" s="95">
        <f>Tabella34[[#This Row],[Lombardy data]]*NOT(ISBLANK(Tabella34[[#This Row],[Lombardy data]]))</f>
        <v>0</v>
      </c>
      <c r="AK113" s="95">
        <f>Tabella8[[#This Row],[Lombardy fit]]</f>
        <v>62449.3411037525</v>
      </c>
      <c r="AL113" s="157" t="e">
        <f>_xlfn.LOGNORM.INV(alpha*Tabella34[[#This Row],[Lombardy cumul. Fit]]/Kr,mu_r,sigma_r)-(Tabella34[[#This Row],[Day]]-pr)</f>
        <v>#NUM!</v>
      </c>
      <c r="AM113" s="95">
        <f>Tabella34[[#This Row],[Lombardy cumul. Fit]]/Kl</f>
        <v>0.71780851843393678</v>
      </c>
      <c r="AN113" s="95">
        <f>IFERROR(Kr*_xlfn.LOGNORM.DIST((Tabella34[[#This Row],[Day]]-pr),mu_r,sigma_r,FALSE),0)</f>
        <v>1154.7876425778054</v>
      </c>
      <c r="AO113" s="202">
        <f>Tabella34[[#This Row],[Lombardy velocity]]/Tabella34[[#This Row],[Lombardy cumul. Fit]]</f>
        <v>1.8491590498276943E-2</v>
      </c>
      <c r="AP113" s="259">
        <f>(LN(Tabella34[[#This Row],[Day]]-pr)-mu_r)/sigma_r</f>
        <v>0.57634359268344515</v>
      </c>
      <c r="AQ113" s="262">
        <f>EXP(mu_r+sigma_r*Tabella34[[#This Row],[x_r_alpha©+plus]])-(Tabella34[[#This Row],[Day]]-pr)</f>
        <v>16.182620127214776</v>
      </c>
      <c r="AR113" s="262">
        <f>EXP(mu_r+sigma_r*Tabella34[[#This Row],[x_r_alpha©-minus]])-(Tabella34[[#This Row],[Day]]-pr)</f>
        <v>-41.846282274466112</v>
      </c>
      <c r="AS113" s="262">
        <f>-sigma_r+SQRT(sigma_r^2-2*Tabella34[[#This Row],[c_r]])</f>
        <v>1.1518070088156085</v>
      </c>
      <c r="AT113" s="262">
        <f>-sigma_r-SQRT(sigma_r^2-2*Tabella34[[#This Row],[c_r]])</f>
        <v>-1.8326616060093377</v>
      </c>
      <c r="AU113" s="262">
        <f>mu_r-LN(alpha*Kr/(Tabella34[[#This Row],[Lombardy velocity]]*sigma_r*SQRTPI(2)))</f>
        <v>-1.0554362412944123</v>
      </c>
      <c r="AV113" s="262">
        <f>Tabella34[[#This Row],[t_alpha_r+plus]]</f>
        <v>16.182620127214776</v>
      </c>
      <c r="AW113" s="90">
        <f>IFERROR(-Kl*_xlfn.LOGNORM.DIST((Tabella34[[#This Row],[Day]]-pl),mu_l,sigma_l,FALSE)*(1+(LN((Tabella34[[#This Row],[Day]]-pl))-mu_l)/sigma_l^2)/(Tabella34[[#This Row],[Day]]-pl),0)</f>
        <v>-41.587802441452652</v>
      </c>
      <c r="AX113" s="95">
        <f>Tabella34[[#This Row],[Lombardy acc. fit]]/y_l_peak</f>
        <v>-2.3656928038385084E-2</v>
      </c>
      <c r="AY113" s="157">
        <f>Tabella34[[#This Row],[Lombardy acc. fit]]*NOT(ISBLANK(Tabella34[[#This Row],[Lombardy data]]))</f>
        <v>-41.587802441452652</v>
      </c>
      <c r="AZ113" s="95">
        <f>Tabella34[[#This Row],[Lombardy acc. fit]]+CIl</f>
        <v>2528.7945204749558</v>
      </c>
      <c r="BA113" s="95">
        <f>MAX(Tabella34[[#This Row],[Lombardy acc. fit]]-CIl,0)</f>
        <v>0</v>
      </c>
      <c r="BB113" s="10">
        <f>Tabella8[[#This Row],[rest of Italy ]]</f>
        <v>177644</v>
      </c>
      <c r="BC113" s="10">
        <f>(Tabella34[[#This Row],[rest of Italy cum. Data]]-BB112)</f>
        <v>5103</v>
      </c>
      <c r="BD113" s="10">
        <f>Tabella34[[#This Row],[rest of Italy data]]-BC112</f>
        <v>2661</v>
      </c>
      <c r="BE113" s="95">
        <f>Tabella34[[#This Row],[rest of Italy data]]*NOT(ISBLANK(Tabella34[[#This Row],[rest of Italy data]]))</f>
        <v>5103</v>
      </c>
      <c r="BF113" s="95">
        <f>Tabella8[[#This Row],[rest of Italy fit]]</f>
        <v>104862.64932420803</v>
      </c>
      <c r="BG113" s="157" t="e">
        <f>_xlfn.LOGNORM.INV(alpha*Tabella34[[#This Row],[rest of Italy cumul. Fit]]/Ko,mu_o,sigma_o)-(Tabella34[[#This Row],[Day]]-po)</f>
        <v>#NUM!</v>
      </c>
      <c r="BH113" s="95">
        <f>Tabella34[[#This Row],[rest of Italy cumul. Fit]]/Ka</f>
        <v>0.70853149683397509</v>
      </c>
      <c r="BI113" s="157">
        <f>IFERROR(Ko*_xlfn.LOGNORM.DIST((Tabella34[[#This Row],[Day]]-po),mu_o,sigma_o,FALSE),0)</f>
        <v>2313.2739932466784</v>
      </c>
      <c r="BJ113" s="199">
        <f>Tabella34[[#This Row],[rest of Italy velocity]]/Tabella34[[#This Row],[rest of Italy cumul. Fit]]</f>
        <v>2.2060037660260108E-2</v>
      </c>
      <c r="BK113" s="254">
        <f>(LN(Tabella34[[#This Row],[Day]]-po)-mu_o)/sigma_o</f>
        <v>0.54909973610340623</v>
      </c>
      <c r="BL113" s="262">
        <f>EXP(mu_o+sigma_o*Tabella34[[#This Row],[x_o_alpha©+plus]])-(Tabella34[[#This Row],[Day]]-po)</f>
        <v>14.360409359908743</v>
      </c>
      <c r="BM113" s="262">
        <f>EXP(mu_o+sigma_o*Tabella34[[#This Row],[x_o_alpha©-minus]])-(Tabella34[[#This Row],[Day]]-po)</f>
        <v>-36.048758290436858</v>
      </c>
      <c r="BN113" s="262">
        <f>-sigma_o+SQRT(sigma_o^2-2*Tabella34[[#This Row],[c_o]])</f>
        <v>1.1428272941835727</v>
      </c>
      <c r="BO113" s="262">
        <f>-sigma_o-SQRT(sigma_o^2-2*Tabella34[[#This Row],[c_o]])</f>
        <v>-1.785800071482599</v>
      </c>
      <c r="BP113" s="262">
        <f>mu_o-LN(alpha*Ko/(Tabella34[[#This Row],[rest of Italy velocity]]*sigma_o*SQRTPI(2)))</f>
        <v>-1.0204305318226448</v>
      </c>
      <c r="BQ113" s="262">
        <f>Tabella34[[#This Row],[t_alpha_o+plus]]</f>
        <v>14.360409359908743</v>
      </c>
      <c r="BR113" s="90">
        <f>IFERROR(-Ka*_xlfn.LOGNORM.DIST((Tabella34[[#This Row],[Day]]-pa),mu_a,sigma_a,FALSE)*(1+(LN((Tabella34[[#This Row],[Day]]-pa))-mu_a)/sigma_a^2)/(Tabella34[[#This Row],[Day]]-pa),0)</f>
        <v>-91.741606067234315</v>
      </c>
      <c r="BS113" s="95">
        <f>Tabella34[[#This Row],[rest of Italy acc. fit]]/y_a_peak</f>
        <v>-2.7149321662207144E-2</v>
      </c>
      <c r="BT113" s="95">
        <f>Tabella34[[#This Row],[rest of Italy acc. fit]]*NOT(ISBLANK(Tabella34[[#This Row],[rest of Italy data]]))</f>
        <v>-91.741606067234315</v>
      </c>
      <c r="BU113" s="95">
        <f>Tabella34[[#This Row],[rest of Italy acc. fit]]+CIa</f>
        <v>5247.0978290927833</v>
      </c>
      <c r="BV113" s="95">
        <f>MAX(Tabella34[[#This Row],[rest of Italy acc. fit]]-CIa,0)</f>
        <v>0</v>
      </c>
    </row>
    <row r="114" spans="2:74" x14ac:dyDescent="0.3">
      <c r="B114" s="281">
        <v>43937</v>
      </c>
      <c r="C114" s="4">
        <v>107</v>
      </c>
      <c r="D114" s="10">
        <f>Tabella8[[#This Row],[Spain cum. Cases]]</f>
        <v>184948</v>
      </c>
      <c r="E114" s="90">
        <f>(Tabella34[[#This Row],[Spain cumul. Cases]]-D113)</f>
        <v>7304</v>
      </c>
      <c r="F114" s="90">
        <f>Tabella34[[#This Row],[Spain daily cases]]-E113</f>
        <v>2201</v>
      </c>
      <c r="G114" s="95">
        <f>Tabella34[[#This Row],[Spain daily cases]]*NOT(ISBLANK(Tabella34[[#This Row],[Spain daily cases]]))</f>
        <v>7304</v>
      </c>
      <c r="H114" s="157">
        <f>Tabella8[[#This Row],[Spain cum. fit]]</f>
        <v>187579.40595111888</v>
      </c>
      <c r="I114" s="157" t="e">
        <f>_xlfn.LOGNORM.INV(alpha*Tabella34[[#This Row],[Spain cumul. Fit]]/Kt,mu_t,sigma_t)-(Tabella34[[#This Row],[Day]]-pt)</f>
        <v>#NUM!</v>
      </c>
      <c r="J114" s="157" t="e">
        <f>Tabella34[[#This Row],[Spain fitted d.t.]]/Spain_dt_at_lockdown</f>
        <v>#NUM!</v>
      </c>
      <c r="K114" s="95">
        <f>Tabella34[[#This Row],[Spain cumul. Fit]]/Kf</f>
        <v>0.66992669920726755</v>
      </c>
      <c r="L114" s="160"/>
      <c r="M114" s="95"/>
      <c r="N114" s="157">
        <f>IFERROR(Kt*_xlfn.LOGNORM.DIST((Tabella34[[#This Row],[Day]]-pt),mu_t,sigma_t,FALSE),0)</f>
        <v>5193.3672970394437</v>
      </c>
      <c r="O114" s="157" t="e">
        <f>Kt*EXP(-0.5*Tabella34[[#This Row],[x_t]]^2)/(sigma_t*SQRTPI(2)*(Tabella34[[#This Row],[Day]]-D_bk))</f>
        <v>#NAME?</v>
      </c>
      <c r="P114" s="199">
        <f>Tabella34[[#This Row],[Spain fitted velocity]]/Tabella34[[#This Row],[Spain cumul. Fit]]</f>
        <v>2.7686233841644523E-2</v>
      </c>
      <c r="Q114" s="262">
        <f>(LN(Tabella34[[#This Row],[Day]]-pt)-mu_t)/sigma_t</f>
        <v>0.43971076945720539</v>
      </c>
      <c r="R114" s="262">
        <f>EXP(mu_t+sigma_t*Tabella34[[#This Row],[x_t_alpha©+plus]])-(Tabella34[[#This Row],[Day]]-pt)</f>
        <v>14.233753550072706</v>
      </c>
      <c r="S114" s="262">
        <f>EXP(mu_t+sigma_t*Tabella34[[#This Row],[x_t_alpha©-minus]])-(Tabella34[[#This Row],[Day]]-pt)</f>
        <v>-31.142954666076861</v>
      </c>
      <c r="T114" s="262">
        <f>-sigma_t+SQRT(sigma_t^2-2*Tabella34[[#This Row],[c_t]])</f>
        <v>1.1053866003142945</v>
      </c>
      <c r="U114" s="262">
        <f>-sigma_t-SQRT(sigma_t^2-2*Tabella34[[#This Row],[c_t]])</f>
        <v>-1.6428259501574618</v>
      </c>
      <c r="V114" s="262">
        <f>mu_t-LN(alpha*Kt/(Tabella34[[#This Row],[Spain fitted velocity]]*sigma_t*SQRTPI(2)))</f>
        <v>-0.90797889597632864</v>
      </c>
      <c r="W114" s="262">
        <f>Tabella34[[#This Row],[Spain fitted g.r.]]/Spain_gr_at_lockdown</f>
        <v>0.13361110288719277</v>
      </c>
      <c r="X114" s="262">
        <f>Tabella34[[#This Row],[t_alpha_t+plus]]</f>
        <v>14.233753550072706</v>
      </c>
      <c r="Y114" s="262">
        <f>Tabella34[[#This Row],[Spain fitted h.t.]]/Spain_ht_at_lockdown</f>
        <v>0.23121542926365327</v>
      </c>
      <c r="Z114" s="90">
        <f>IFERROR(-Kf*_xlfn.LOGNORM.DIST((Tabella34[[#This Row],[Day]]-pf),mu_f,sigma_f,FALSE)*(1+(LN((Tabella34[[#This Row],[Day]]-pf))-mu_f)/sigma_f^2)/(Tabella34[[#This Row],[Day]]-pf),0)</f>
        <v>-188.41341173377171</v>
      </c>
      <c r="AA114" s="90">
        <f>Tabella34[[#This Row],[Spain acc. fit]]/Spain_acc_at_lockdown</f>
        <v>-0.64205062139970726</v>
      </c>
      <c r="AB114" s="95">
        <f>Tabella34[[#This Row],[Spain acc. fit]]/y_f_peak</f>
        <v>-2.8228141567604535E-2</v>
      </c>
      <c r="AC114" s="157">
        <f>Tabella34[[#This Row],[Colonna4]]*NOT(ISBLANK(Tabella34[[#This Row],[Spain daily cases]]))</f>
        <v>0</v>
      </c>
      <c r="AD114" s="157">
        <f>Tabella34[[#This Row],[Spain acc. fit]]*NOT(ISBLANK(Tabella34[[#This Row],[Spain daily cases]]))</f>
        <v>-188.41341173377171</v>
      </c>
      <c r="AE114" s="95">
        <f>Tabella34[[#This Row],[Spain acc. fit]]+CIf</f>
        <v>2154.275005947321</v>
      </c>
      <c r="AF114" s="95">
        <f>MAX(Tabella34[[#This Row],[Spain acc. fit]]-CIf,0)</f>
        <v>0</v>
      </c>
      <c r="AG114" s="4">
        <f>Tabella8[[#This Row],[Lombardy]]</f>
        <v>0</v>
      </c>
      <c r="AH114" s="90">
        <f>(Tabella34[[#This Row],[Lombardy cumul. Data]]-AG113)</f>
        <v>0</v>
      </c>
      <c r="AI114" s="90">
        <f>Tabella34[[#This Row],[Lombardy data]]-AH113</f>
        <v>0</v>
      </c>
      <c r="AJ114" s="95">
        <f>Tabella34[[#This Row],[Lombardy data]]*NOT(ISBLANK(Tabella34[[#This Row],[Lombardy data]]))</f>
        <v>0</v>
      </c>
      <c r="AK114" s="95">
        <f>Tabella8[[#This Row],[Lombardy fit]]</f>
        <v>63583.38566421374</v>
      </c>
      <c r="AL114" s="157" t="e">
        <f>_xlfn.LOGNORM.INV(alpha*Tabella34[[#This Row],[Lombardy cumul. Fit]]/Kr,mu_r,sigma_r)-(Tabella34[[#This Row],[Day]]-pr)</f>
        <v>#NUM!</v>
      </c>
      <c r="AM114" s="95">
        <f>Tabella34[[#This Row],[Lombardy cumul. Fit]]/Kl</f>
        <v>0.73084351338176712</v>
      </c>
      <c r="AN114" s="95">
        <f>IFERROR(Kr*_xlfn.LOGNORM.DIST((Tabella34[[#This Row],[Day]]-pr),mu_r,sigma_r,FALSE),0)</f>
        <v>1113.3576842095831</v>
      </c>
      <c r="AO114" s="202">
        <f>Tabella34[[#This Row],[Lombardy velocity]]/Tabella34[[#This Row],[Lombardy cumul. Fit]]</f>
        <v>1.7510198184306623E-2</v>
      </c>
      <c r="AP114" s="259">
        <f>(LN(Tabella34[[#This Row],[Day]]-pr)-mu_r)/sigma_r</f>
        <v>0.61536610089193788</v>
      </c>
      <c r="AQ114" s="262">
        <f>EXP(mu_r+sigma_r*Tabella34[[#This Row],[x_r_alpha©+plus]])-(Tabella34[[#This Row],[Day]]-pr)</f>
        <v>15.937779124260302</v>
      </c>
      <c r="AR114" s="262">
        <f>EXP(mu_r+sigma_r*Tabella34[[#This Row],[x_r_alpha©-minus]])-(Tabella34[[#This Row],[Day]]-pr)</f>
        <v>-43.117430584473638</v>
      </c>
      <c r="AS114" s="262">
        <f>-sigma_r+SQRT(sigma_r^2-2*Tabella34[[#This Row],[c_r]])</f>
        <v>1.1760935168310844</v>
      </c>
      <c r="AT114" s="262">
        <f>-sigma_r-SQRT(sigma_r^2-2*Tabella34[[#This Row],[c_r]])</f>
        <v>-1.8569481140248136</v>
      </c>
      <c r="AU114" s="262">
        <f>mu_r-LN(alpha*Kr/(Tabella34[[#This Row],[Lombardy velocity]]*sigma_r*SQRTPI(2)))</f>
        <v>-1.0919723189981463</v>
      </c>
      <c r="AV114" s="262">
        <f>Tabella34[[#This Row],[t_alpha_r+plus]]</f>
        <v>15.937779124260302</v>
      </c>
      <c r="AW114" s="90">
        <f>IFERROR(-Kl*_xlfn.LOGNORM.DIST((Tabella34[[#This Row],[Day]]-pl),mu_l,sigma_l,FALSE)*(1+(LN((Tabella34[[#This Row],[Day]]-pl))-mu_l)/sigma_l^2)/(Tabella34[[#This Row],[Day]]-pl),0)</f>
        <v>-41.250807743118685</v>
      </c>
      <c r="AX114" s="95">
        <f>Tabella34[[#This Row],[Lombardy acc. fit]]/y_l_peak</f>
        <v>-2.3465230981561096E-2</v>
      </c>
      <c r="AY114" s="157">
        <f>Tabella34[[#This Row],[Lombardy acc. fit]]*NOT(ISBLANK(Tabella34[[#This Row],[Lombardy data]]))</f>
        <v>-41.250807743118685</v>
      </c>
      <c r="AZ114" s="95">
        <f>Tabella34[[#This Row],[Lombardy acc. fit]]+CIl</f>
        <v>2529.1315151732897</v>
      </c>
      <c r="BA114" s="95">
        <f>MAX(Tabella34[[#This Row],[Lombardy acc. fit]]-CIl,0)</f>
        <v>0</v>
      </c>
      <c r="BB114" s="10">
        <f>Tabella8[[#This Row],[rest of Italy ]]</f>
        <v>184948</v>
      </c>
      <c r="BC114" s="10">
        <f>(Tabella34[[#This Row],[rest of Italy cum. Data]]-BB113)</f>
        <v>7304</v>
      </c>
      <c r="BD114" s="10">
        <f>Tabella34[[#This Row],[rest of Italy data]]-BC113</f>
        <v>2201</v>
      </c>
      <c r="BE114" s="95">
        <f>Tabella34[[#This Row],[rest of Italy data]]*NOT(ISBLANK(Tabella34[[#This Row],[rest of Italy data]]))</f>
        <v>7304</v>
      </c>
      <c r="BF114" s="95">
        <f>Tabella8[[#This Row],[rest of Italy fit]]</f>
        <v>107130.10063210889</v>
      </c>
      <c r="BG114" s="157" t="e">
        <f>_xlfn.LOGNORM.INV(alpha*Tabella34[[#This Row],[rest of Italy cumul. Fit]]/Ko,mu_o,sigma_o)-(Tabella34[[#This Row],[Day]]-po)</f>
        <v>#NUM!</v>
      </c>
      <c r="BH114" s="95">
        <f>Tabella34[[#This Row],[rest of Italy cumul. Fit]]/Ka</f>
        <v>0.72385211556274742</v>
      </c>
      <c r="BI114" s="157">
        <f>IFERROR(Ko*_xlfn.LOGNORM.DIST((Tabella34[[#This Row],[Day]]-po),mu_o,sigma_o,FALSE),0)</f>
        <v>2221.6942164173033</v>
      </c>
      <c r="BJ114" s="199">
        <f>Tabella34[[#This Row],[rest of Italy velocity]]/Tabella34[[#This Row],[rest of Italy cumul. Fit]]</f>
        <v>2.0738281802298801E-2</v>
      </c>
      <c r="BK114" s="254">
        <f>(LN(Tabella34[[#This Row],[Day]]-po)-mu_o)/sigma_o</f>
        <v>0.59432349240646354</v>
      </c>
      <c r="BL114" s="262">
        <f>EXP(mu_o+sigma_o*Tabella34[[#This Row],[x_o_alpha©+plus]])-(Tabella34[[#This Row],[Day]]-po)</f>
        <v>14.089739320240838</v>
      </c>
      <c r="BM114" s="262">
        <f>EXP(mu_o+sigma_o*Tabella34[[#This Row],[x_o_alpha©-minus]])-(Tabella34[[#This Row],[Day]]-po)</f>
        <v>-37.330735446228431</v>
      </c>
      <c r="BN114" s="262">
        <f>-sigma_o+SQRT(sigma_o^2-2*Tabella34[[#This Row],[c_o]])</f>
        <v>1.1701577040749047</v>
      </c>
      <c r="BO114" s="262">
        <f>-sigma_o-SQRT(sigma_o^2-2*Tabella34[[#This Row],[c_o]])</f>
        <v>-1.8131304813739311</v>
      </c>
      <c r="BP114" s="262">
        <f>mu_o-LN(alpha*Ko/(Tabella34[[#This Row],[rest of Italy velocity]]*sigma_o*SQRTPI(2)))</f>
        <v>-1.0608243006363729</v>
      </c>
      <c r="BQ114" s="262">
        <f>Tabella34[[#This Row],[t_alpha_o+plus]]</f>
        <v>14.089739320240838</v>
      </c>
      <c r="BR114" s="90">
        <f>IFERROR(-Ka*_xlfn.LOGNORM.DIST((Tabella34[[#This Row],[Day]]-pa),mu_a,sigma_a,FALSE)*(1+(LN((Tabella34[[#This Row],[Day]]-pa))-mu_a)/sigma_a^2)/(Tabella34[[#This Row],[Day]]-pa),0)</f>
        <v>-91.348832580761865</v>
      </c>
      <c r="BS114" s="95">
        <f>Tabella34[[#This Row],[rest of Italy acc. fit]]/y_a_peak</f>
        <v>-2.7033087227453383E-2</v>
      </c>
      <c r="BT114" s="95">
        <f>Tabella34[[#This Row],[rest of Italy acc. fit]]*NOT(ISBLANK(Tabella34[[#This Row],[rest of Italy data]]))</f>
        <v>-91.348832580761865</v>
      </c>
      <c r="BU114" s="95">
        <f>Tabella34[[#This Row],[rest of Italy acc. fit]]+CIa</f>
        <v>5247.4906025792552</v>
      </c>
      <c r="BV114" s="95">
        <f>MAX(Tabella34[[#This Row],[rest of Italy acc. fit]]-CIa,0)</f>
        <v>0</v>
      </c>
    </row>
    <row r="115" spans="2:74" x14ac:dyDescent="0.3">
      <c r="B115" s="281">
        <v>43938</v>
      </c>
      <c r="C115" s="4">
        <v>108</v>
      </c>
      <c r="D115" s="10">
        <f>Tabella8[[#This Row],[Spain cum. Cases]]</f>
        <v>190839</v>
      </c>
      <c r="E115" s="90">
        <f>(Tabella34[[#This Row],[Spain cumul. Cases]]-D114)</f>
        <v>5891</v>
      </c>
      <c r="F115" s="90">
        <f>Tabella34[[#This Row],[Spain daily cases]]-E114</f>
        <v>-1413</v>
      </c>
      <c r="G115" s="95">
        <f>Tabella34[[#This Row],[Spain daily cases]]*NOT(ISBLANK(Tabella34[[#This Row],[Spain daily cases]]))</f>
        <v>5891</v>
      </c>
      <c r="H115" s="157">
        <f>Tabella8[[#This Row],[Spain cum. fit]]</f>
        <v>192677.92718127568</v>
      </c>
      <c r="I115" s="157" t="e">
        <f>_xlfn.LOGNORM.INV(alpha*Tabella34[[#This Row],[Spain cumul. Fit]]/Kt,mu_t,sigma_t)-(Tabella34[[#This Row],[Day]]-pt)</f>
        <v>#NUM!</v>
      </c>
      <c r="J115" s="157" t="e">
        <f>Tabella34[[#This Row],[Spain fitted d.t.]]/Spain_dt_at_lockdown</f>
        <v>#NUM!</v>
      </c>
      <c r="K115" s="95">
        <f>Tabella34[[#This Row],[Spain cumul. Fit]]/Kf</f>
        <v>0.68813571037903332</v>
      </c>
      <c r="L115" s="160"/>
      <c r="M115" s="95"/>
      <c r="N115" s="157">
        <f>IFERROR(Kt*_xlfn.LOGNORM.DIST((Tabella34[[#This Row],[Day]]-pt),mu_t,sigma_t,FALSE),0)</f>
        <v>5003.0941698685765</v>
      </c>
      <c r="O115" s="157" t="e">
        <f>Kt*EXP(-0.5*Tabella34[[#This Row],[x_t]]^2)/(sigma_t*SQRTPI(2)*(Tabella34[[#This Row],[Day]]-D_bk))</f>
        <v>#NAME?</v>
      </c>
      <c r="P115" s="199">
        <f>Tabella34[[#This Row],[Spain fitted velocity]]/Tabella34[[#This Row],[Spain cumul. Fit]]</f>
        <v>2.5966099194961519E-2</v>
      </c>
      <c r="Q115" s="262">
        <f>(LN(Tabella34[[#This Row],[Day]]-pt)-mu_t)/sigma_t</f>
        <v>0.49057286932184452</v>
      </c>
      <c r="R115" s="262">
        <f>EXP(mu_t+sigma_t*Tabella34[[#This Row],[x_t_alpha©+plus]])-(Tabella34[[#This Row],[Day]]-pt)</f>
        <v>13.864201849606772</v>
      </c>
      <c r="S115" s="262">
        <f>EXP(mu_t+sigma_t*Tabella34[[#This Row],[x_t_alpha©-minus]])-(Tabella34[[#This Row],[Day]]-pt)</f>
        <v>-32.442032459962668</v>
      </c>
      <c r="T115" s="262">
        <f>-sigma_t+SQRT(sigma_t^2-2*Tabella34[[#This Row],[c_t]])</f>
        <v>1.1322869377907008</v>
      </c>
      <c r="U115" s="262">
        <f>-sigma_t-SQRT(sigma_t^2-2*Tabella34[[#This Row],[c_t]])</f>
        <v>-1.6697262876338681</v>
      </c>
      <c r="V115" s="262">
        <f>mu_t-LN(alpha*Kt/(Tabella34[[#This Row],[Spain fitted velocity]]*sigma_t*SQRTPI(2)))</f>
        <v>-0.94530463258679376</v>
      </c>
      <c r="W115" s="262">
        <f>Tabella34[[#This Row],[Spain fitted g.r.]]/Spain_gr_at_lockdown</f>
        <v>0.12530989844846957</v>
      </c>
      <c r="X115" s="262">
        <f>Tabella34[[#This Row],[t_alpha_t+plus]]</f>
        <v>13.864201849606772</v>
      </c>
      <c r="Y115" s="262">
        <f>Tabella34[[#This Row],[Spain fitted h.t.]]/Spain_ht_at_lockdown</f>
        <v>0.22521237077611134</v>
      </c>
      <c r="Z115" s="90">
        <f>IFERROR(-Kf*_xlfn.LOGNORM.DIST((Tabella34[[#This Row],[Day]]-pf),mu_f,sigma_f,FALSE)*(1+(LN((Tabella34[[#This Row],[Day]]-pf))-mu_f)/sigma_f^2)/(Tabella34[[#This Row],[Day]]-pf),0)</f>
        <v>-191.90115452579781</v>
      </c>
      <c r="AA115" s="90">
        <f>Tabella34[[#This Row],[Spain acc. fit]]/Spain_acc_at_lockdown</f>
        <v>-0.65393569585537736</v>
      </c>
      <c r="AB115" s="95">
        <f>Tabella34[[#This Row],[Spain acc. fit]]/y_f_peak</f>
        <v>-2.8750676011298056E-2</v>
      </c>
      <c r="AC115" s="157">
        <f>Tabella34[[#This Row],[Colonna4]]*NOT(ISBLANK(Tabella34[[#This Row],[Spain daily cases]]))</f>
        <v>0</v>
      </c>
      <c r="AD115" s="157">
        <f>Tabella34[[#This Row],[Spain acc. fit]]*NOT(ISBLANK(Tabella34[[#This Row],[Spain daily cases]]))</f>
        <v>-191.90115452579781</v>
      </c>
      <c r="AE115" s="95">
        <f>Tabella34[[#This Row],[Spain acc. fit]]+CIf</f>
        <v>2150.787263155295</v>
      </c>
      <c r="AF115" s="95">
        <f>MAX(Tabella34[[#This Row],[Spain acc. fit]]-CIf,0)</f>
        <v>0</v>
      </c>
      <c r="AG115" s="4">
        <f>Tabella8[[#This Row],[Lombardy]]</f>
        <v>0</v>
      </c>
      <c r="AH115" s="90">
        <f>(Tabella34[[#This Row],[Lombardy cumul. Data]]-AG114)</f>
        <v>0</v>
      </c>
      <c r="AI115" s="90">
        <f>Tabella34[[#This Row],[Lombardy data]]-AH114</f>
        <v>0</v>
      </c>
      <c r="AJ115" s="95">
        <f>Tabella34[[#This Row],[Lombardy data]]*NOT(ISBLANK(Tabella34[[#This Row],[Lombardy data]]))</f>
        <v>0</v>
      </c>
      <c r="AK115" s="95">
        <f>Tabella8[[#This Row],[Lombardy fit]]</f>
        <v>64676.189476553751</v>
      </c>
      <c r="AL115" s="157" t="e">
        <f>_xlfn.LOGNORM.INV(alpha*Tabella34[[#This Row],[Lombardy cumul. Fit]]/Kr,mu_r,sigma_r)-(Tabella34[[#This Row],[Day]]-pr)</f>
        <v>#NUM!</v>
      </c>
      <c r="AM115" s="95">
        <f>Tabella34[[#This Row],[Lombardy cumul. Fit]]/Kl</f>
        <v>0.74340447674199717</v>
      </c>
      <c r="AN115" s="95">
        <f>IFERROR(Kr*_xlfn.LOGNORM.DIST((Tabella34[[#This Row],[Day]]-pr),mu_r,sigma_r,FALSE),0)</f>
        <v>1072.3262694491302</v>
      </c>
      <c r="AO115" s="202">
        <f>Tabella34[[#This Row],[Lombardy velocity]]/Tabella34[[#This Row],[Lombardy cumul. Fit]]</f>
        <v>1.657992343284026E-2</v>
      </c>
      <c r="AP115" s="259">
        <f>(LN(Tabella34[[#This Row],[Day]]-pr)-mu_r)/sigma_r</f>
        <v>0.65387701016162025</v>
      </c>
      <c r="AQ115" s="262">
        <f>EXP(mu_r+sigma_r*Tabella34[[#This Row],[x_r_alpha©+plus]])-(Tabella34[[#This Row],[Day]]-pr)</f>
        <v>15.707872437368451</v>
      </c>
      <c r="AR115" s="262">
        <f>EXP(mu_r+sigma_r*Tabella34[[#This Row],[x_r_alpha©-minus]])-(Tabella34[[#This Row],[Day]]-pr)</f>
        <v>-44.389381077879051</v>
      </c>
      <c r="AS115" s="262">
        <f>-sigma_r+SQRT(sigma_r^2-2*Tabella34[[#This Row],[c_r]])</f>
        <v>1.2006552493335108</v>
      </c>
      <c r="AT115" s="262">
        <f>-sigma_r-SQRT(sigma_r^2-2*Tabella34[[#This Row],[c_r]])</f>
        <v>-1.88150984652724</v>
      </c>
      <c r="AU115" s="262">
        <f>mu_r-LN(alpha*Kr/(Tabella34[[#This Row],[Lombardy velocity]]*sigma_r*SQRTPI(2)))</f>
        <v>-1.1295223369528093</v>
      </c>
      <c r="AV115" s="262">
        <f>Tabella34[[#This Row],[t_alpha_r+plus]]</f>
        <v>15.707872437368451</v>
      </c>
      <c r="AW115" s="90">
        <f>IFERROR(-Kl*_xlfn.LOGNORM.DIST((Tabella34[[#This Row],[Day]]-pl),mu_l,sigma_l,FALSE)*(1+(LN((Tabella34[[#This Row],[Day]]-pl))-mu_l)/sigma_l^2)/(Tabella34[[#This Row],[Day]]-pl),0)</f>
        <v>-40.793062759024679</v>
      </c>
      <c r="AX115" s="95">
        <f>Tabella34[[#This Row],[Lombardy acc. fit]]/y_l_peak</f>
        <v>-2.320484597651332E-2</v>
      </c>
      <c r="AY115" s="157">
        <f>Tabella34[[#This Row],[Lombardy acc. fit]]*NOT(ISBLANK(Tabella34[[#This Row],[Lombardy data]]))</f>
        <v>-40.793062759024679</v>
      </c>
      <c r="AZ115" s="95">
        <f>Tabella34[[#This Row],[Lombardy acc. fit]]+CIl</f>
        <v>2529.5892601573842</v>
      </c>
      <c r="BA115" s="95">
        <f>MAX(Tabella34[[#This Row],[Lombardy acc. fit]]-CIl,0)</f>
        <v>0</v>
      </c>
      <c r="BB115" s="10">
        <f>Tabella8[[#This Row],[rest of Italy ]]</f>
        <v>190839</v>
      </c>
      <c r="BC115" s="10">
        <f>(Tabella34[[#This Row],[rest of Italy cum. Data]]-BB114)</f>
        <v>5891</v>
      </c>
      <c r="BD115" s="10">
        <f>Tabella34[[#This Row],[rest of Italy data]]-BC114</f>
        <v>-1413</v>
      </c>
      <c r="BE115" s="95">
        <f>Tabella34[[#This Row],[rest of Italy data]]*NOT(ISBLANK(Tabella34[[#This Row],[rest of Italy data]]))</f>
        <v>5891</v>
      </c>
      <c r="BF115" s="95">
        <f>Tabella8[[#This Row],[rest of Italy fit]]</f>
        <v>109306.23571102909</v>
      </c>
      <c r="BG115" s="157" t="e">
        <f>_xlfn.LOGNORM.INV(alpha*Tabella34[[#This Row],[rest of Italy cumul. Fit]]/Ko,mu_o,sigma_o)-(Tabella34[[#This Row],[Day]]-po)</f>
        <v>#NUM!</v>
      </c>
      <c r="BH115" s="95">
        <f>Tabella34[[#This Row],[rest of Italy cumul. Fit]]/Ka</f>
        <v>0.73855573267252705</v>
      </c>
      <c r="BI115" s="157">
        <f>IFERROR(Ko*_xlfn.LOGNORM.DIST((Tabella34[[#This Row],[Day]]-po),mu_o,sigma_o,FALSE),0)</f>
        <v>2130.7067531950643</v>
      </c>
      <c r="BJ115" s="199">
        <f>Tabella34[[#This Row],[rest of Italy velocity]]/Tabella34[[#This Row],[rest of Italy cumul. Fit]]</f>
        <v>1.9493002748973764E-2</v>
      </c>
      <c r="BK115" s="254">
        <f>(LN(Tabella34[[#This Row],[Day]]-po)-mu_o)/sigma_o</f>
        <v>0.63889915975987577</v>
      </c>
      <c r="BL115" s="262">
        <f>EXP(mu_o+sigma_o*Tabella34[[#This Row],[x_o_alpha©+plus]])-(Tabella34[[#This Row],[Day]]-po)</f>
        <v>13.837531478101425</v>
      </c>
      <c r="BM115" s="262">
        <f>EXP(mu_o+sigma_o*Tabella34[[#This Row],[x_o_alpha©-minus]])-(Tabella34[[#This Row],[Day]]-po)</f>
        <v>-38.614773779538453</v>
      </c>
      <c r="BN115" s="262">
        <f>-sigma_o+SQRT(sigma_o^2-2*Tabella34[[#This Row],[c_o]])</f>
        <v>1.1979328302342984</v>
      </c>
      <c r="BO115" s="262">
        <f>-sigma_o-SQRT(sigma_o^2-2*Tabella34[[#This Row],[c_o]])</f>
        <v>-1.8409056075333248</v>
      </c>
      <c r="BP115" s="262">
        <f>mu_o-LN(alpha*Ko/(Tabella34[[#This Row],[rest of Italy velocity]]*sigma_o*SQRTPI(2)))</f>
        <v>-1.1026406323132933</v>
      </c>
      <c r="BQ115" s="262">
        <f>Tabella34[[#This Row],[t_alpha_o+plus]]</f>
        <v>13.837531478101425</v>
      </c>
      <c r="BR115" s="90">
        <f>IFERROR(-Ka*_xlfn.LOGNORM.DIST((Tabella34[[#This Row],[Day]]-pa),mu_a,sigma_a,FALSE)*(1+(LN((Tabella34[[#This Row],[Day]]-pa))-mu_a)/sigma_a^2)/(Tabella34[[#This Row],[Day]]-pa),0)</f>
        <v>-90.564719541903017</v>
      </c>
      <c r="BS115" s="95">
        <f>Tabella34[[#This Row],[rest of Italy acc. fit]]/y_a_peak</f>
        <v>-2.6801042705626412E-2</v>
      </c>
      <c r="BT115" s="95">
        <f>Tabella34[[#This Row],[rest of Italy acc. fit]]*NOT(ISBLANK(Tabella34[[#This Row],[rest of Italy data]]))</f>
        <v>-90.564719541903017</v>
      </c>
      <c r="BU115" s="95">
        <f>Tabella34[[#This Row],[rest of Italy acc. fit]]+CIa</f>
        <v>5248.274715618114</v>
      </c>
      <c r="BV115" s="95">
        <f>MAX(Tabella34[[#This Row],[rest of Italy acc. fit]]-CIa,0)</f>
        <v>0</v>
      </c>
    </row>
    <row r="116" spans="2:74" x14ac:dyDescent="0.3">
      <c r="B116" s="281">
        <v>43939</v>
      </c>
      <c r="C116" s="4">
        <v>109</v>
      </c>
      <c r="D116" s="10">
        <f>Tabella8[[#This Row],[Spain cum. Cases]]</f>
        <v>191726</v>
      </c>
      <c r="E116" s="90">
        <f>(Tabella34[[#This Row],[Spain cumul. Cases]]-D115)</f>
        <v>887</v>
      </c>
      <c r="F116" s="90">
        <f>Tabella34[[#This Row],[Spain daily cases]]-E115</f>
        <v>-5004</v>
      </c>
      <c r="G116" s="95">
        <f>Tabella34[[#This Row],[Spain daily cases]]*NOT(ISBLANK(Tabella34[[#This Row],[Spain daily cases]]))</f>
        <v>887</v>
      </c>
      <c r="H116" s="157">
        <f>Tabella8[[#This Row],[Spain cum. fit]]</f>
        <v>197584.65860212699</v>
      </c>
      <c r="I116" s="157" t="e">
        <f>_xlfn.LOGNORM.INV(alpha*Tabella34[[#This Row],[Spain cumul. Fit]]/Kt,mu_t,sigma_t)-(Tabella34[[#This Row],[Day]]-pt)</f>
        <v>#NUM!</v>
      </c>
      <c r="J116" s="157" t="e">
        <f>Tabella34[[#This Row],[Spain fitted d.t.]]/Spain_dt_at_lockdown</f>
        <v>#NUM!</v>
      </c>
      <c r="K116" s="95">
        <f>Tabella34[[#This Row],[Spain cumul. Fit]]/Kf</f>
        <v>0.70565975769115719</v>
      </c>
      <c r="L116" s="160"/>
      <c r="M116" s="95"/>
      <c r="N116" s="157">
        <f>IFERROR(Kt*_xlfn.LOGNORM.DIST((Tabella34[[#This Row],[Day]]-pt),mu_t,sigma_t,FALSE),0)</f>
        <v>4810.0103509165019</v>
      </c>
      <c r="O116" s="157" t="e">
        <f>Kt*EXP(-0.5*Tabella34[[#This Row],[x_t]]^2)/(sigma_t*SQRTPI(2)*(Tabella34[[#This Row],[Day]]-D_bk))</f>
        <v>#NAME?</v>
      </c>
      <c r="P116" s="199">
        <f>Tabella34[[#This Row],[Spain fitted velocity]]/Tabella34[[#This Row],[Spain cumul. Fit]]</f>
        <v>2.4344047685414389E-2</v>
      </c>
      <c r="Q116" s="262">
        <f>(LN(Tabella34[[#This Row],[Day]]-pt)-mu_t)/sigma_t</f>
        <v>0.5407491667367148</v>
      </c>
      <c r="R116" s="262">
        <f>EXP(mu_t+sigma_t*Tabella34[[#This Row],[x_t_alpha©+plus]])-(Tabella34[[#This Row],[Day]]-pt)</f>
        <v>13.52092129921013</v>
      </c>
      <c r="S116" s="262">
        <f>EXP(mu_t+sigma_t*Tabella34[[#This Row],[x_t_alpha©-minus]])-(Tabella34[[#This Row],[Day]]-pt)</f>
        <v>-33.74902581736643</v>
      </c>
      <c r="T116" s="262">
        <f>-sigma_t+SQRT(sigma_t^2-2*Tabella34[[#This Row],[c_t]])</f>
        <v>1.1601029756321921</v>
      </c>
      <c r="U116" s="262">
        <f>-sigma_t-SQRT(sigma_t^2-2*Tabella34[[#This Row],[c_t]])</f>
        <v>-1.6975423254753594</v>
      </c>
      <c r="V116" s="262">
        <f>mu_t-LN(alpha*Kt/(Tabella34[[#This Row],[Spain fitted velocity]]*sigma_t*SQRTPI(2)))</f>
        <v>-0.98466195152277791</v>
      </c>
      <c r="W116" s="262">
        <f>Tabella34[[#This Row],[Spain fitted g.r.]]/Spain_gr_at_lockdown</f>
        <v>0.1174820338002833</v>
      </c>
      <c r="X116" s="262">
        <f>Tabella34[[#This Row],[t_alpha_t+plus]]</f>
        <v>13.52092129921013</v>
      </c>
      <c r="Y116" s="262">
        <f>Tabella34[[#This Row],[Spain fitted h.t.]]/Spain_ht_at_lockdown</f>
        <v>0.21963606516293616</v>
      </c>
      <c r="Z116" s="90">
        <f>IFERROR(-Kf*_xlfn.LOGNORM.DIST((Tabella34[[#This Row],[Day]]-pf),mu_f,sigma_f,FALSE)*(1+(LN((Tabella34[[#This Row],[Day]]-pf))-mu_f)/sigma_f^2)/(Tabella34[[#This Row],[Day]]-pf),0)</f>
        <v>-194.05291636267432</v>
      </c>
      <c r="AA116" s="90">
        <f>Tabella34[[#This Row],[Spain acc. fit]]/Spain_acc_at_lockdown</f>
        <v>-0.66126818886507277</v>
      </c>
      <c r="AB116" s="95">
        <f>Tabella34[[#This Row],[Spain acc. fit]]/y_f_peak</f>
        <v>-2.9073053474729084E-2</v>
      </c>
      <c r="AC116" s="157">
        <f>Tabella34[[#This Row],[Colonna4]]*NOT(ISBLANK(Tabella34[[#This Row],[Spain daily cases]]))</f>
        <v>0</v>
      </c>
      <c r="AD116" s="157">
        <f>Tabella34[[#This Row],[Spain acc. fit]]*NOT(ISBLANK(Tabella34[[#This Row],[Spain daily cases]]))</f>
        <v>-194.05291636267432</v>
      </c>
      <c r="AE116" s="95">
        <f>Tabella34[[#This Row],[Spain acc. fit]]+CIf</f>
        <v>2148.6355013184184</v>
      </c>
      <c r="AF116" s="95">
        <f>MAX(Tabella34[[#This Row],[Spain acc. fit]]-CIf,0)</f>
        <v>0</v>
      </c>
      <c r="AG116" s="4">
        <f>Tabella8[[#This Row],[Lombardy]]</f>
        <v>0</v>
      </c>
      <c r="AH116" s="90">
        <f>(Tabella34[[#This Row],[Lombardy cumul. Data]]-AG115)</f>
        <v>0</v>
      </c>
      <c r="AI116" s="90">
        <f>Tabella34[[#This Row],[Lombardy data]]-AH115</f>
        <v>0</v>
      </c>
      <c r="AJ116" s="95">
        <f>Tabella34[[#This Row],[Lombardy data]]*NOT(ISBLANK(Tabella34[[#This Row],[Lombardy data]]))</f>
        <v>0</v>
      </c>
      <c r="AK116" s="95">
        <f>Tabella8[[#This Row],[Lombardy fit]]</f>
        <v>65728.209141519241</v>
      </c>
      <c r="AL116" s="157" t="e">
        <f>_xlfn.LOGNORM.INV(alpha*Tabella34[[#This Row],[Lombardy cumul. Fit]]/Kr,mu_r,sigma_r)-(Tabella34[[#This Row],[Day]]-pr)</f>
        <v>#NUM!</v>
      </c>
      <c r="AM116" s="95">
        <f>Tabella34[[#This Row],[Lombardy cumul. Fit]]/Kl</f>
        <v>0.75549665679907174</v>
      </c>
      <c r="AN116" s="95">
        <f>IFERROR(Kr*_xlfn.LOGNORM.DIST((Tabella34[[#This Row],[Day]]-pr),mu_r,sigma_r,FALSE),0)</f>
        <v>1031.8072243341942</v>
      </c>
      <c r="AO116" s="202">
        <f>Tabella34[[#This Row],[Lombardy velocity]]/Tabella34[[#This Row],[Lombardy cumul. Fit]]</f>
        <v>1.5698088200039234E-2</v>
      </c>
      <c r="AP116" s="259">
        <f>(LN(Tabella34[[#This Row],[Day]]-pr)-mu_r)/sigma_r</f>
        <v>0.69188956157193016</v>
      </c>
      <c r="AQ116" s="262">
        <f>EXP(mu_r+sigma_r*Tabella34[[#This Row],[x_r_alpha©+plus]])-(Tabella34[[#This Row],[Day]]-pr)</f>
        <v>15.491837827154228</v>
      </c>
      <c r="AR116" s="262">
        <f>EXP(mu_r+sigma_r*Tabella34[[#This Row],[x_r_alpha©-minus]])-(Tabella34[[#This Row],[Day]]-pr)</f>
        <v>-45.661617488401376</v>
      </c>
      <c r="AS116" s="262">
        <f>-sigma_r+SQRT(sigma_r^2-2*Tabella34[[#This Row],[c_r]])</f>
        <v>1.2254502384119044</v>
      </c>
      <c r="AT116" s="262">
        <f>-sigma_r-SQRT(sigma_r^2-2*Tabella34[[#This Row],[c_r]])</f>
        <v>-1.9063048356056336</v>
      </c>
      <c r="AU116" s="262">
        <f>mu_r-LN(alpha*Kr/(Tabella34[[#This Row],[Lombardy velocity]]*sigma_r*SQRTPI(2)))</f>
        <v>-1.1680408576393448</v>
      </c>
      <c r="AV116" s="262">
        <f>Tabella34[[#This Row],[t_alpha_r+plus]]</f>
        <v>15.491837827154228</v>
      </c>
      <c r="AW116" s="90">
        <f>IFERROR(-Kl*_xlfn.LOGNORM.DIST((Tabella34[[#This Row],[Day]]-pl),mu_l,sigma_l,FALSE)*(1+(LN((Tabella34[[#This Row],[Day]]-pl))-mu_l)/sigma_l^2)/(Tabella34[[#This Row],[Day]]-pl),0)</f>
        <v>-40.228296224249831</v>
      </c>
      <c r="AX116" s="95">
        <f>Tabella34[[#This Row],[Lombardy acc. fit]]/y_l_peak</f>
        <v>-2.2883582517342429E-2</v>
      </c>
      <c r="AY116" s="157">
        <f>Tabella34[[#This Row],[Lombardy acc. fit]]*NOT(ISBLANK(Tabella34[[#This Row],[Lombardy data]]))</f>
        <v>-40.228296224249831</v>
      </c>
      <c r="AZ116" s="95">
        <f>Tabella34[[#This Row],[Lombardy acc. fit]]+CIl</f>
        <v>2530.1540266921588</v>
      </c>
      <c r="BA116" s="95">
        <f>MAX(Tabella34[[#This Row],[Lombardy acc. fit]]-CIl,0)</f>
        <v>0</v>
      </c>
      <c r="BB116" s="10">
        <f>Tabella8[[#This Row],[rest of Italy ]]</f>
        <v>191726</v>
      </c>
      <c r="BC116" s="10">
        <f>(Tabella34[[#This Row],[rest of Italy cum. Data]]-BB115)</f>
        <v>887</v>
      </c>
      <c r="BD116" s="10">
        <f>Tabella34[[#This Row],[rest of Italy data]]-BC115</f>
        <v>-5004</v>
      </c>
      <c r="BE116" s="95">
        <f>Tabella34[[#This Row],[rest of Italy data]]*NOT(ISBLANK(Tabella34[[#This Row],[rest of Italy data]]))</f>
        <v>887</v>
      </c>
      <c r="BF116" s="95">
        <f>Tabella8[[#This Row],[rest of Italy fit]]</f>
        <v>111391.83488743517</v>
      </c>
      <c r="BG116" s="157" t="e">
        <f>_xlfn.LOGNORM.INV(alpha*Tabella34[[#This Row],[rest of Italy cumul. Fit]]/Ko,mu_o,sigma_o)-(Tabella34[[#This Row],[Day]]-po)</f>
        <v>#NUM!</v>
      </c>
      <c r="BH116" s="95">
        <f>Tabella34[[#This Row],[rest of Italy cumul. Fit]]/Ka</f>
        <v>0.75264762064005308</v>
      </c>
      <c r="BI116" s="157">
        <f>IFERROR(Ko*_xlfn.LOGNORM.DIST((Tabella34[[#This Row],[Day]]-po),mu_o,sigma_o,FALSE),0)</f>
        <v>2040.6800577859933</v>
      </c>
      <c r="BJ116" s="199">
        <f>Tabella34[[#This Row],[rest of Italy velocity]]/Tabella34[[#This Row],[rest of Italy cumul. Fit]]</f>
        <v>1.8319835200202621E-2</v>
      </c>
      <c r="BK116" s="254">
        <f>(LN(Tabella34[[#This Row],[Day]]-po)-mu_o)/sigma_o</f>
        <v>0.68284505119511463</v>
      </c>
      <c r="BL116" s="262">
        <f>EXP(mu_o+sigma_o*Tabella34[[#This Row],[x_o_alpha©+plus]])-(Tabella34[[#This Row],[Day]]-po)</f>
        <v>13.602308875624161</v>
      </c>
      <c r="BM116" s="262">
        <f>EXP(mu_o+sigma_o*Tabella34[[#This Row],[x_o_alpha©-minus]])-(Tabella34[[#This Row],[Day]]-po)</f>
        <v>-39.90008745712494</v>
      </c>
      <c r="BN116" s="262">
        <f>-sigma_o+SQRT(sigma_o^2-2*Tabella34[[#This Row],[c_o]])</f>
        <v>1.2260846120416589</v>
      </c>
      <c r="BO116" s="262">
        <f>-sigma_o-SQRT(sigma_o^2-2*Tabella34[[#This Row],[c_o]])</f>
        <v>-1.8690573893406852</v>
      </c>
      <c r="BP116" s="262">
        <f>mu_o-LN(alpha*Ko/(Tabella34[[#This Row],[rest of Italy velocity]]*sigma_o*SQRTPI(2)))</f>
        <v>-1.145811252046685</v>
      </c>
      <c r="BQ116" s="262">
        <f>Tabella34[[#This Row],[t_alpha_o+plus]]</f>
        <v>13.602308875624161</v>
      </c>
      <c r="BR116" s="90">
        <f>IFERROR(-Ka*_xlfn.LOGNORM.DIST((Tabella34[[#This Row],[Day]]-pa),mu_a,sigma_a,FALSE)*(1+(LN((Tabella34[[#This Row],[Day]]-pa))-mu_a)/sigma_a^2)/(Tabella34[[#This Row],[Day]]-pa),0)</f>
        <v>-89.434691131901118</v>
      </c>
      <c r="BS116" s="95">
        <f>Tabella34[[#This Row],[rest of Italy acc. fit]]/y_a_peak</f>
        <v>-2.6466630587660109E-2</v>
      </c>
      <c r="BT116" s="95">
        <f>Tabella34[[#This Row],[rest of Italy acc. fit]]*NOT(ISBLANK(Tabella34[[#This Row],[rest of Italy data]]))</f>
        <v>-89.434691131901118</v>
      </c>
      <c r="BU116" s="95">
        <f>Tabella34[[#This Row],[rest of Italy acc. fit]]+CIa</f>
        <v>5249.4047440281165</v>
      </c>
      <c r="BV116" s="95">
        <f>MAX(Tabella34[[#This Row],[rest of Italy acc. fit]]-CIa,0)</f>
        <v>0</v>
      </c>
    </row>
    <row r="117" spans="2:74" x14ac:dyDescent="0.3">
      <c r="B117" s="281">
        <v>43940</v>
      </c>
      <c r="C117" s="4">
        <v>110</v>
      </c>
      <c r="D117" s="10">
        <f>Tabella8[[#This Row],[Spain cum. Cases]]</f>
        <v>198674</v>
      </c>
      <c r="E117" s="90">
        <f>(Tabella34[[#This Row],[Spain cumul. Cases]]-D116)</f>
        <v>6948</v>
      </c>
      <c r="F117" s="90">
        <f>Tabella34[[#This Row],[Spain daily cases]]-E116</f>
        <v>6061</v>
      </c>
      <c r="G117" s="95">
        <f>Tabella34[[#This Row],[Spain daily cases]]*NOT(ISBLANK(Tabella34[[#This Row],[Spain daily cases]]))</f>
        <v>6948</v>
      </c>
      <c r="H117" s="157">
        <f>Tabella8[[#This Row],[Spain cum. fit]]</f>
        <v>202297.43927982921</v>
      </c>
      <c r="I117" s="157" t="e">
        <f>_xlfn.LOGNORM.INV(alpha*Tabella34[[#This Row],[Spain cumul. Fit]]/Kt,mu_t,sigma_t)-(Tabella34[[#This Row],[Day]]-pt)</f>
        <v>#NUM!</v>
      </c>
      <c r="J117" s="157" t="e">
        <f>Tabella34[[#This Row],[Spain fitted d.t.]]/Spain_dt_at_lockdown</f>
        <v>#NUM!</v>
      </c>
      <c r="K117" s="95">
        <f>Tabella34[[#This Row],[Spain cumul. Fit]]/Kf</f>
        <v>0.72249112351989631</v>
      </c>
      <c r="L117" s="160"/>
      <c r="M117" s="95"/>
      <c r="N117" s="157">
        <f>IFERROR(Kt*_xlfn.LOGNORM.DIST((Tabella34[[#This Row],[Day]]-pt),mu_t,sigma_t,FALSE),0)</f>
        <v>4615.3970233170312</v>
      </c>
      <c r="O117" s="157" t="e">
        <f>Kt*EXP(-0.5*Tabella34[[#This Row],[x_t]]^2)/(sigma_t*SQRTPI(2)*(Tabella34[[#This Row],[Day]]-D_bk))</f>
        <v>#NAME?</v>
      </c>
      <c r="P117" s="199">
        <f>Tabella34[[#This Row],[Spain fitted velocity]]/Tabella34[[#This Row],[Spain cumul. Fit]]</f>
        <v>2.2814905812686803E-2</v>
      </c>
      <c r="Q117" s="262">
        <f>(LN(Tabella34[[#This Row],[Day]]-pt)-mu_t)/sigma_t</f>
        <v>0.59025791004621164</v>
      </c>
      <c r="R117" s="262">
        <f>EXP(mu_t+sigma_t*Tabella34[[#This Row],[x_t_alpha©+plus]])-(Tabella34[[#This Row],[Day]]-pt)</f>
        <v>13.201746779508667</v>
      </c>
      <c r="S117" s="262">
        <f>EXP(mu_t+sigma_t*Tabella34[[#This Row],[x_t_alpha©-minus]])-(Tabella34[[#This Row],[Day]]-pt)</f>
        <v>-35.062497783988938</v>
      </c>
      <c r="T117" s="262">
        <f>-sigma_t+SQRT(sigma_t^2-2*Tabella34[[#This Row],[c_t]])</f>
        <v>1.1887222116032261</v>
      </c>
      <c r="U117" s="262">
        <f>-sigma_t-SQRT(sigma_t^2-2*Tabella34[[#This Row],[c_t]])</f>
        <v>-1.7261615614463934</v>
      </c>
      <c r="V117" s="262">
        <f>mu_t-LN(alpha*Kt/(Tabella34[[#This Row],[Spain fitted velocity]]*sigma_t*SQRTPI(2)))</f>
        <v>-1.0259632944535175</v>
      </c>
      <c r="W117" s="262">
        <f>Tabella34[[#This Row],[Spain fitted g.r.]]/Spain_gr_at_lockdown</f>
        <v>0.11010254212746484</v>
      </c>
      <c r="X117" s="262">
        <f>Tabella34[[#This Row],[t_alpha_t+plus]]</f>
        <v>13.201746779508667</v>
      </c>
      <c r="Y117" s="262">
        <f>Tabella34[[#This Row],[Spain fitted h.t.]]/Spain_ht_at_lockdown</f>
        <v>0.21445134186959117</v>
      </c>
      <c r="Z117" s="90">
        <f>IFERROR(-Kf*_xlfn.LOGNORM.DIST((Tabella34[[#This Row],[Day]]-pf),mu_f,sigma_f,FALSE)*(1+(LN((Tabella34[[#This Row],[Day]]-pf))-mu_f)/sigma_f^2)/(Tabella34[[#This Row],[Day]]-pf),0)</f>
        <v>-194.97865988134416</v>
      </c>
      <c r="AA117" s="90">
        <f>Tabella34[[#This Row],[Spain acc. fit]]/Spain_acc_at_lockdown</f>
        <v>-0.66442281674399772</v>
      </c>
      <c r="AB117" s="95">
        <f>Tabella34[[#This Row],[Spain acc. fit]]/y_f_peak</f>
        <v>-2.9211748585973231E-2</v>
      </c>
      <c r="AC117" s="157">
        <f>Tabella34[[#This Row],[Colonna4]]*NOT(ISBLANK(Tabella34[[#This Row],[Spain daily cases]]))</f>
        <v>0</v>
      </c>
      <c r="AD117" s="157">
        <f>Tabella34[[#This Row],[Spain acc. fit]]*NOT(ISBLANK(Tabella34[[#This Row],[Spain daily cases]]))</f>
        <v>-194.97865988134416</v>
      </c>
      <c r="AE117" s="95">
        <f>Tabella34[[#This Row],[Spain acc. fit]]+CIf</f>
        <v>2147.7097577997483</v>
      </c>
      <c r="AF117" s="95">
        <f>MAX(Tabella34[[#This Row],[Spain acc. fit]]-CIf,0)</f>
        <v>0</v>
      </c>
      <c r="AG117" s="4">
        <f>Tabella8[[#This Row],[Lombardy]]</f>
        <v>0</v>
      </c>
      <c r="AH117" s="90">
        <f>(Tabella34[[#This Row],[Lombardy cumul. Data]]-AG116)</f>
        <v>0</v>
      </c>
      <c r="AI117" s="90">
        <f>Tabella34[[#This Row],[Lombardy data]]-AH116</f>
        <v>0</v>
      </c>
      <c r="AJ117" s="95">
        <f>Tabella34[[#This Row],[Lombardy data]]*NOT(ISBLANK(Tabella34[[#This Row],[Lombardy data]]))</f>
        <v>0</v>
      </c>
      <c r="AK117" s="95">
        <f>Tabella8[[#This Row],[Lombardy fit]]</f>
        <v>66740.0083428785</v>
      </c>
      <c r="AL117" s="157" t="e">
        <f>_xlfn.LOGNORM.INV(alpha*Tabella34[[#This Row],[Lombardy cumul. Fit]]/Kr,mu_r,sigma_r)-(Tabella34[[#This Row],[Day]]-pr)</f>
        <v>#NUM!</v>
      </c>
      <c r="AM117" s="95">
        <f>Tabella34[[#This Row],[Lombardy cumul. Fit]]/Kl</f>
        <v>0.76712653267676434</v>
      </c>
      <c r="AN117" s="95">
        <f>IFERROR(Kr*_xlfn.LOGNORM.DIST((Tabella34[[#This Row],[Day]]-pr),mu_r,sigma_r,FALSE),0)</f>
        <v>991.90101172920083</v>
      </c>
      <c r="AO117" s="202">
        <f>Tabella34[[#This Row],[Lombardy velocity]]/Tabella34[[#This Row],[Lombardy cumul. Fit]]</f>
        <v>1.4862164934611396E-2</v>
      </c>
      <c r="AP117" s="259">
        <f>(LN(Tabella34[[#This Row],[Day]]-pr)-mu_r)/sigma_r</f>
        <v>0.7294164887091199</v>
      </c>
      <c r="AQ117" s="262">
        <f>EXP(mu_r+sigma_r*Tabella34[[#This Row],[x_r_alpha©+plus]])-(Tabella34[[#This Row],[Day]]-pr)</f>
        <v>15.288698915572965</v>
      </c>
      <c r="AR117" s="262">
        <f>EXP(mu_r+sigma_r*Tabella34[[#This Row],[x_r_alpha©-minus]])-(Tabella34[[#This Row],[Day]]-pr)</f>
        <v>-46.933681700309066</v>
      </c>
      <c r="AS117" s="262">
        <f>-sigma_r+SQRT(sigma_r^2-2*Tabella34[[#This Row],[c_r]])</f>
        <v>1.2504404175747543</v>
      </c>
      <c r="AT117" s="262">
        <f>-sigma_r-SQRT(sigma_r^2-2*Tabella34[[#This Row],[c_r]])</f>
        <v>-1.9312950147684835</v>
      </c>
      <c r="AU117" s="262">
        <f>mu_r-LN(alpha*Kr/(Tabella34[[#This Row],[Lombardy velocity]]*sigma_r*SQRTPI(2)))</f>
        <v>-1.2074846723635719</v>
      </c>
      <c r="AV117" s="262">
        <f>Tabella34[[#This Row],[t_alpha_r+plus]]</f>
        <v>15.288698915572965</v>
      </c>
      <c r="AW117" s="90">
        <f>IFERROR(-Kl*_xlfn.LOGNORM.DIST((Tabella34[[#This Row],[Day]]-pl),mu_l,sigma_l,FALSE)*(1+(LN((Tabella34[[#This Row],[Day]]-pl))-mu_l)/sigma_l^2)/(Tabella34[[#This Row],[Day]]-pl),0)</f>
        <v>-39.569499968936469</v>
      </c>
      <c r="AX117" s="95">
        <f>Tabella34[[#This Row],[Lombardy acc. fit]]/y_l_peak</f>
        <v>-2.2508830914974246E-2</v>
      </c>
      <c r="AY117" s="157">
        <f>Tabella34[[#This Row],[Lombardy acc. fit]]*NOT(ISBLANK(Tabella34[[#This Row],[Lombardy data]]))</f>
        <v>-39.569499968936469</v>
      </c>
      <c r="AZ117" s="95">
        <f>Tabella34[[#This Row],[Lombardy acc. fit]]+CIl</f>
        <v>2530.8128229474723</v>
      </c>
      <c r="BA117" s="95">
        <f>MAX(Tabella34[[#This Row],[Lombardy acc. fit]]-CIl,0)</f>
        <v>0</v>
      </c>
      <c r="BB117" s="10">
        <f>Tabella8[[#This Row],[rest of Italy ]]</f>
        <v>198674</v>
      </c>
      <c r="BC117" s="10">
        <f>(Tabella34[[#This Row],[rest of Italy cum. Data]]-BB116)</f>
        <v>6948</v>
      </c>
      <c r="BD117" s="10">
        <f>Tabella34[[#This Row],[rest of Italy data]]-BC116</f>
        <v>6061</v>
      </c>
      <c r="BE117" s="95">
        <f>Tabella34[[#This Row],[rest of Italy data]]*NOT(ISBLANK(Tabella34[[#This Row],[rest of Italy data]]))</f>
        <v>6948</v>
      </c>
      <c r="BF117" s="95">
        <f>Tabella8[[#This Row],[rest of Italy fit]]</f>
        <v>113388.02458773604</v>
      </c>
      <c r="BG117" s="157" t="e">
        <f>_xlfn.LOGNORM.INV(alpha*Tabella34[[#This Row],[rest of Italy cumul. Fit]]/Ko,mu_o,sigma_o)-(Tabella34[[#This Row],[Day]]-po)</f>
        <v>#NUM!</v>
      </c>
      <c r="BH117" s="95">
        <f>Tabella34[[#This Row],[rest of Italy cumul. Fit]]/Ka</f>
        <v>0.76613539045546086</v>
      </c>
      <c r="BI117" s="157">
        <f>IFERROR(Ko*_xlfn.LOGNORM.DIST((Tabella34[[#This Row],[Day]]-po),mu_o,sigma_o,FALSE),0)</f>
        <v>1951.938244562695</v>
      </c>
      <c r="BJ117" s="199">
        <f>Tabella34[[#This Row],[rest of Italy velocity]]/Tabella34[[#This Row],[rest of Italy cumul. Fit]]</f>
        <v>1.721467722592122E-2</v>
      </c>
      <c r="BK117" s="254">
        <f>(LN(Tabella34[[#This Row],[Day]]-po)-mu_o)/sigma_o</f>
        <v>0.72617871433888115</v>
      </c>
      <c r="BL117" s="262">
        <f>EXP(mu_o+sigma_o*Tabella34[[#This Row],[x_o_alpha©+plus]])-(Tabella34[[#This Row],[Day]]-po)</f>
        <v>13.38272653101123</v>
      </c>
      <c r="BM117" s="262">
        <f>EXP(mu_o+sigma_o*Tabella34[[#This Row],[x_o_alpha©-minus]])-(Tabella34[[#This Row],[Day]]-po)</f>
        <v>-41.185984391956708</v>
      </c>
      <c r="BN117" s="262">
        <f>-sigma_o+SQRT(sigma_o^2-2*Tabella34[[#This Row],[c_o]])</f>
        <v>1.2545518498268176</v>
      </c>
      <c r="BO117" s="262">
        <f>-sigma_o-SQRT(sigma_o^2-2*Tabella34[[#This Row],[c_o]])</f>
        <v>-1.8975246271258435</v>
      </c>
      <c r="BP117" s="262">
        <f>mu_o-LN(alpha*Ko/(Tabella34[[#This Row],[rest of Italy velocity]]*sigma_o*SQRTPI(2)))</f>
        <v>-1.1902715155263346</v>
      </c>
      <c r="BQ117" s="262">
        <f>Tabella34[[#This Row],[t_alpha_o+plus]]</f>
        <v>13.38272653101123</v>
      </c>
      <c r="BR117" s="90">
        <f>IFERROR(-Ka*_xlfn.LOGNORM.DIST((Tabella34[[#This Row],[Day]]-pa),mu_a,sigma_a,FALSE)*(1+(LN((Tabella34[[#This Row],[Day]]-pa))-mu_a)/sigma_a^2)/(Tabella34[[#This Row],[Day]]-pa),0)</f>
        <v>-88.001960707140327</v>
      </c>
      <c r="BS117" s="95">
        <f>Tabella34[[#This Row],[rest of Italy acc. fit]]/y_a_peak</f>
        <v>-2.6042639109589032E-2</v>
      </c>
      <c r="BT117" s="95">
        <f>Tabella34[[#This Row],[rest of Italy acc. fit]]*NOT(ISBLANK(Tabella34[[#This Row],[rest of Italy data]]))</f>
        <v>-88.001960707140327</v>
      </c>
      <c r="BU117" s="95">
        <f>Tabella34[[#This Row],[rest of Italy acc. fit]]+CIa</f>
        <v>5250.8374744528774</v>
      </c>
      <c r="BV117" s="95">
        <f>MAX(Tabella34[[#This Row],[rest of Italy acc. fit]]-CIa,0)</f>
        <v>0</v>
      </c>
    </row>
    <row r="118" spans="2:74" x14ac:dyDescent="0.3">
      <c r="B118" s="281">
        <v>43941</v>
      </c>
      <c r="C118" s="4">
        <v>111</v>
      </c>
      <c r="D118" s="10">
        <f>Tabella8[[#This Row],[Spain cum. Cases]]</f>
        <v>200210</v>
      </c>
      <c r="E118" s="90">
        <f>(Tabella34[[#This Row],[Spain cumul. Cases]]-D117)</f>
        <v>1536</v>
      </c>
      <c r="F118" s="90">
        <f>Tabella34[[#This Row],[Spain daily cases]]-E117</f>
        <v>-5412</v>
      </c>
      <c r="G118" s="95">
        <f>Tabella34[[#This Row],[Spain daily cases]]*NOT(ISBLANK(Tabella34[[#This Row],[Spain daily cases]]))</f>
        <v>1536</v>
      </c>
      <c r="H118" s="157">
        <f>Tabella8[[#This Row],[Spain cum. fit]]</f>
        <v>206815.33419671253</v>
      </c>
      <c r="I118" s="157" t="e">
        <f>_xlfn.LOGNORM.INV(alpha*Tabella34[[#This Row],[Spain cumul. Fit]]/Kt,mu_t,sigma_t)-(Tabella34[[#This Row],[Day]]-pt)</f>
        <v>#NUM!</v>
      </c>
      <c r="J118" s="157" t="e">
        <f>Tabella34[[#This Row],[Spain fitted d.t.]]/Spain_dt_at_lockdown</f>
        <v>#NUM!</v>
      </c>
      <c r="K118" s="95">
        <f>Tabella34[[#This Row],[Spain cumul. Fit]]/Kf</f>
        <v>0.73862646851518676</v>
      </c>
      <c r="L118" s="160"/>
      <c r="M118" s="95"/>
      <c r="N118" s="157">
        <f>IFERROR(Kt*_xlfn.LOGNORM.DIST((Tabella34[[#This Row],[Day]]-pt),mu_t,sigma_t,FALSE),0)</f>
        <v>4420.424630412911</v>
      </c>
      <c r="O118" s="157" t="e">
        <f>Kt*EXP(-0.5*Tabella34[[#This Row],[x_t]]^2)/(sigma_t*SQRTPI(2)*(Tabella34[[#This Row],[Day]]-D_bk))</f>
        <v>#NAME?</v>
      </c>
      <c r="P118" s="199">
        <f>Tabella34[[#This Row],[Spain fitted velocity]]/Tabella34[[#This Row],[Spain cumul. Fit]]</f>
        <v>2.1373776018989103E-2</v>
      </c>
      <c r="Q118" s="262">
        <f>(LN(Tabella34[[#This Row],[Day]]-pt)-mu_t)/sigma_t</f>
        <v>0.63911662879901177</v>
      </c>
      <c r="R118" s="262">
        <f>EXP(mu_t+sigma_t*Tabella34[[#This Row],[x_t_alpha©+plus]])-(Tabella34[[#This Row],[Day]]-pt)</f>
        <v>12.904695558801649</v>
      </c>
      <c r="S118" s="262">
        <f>EXP(mu_t+sigma_t*Tabella34[[#This Row],[x_t_alpha©-minus]])-(Tabella34[[#This Row],[Day]]-pt)</f>
        <v>-36.381155816491528</v>
      </c>
      <c r="T118" s="262">
        <f>-sigma_t+SQRT(sigma_t^2-2*Tabella34[[#This Row],[c_t]])</f>
        <v>1.2180422816380279</v>
      </c>
      <c r="U118" s="262">
        <f>-sigma_t-SQRT(sigma_t^2-2*Tabella34[[#This Row],[c_t]])</f>
        <v>-1.7554816314811952</v>
      </c>
      <c r="V118" s="262">
        <f>mu_t-LN(alpha*Kt/(Tabella34[[#This Row],[Spain fitted velocity]]*sigma_t*SQRTPI(2)))</f>
        <v>-1.0691254258915013</v>
      </c>
      <c r="W118" s="262">
        <f>Tabella34[[#This Row],[Spain fitted g.r.]]/Spain_gr_at_lockdown</f>
        <v>0.10314778828695097</v>
      </c>
      <c r="X118" s="262">
        <f>Tabella34[[#This Row],[t_alpha_t+plus]]</f>
        <v>12.904695558801649</v>
      </c>
      <c r="Y118" s="262">
        <f>Tabella34[[#This Row],[Spain fitted h.t.]]/Spain_ht_at_lockdown</f>
        <v>0.20962599307684671</v>
      </c>
      <c r="Z118" s="90">
        <f>IFERROR(-Kf*_xlfn.LOGNORM.DIST((Tabella34[[#This Row],[Day]]-pf),mu_f,sigma_f,FALSE)*(1+(LN((Tabella34[[#This Row],[Day]]-pf))-mu_f)/sigma_f^2)/(Tabella34[[#This Row],[Day]]-pf),0)</f>
        <v>-194.78958767173594</v>
      </c>
      <c r="AA118" s="90">
        <f>Tabella34[[#This Row],[Spain acc. fit]]/Spain_acc_at_lockdown</f>
        <v>-0.66377852115722757</v>
      </c>
      <c r="AB118" s="95">
        <f>Tabella34[[#This Row],[Spain acc. fit]]/y_f_peak</f>
        <v>-2.9183421743153453E-2</v>
      </c>
      <c r="AC118" s="157">
        <f>Tabella34[[#This Row],[Colonna4]]*NOT(ISBLANK(Tabella34[[#This Row],[Spain daily cases]]))</f>
        <v>0</v>
      </c>
      <c r="AD118" s="157">
        <f>Tabella34[[#This Row],[Spain acc. fit]]*NOT(ISBLANK(Tabella34[[#This Row],[Spain daily cases]]))</f>
        <v>-194.78958767173594</v>
      </c>
      <c r="AE118" s="95">
        <f>Tabella34[[#This Row],[Spain acc. fit]]+CIf</f>
        <v>2147.898830009357</v>
      </c>
      <c r="AF118" s="95">
        <f>MAX(Tabella34[[#This Row],[Spain acc. fit]]-CIf,0)</f>
        <v>0</v>
      </c>
      <c r="AG118" s="4">
        <f>Tabella8[[#This Row],[Lombardy]]</f>
        <v>0</v>
      </c>
      <c r="AH118" s="90">
        <f>(Tabella34[[#This Row],[Lombardy cumul. Data]]-AG117)</f>
        <v>0</v>
      </c>
      <c r="AI118" s="90">
        <f>Tabella34[[#This Row],[Lombardy data]]-AH117</f>
        <v>0</v>
      </c>
      <c r="AJ118" s="95">
        <f>Tabella34[[#This Row],[Lombardy data]]*NOT(ISBLANK(Tabella34[[#This Row],[Lombardy data]]))</f>
        <v>0</v>
      </c>
      <c r="AK118" s="95">
        <f>Tabella8[[#This Row],[Lombardy fit]]</f>
        <v>67712.244857883314</v>
      </c>
      <c r="AL118" s="157" t="e">
        <f>_xlfn.LOGNORM.INV(alpha*Tabella34[[#This Row],[Lombardy cumul. Fit]]/Kr,mu_r,sigma_r)-(Tabella34[[#This Row],[Day]]-pr)</f>
        <v>#NUM!</v>
      </c>
      <c r="AM118" s="95">
        <f>Tabella34[[#This Row],[Lombardy cumul. Fit]]/Kl</f>
        <v>0.77830166503314158</v>
      </c>
      <c r="AN118" s="95">
        <f>IFERROR(Kr*_xlfn.LOGNORM.DIST((Tabella34[[#This Row],[Day]]-pr),mu_r,sigma_r,FALSE),0)</f>
        <v>952.6954831916421</v>
      </c>
      <c r="AO118" s="202">
        <f>Tabella34[[#This Row],[Lombardy velocity]]/Tabella34[[#This Row],[Lombardy cumul. Fit]]</f>
        <v>1.4069766630706023E-2</v>
      </c>
      <c r="AP118" s="259">
        <f>(LN(Tabella34[[#This Row],[Day]]-pr)-mu_r)/sigma_r</f>
        <v>0.76647004327381507</v>
      </c>
      <c r="AQ118" s="262">
        <f>EXP(mu_r+sigma_r*Tabella34[[#This Row],[x_r_alpha©+plus]])-(Tabella34[[#This Row],[Day]]-pr)</f>
        <v>15.09755812265972</v>
      </c>
      <c r="AR118" s="262">
        <f>EXP(mu_r+sigma_r*Tabella34[[#This Row],[x_r_alpha©-minus]])-(Tabella34[[#This Row],[Day]]-pr)</f>
        <v>-48.205168420700886</v>
      </c>
      <c r="AS118" s="262">
        <f>-sigma_r+SQRT(sigma_r^2-2*Tabella34[[#This Row],[c_r]])</f>
        <v>1.2755912924348936</v>
      </c>
      <c r="AT118" s="262">
        <f>-sigma_r-SQRT(sigma_r^2-2*Tabella34[[#This Row],[c_r]])</f>
        <v>-1.9564458896286228</v>
      </c>
      <c r="AU118" s="262">
        <f>mu_r-LN(alpha*Kr/(Tabella34[[#This Row],[Lombardy velocity]]*sigma_r*SQRTPI(2)))</f>
        <v>-1.2478126704651551</v>
      </c>
      <c r="AV118" s="262">
        <f>Tabella34[[#This Row],[t_alpha_r+plus]]</f>
        <v>15.09755812265972</v>
      </c>
      <c r="AW118" s="90">
        <f>IFERROR(-Kl*_xlfn.LOGNORM.DIST((Tabella34[[#This Row],[Day]]-pl),mu_l,sigma_l,FALSE)*(1+(LN((Tabella34[[#This Row],[Day]]-pl))-mu_l)/sigma_l^2)/(Tabella34[[#This Row],[Day]]-pl),0)</f>
        <v>-38.828901309557644</v>
      </c>
      <c r="AX118" s="95">
        <f>Tabella34[[#This Row],[Lombardy acc. fit]]/y_l_peak</f>
        <v>-2.2087546592127076E-2</v>
      </c>
      <c r="AY118" s="157">
        <f>Tabella34[[#This Row],[Lombardy acc. fit]]*NOT(ISBLANK(Tabella34[[#This Row],[Lombardy data]]))</f>
        <v>-38.828901309557644</v>
      </c>
      <c r="AZ118" s="95">
        <f>Tabella34[[#This Row],[Lombardy acc. fit]]+CIl</f>
        <v>2531.5534216068509</v>
      </c>
      <c r="BA118" s="95">
        <f>MAX(Tabella34[[#This Row],[Lombardy acc. fit]]-CIl,0)</f>
        <v>0</v>
      </c>
      <c r="BB118" s="10">
        <f>Tabella8[[#This Row],[rest of Italy ]]</f>
        <v>200210</v>
      </c>
      <c r="BC118" s="10">
        <f>(Tabella34[[#This Row],[rest of Italy cum. Data]]-BB117)</f>
        <v>1536</v>
      </c>
      <c r="BD118" s="10">
        <f>Tabella34[[#This Row],[rest of Italy data]]-BC117</f>
        <v>-5412</v>
      </c>
      <c r="BE118" s="95">
        <f>Tabella34[[#This Row],[rest of Italy data]]*NOT(ISBLANK(Tabella34[[#This Row],[rest of Italy data]]))</f>
        <v>1536</v>
      </c>
      <c r="BF118" s="95">
        <f>Tabella8[[#This Row],[rest of Italy fit]]</f>
        <v>115296.23414275379</v>
      </c>
      <c r="BG118" s="157" t="e">
        <f>_xlfn.LOGNORM.INV(alpha*Tabella34[[#This Row],[rest of Italy cumul. Fit]]/Ko,mu_o,sigma_o)-(Tabella34[[#This Row],[Day]]-po)</f>
        <v>#NUM!</v>
      </c>
      <c r="BH118" s="95">
        <f>Tabella34[[#This Row],[rest of Italy cumul. Fit]]/Ka</f>
        <v>0.77902869976056432</v>
      </c>
      <c r="BI118" s="157">
        <f>IFERROR(Ko*_xlfn.LOGNORM.DIST((Tabella34[[#This Row],[Day]]-po),mu_o,sigma_o,FALSE),0)</f>
        <v>1864.7634123870196</v>
      </c>
      <c r="BJ118" s="199">
        <f>Tabella34[[#This Row],[rest of Italy velocity]]/Tabella34[[#This Row],[rest of Italy cumul. Fit]]</f>
        <v>1.6173671466824899E-2</v>
      </c>
      <c r="BK118" s="254">
        <f>(LN(Tabella34[[#This Row],[Day]]-po)-mu_o)/sigma_o</f>
        <v>0.76891697348177968</v>
      </c>
      <c r="BL118" s="262">
        <f>EXP(mu_o+sigma_o*Tabella34[[#This Row],[x_o_alpha©+plus]])-(Tabella34[[#This Row],[Day]]-po)</f>
        <v>13.177559836596046</v>
      </c>
      <c r="BM118" s="262">
        <f>EXP(mu_o+sigma_o*Tabella34[[#This Row],[x_o_alpha©-minus]])-(Tabella34[[#This Row],[Day]]-po)</f>
        <v>-42.471857248001264</v>
      </c>
      <c r="BN118" s="262">
        <f>-sigma_o+SQRT(sigma_o^2-2*Tabella34[[#This Row],[c_o]])</f>
        <v>1.2832795921922786</v>
      </c>
      <c r="BO118" s="262">
        <f>-sigma_o-SQRT(sigma_o^2-2*Tabella34[[#This Row],[c_o]])</f>
        <v>-1.9262523694913045</v>
      </c>
      <c r="BP118" s="262">
        <f>mu_o-LN(alpha*Ko/(Tabella34[[#This Row],[rest of Italy velocity]]*sigma_o*SQRTPI(2)))</f>
        <v>-1.2359601775901057</v>
      </c>
      <c r="BQ118" s="262">
        <f>Tabella34[[#This Row],[t_alpha_o+plus]]</f>
        <v>13.177559836596046</v>
      </c>
      <c r="BR118" s="90">
        <f>IFERROR(-Ka*_xlfn.LOGNORM.DIST((Tabella34[[#This Row],[Day]]-pa),mu_a,sigma_a,FALSE)*(1+(LN((Tabella34[[#This Row],[Day]]-pa))-mu_a)/sigma_a^2)/(Tabella34[[#This Row],[Day]]-pa),0)</f>
        <v>-86.307316343143768</v>
      </c>
      <c r="BS118" s="95">
        <f>Tabella34[[#This Row],[rest of Italy acc. fit]]/y_a_peak</f>
        <v>-2.5541138788050394E-2</v>
      </c>
      <c r="BT118" s="95">
        <f>Tabella34[[#This Row],[rest of Italy acc. fit]]*NOT(ISBLANK(Tabella34[[#This Row],[rest of Italy data]]))</f>
        <v>-86.307316343143768</v>
      </c>
      <c r="BU118" s="95">
        <f>Tabella34[[#This Row],[rest of Italy acc. fit]]+CIa</f>
        <v>5252.5321188168737</v>
      </c>
      <c r="BV118" s="95">
        <f>MAX(Tabella34[[#This Row],[rest of Italy acc. fit]]-CIa,0)</f>
        <v>0</v>
      </c>
    </row>
    <row r="119" spans="2:74" x14ac:dyDescent="0.3">
      <c r="B119" s="281">
        <v>43942</v>
      </c>
      <c r="C119" s="4">
        <v>112</v>
      </c>
      <c r="D119" s="10">
        <f>Tabella8[[#This Row],[Spain cum. Cases]]</f>
        <v>204178</v>
      </c>
      <c r="E119" s="90">
        <f>(Tabella34[[#This Row],[Spain cumul. Cases]]-D118)</f>
        <v>3968</v>
      </c>
      <c r="F119" s="90">
        <f>Tabella34[[#This Row],[Spain daily cases]]-E118</f>
        <v>2432</v>
      </c>
      <c r="G119" s="95">
        <f>Tabella34[[#This Row],[Spain daily cases]]*NOT(ISBLANK(Tabella34[[#This Row],[Spain daily cases]]))</f>
        <v>3968</v>
      </c>
      <c r="H119" s="157">
        <f>Tabella8[[#This Row],[Spain cum. fit]]</f>
        <v>211138.52319414384</v>
      </c>
      <c r="I119" s="157" t="e">
        <f>_xlfn.LOGNORM.INV(alpha*Tabella34[[#This Row],[Spain cumul. Fit]]/Kt,mu_t,sigma_t)-(Tabella34[[#This Row],[Day]]-pt)</f>
        <v>#NUM!</v>
      </c>
      <c r="J119" s="157" t="e">
        <f>Tabella34[[#This Row],[Spain fitted d.t.]]/Spain_dt_at_lockdown</f>
        <v>#NUM!</v>
      </c>
      <c r="K119" s="95">
        <f>Tabella34[[#This Row],[Spain cumul. Fit]]/Kf</f>
        <v>0.75406643496786363</v>
      </c>
      <c r="L119" s="160"/>
      <c r="M119" s="95"/>
      <c r="N119" s="157">
        <f>IFERROR(Kt*_xlfn.LOGNORM.DIST((Tabella34[[#This Row],[Day]]-pt),mu_t,sigma_t,FALSE),0)</f>
        <v>4226.1525320402661</v>
      </c>
      <c r="O119" s="157" t="e">
        <f>Kt*EXP(-0.5*Tabella34[[#This Row],[x_t]]^2)/(sigma_t*SQRTPI(2)*(Tabella34[[#This Row],[Day]]-D_bk))</f>
        <v>#NAME?</v>
      </c>
      <c r="P119" s="199">
        <f>Tabella34[[#This Row],[Spain fitted velocity]]/Tabella34[[#This Row],[Spain cumul. Fit]]</f>
        <v>2.0016018242934662E-2</v>
      </c>
      <c r="Q119" s="262">
        <f>(LN(Tabella34[[#This Row],[Day]]-pt)-mu_t)/sigma_t</f>
        <v>0.68734217101015116</v>
      </c>
      <c r="R119" s="262">
        <f>EXP(mu_t+sigma_t*Tabella34[[#This Row],[x_t_alpha©+plus]])-(Tabella34[[#This Row],[Day]]-pt)</f>
        <v>12.627955747793422</v>
      </c>
      <c r="S119" s="262">
        <f>EXP(mu_t+sigma_t*Tabella34[[#This Row],[x_t_alpha©-minus]])-(Tabella34[[#This Row],[Day]]-pt)</f>
        <v>-37.703842680905197</v>
      </c>
      <c r="T119" s="262">
        <f>-sigma_t+SQRT(sigma_t^2-2*Tabella34[[#This Row],[c_t]])</f>
        <v>1.2479703442867864</v>
      </c>
      <c r="U119" s="262">
        <f>-sigma_t-SQRT(sigma_t^2-2*Tabella34[[#This Row],[c_t]])</f>
        <v>-1.7854096941299538</v>
      </c>
      <c r="V119" s="262">
        <f>mu_t-LN(alpha*Kt/(Tabella34[[#This Row],[Spain fitted velocity]]*sigma_t*SQRTPI(2)))</f>
        <v>-1.1140691753381624</v>
      </c>
      <c r="W119" s="262">
        <f>Tabella34[[#This Row],[Spain fitted g.r.]]/Spain_gr_at_lockdown</f>
        <v>9.6595379788564889E-2</v>
      </c>
      <c r="X119" s="262">
        <f>Tabella34[[#This Row],[t_alpha_t+plus]]</f>
        <v>12.627955747793422</v>
      </c>
      <c r="Y119" s="262">
        <f>Tabella34[[#This Row],[Spain fitted h.t.]]/Spain_ht_at_lockdown</f>
        <v>0.20513058615754659</v>
      </c>
      <c r="Z119" s="90">
        <f>IFERROR(-Kf*_xlfn.LOGNORM.DIST((Tabella34[[#This Row],[Day]]-pf),mu_f,sigma_f,FALSE)*(1+(LN((Tabella34[[#This Row],[Day]]-pf))-mu_f)/sigma_f^2)/(Tabella34[[#This Row],[Day]]-pf),0)</f>
        <v>-193.59639623563592</v>
      </c>
      <c r="AA119" s="90">
        <f>Tabella34[[#This Row],[Spain acc. fit]]/Spain_acc_at_lockdown</f>
        <v>-0.6597125191887514</v>
      </c>
      <c r="AB119" s="95">
        <f>Tabella34[[#This Row],[Spain acc. fit]]/y_f_peak</f>
        <v>-2.9004657522148439E-2</v>
      </c>
      <c r="AC119" s="157">
        <f>Tabella34[[#This Row],[Colonna4]]*NOT(ISBLANK(Tabella34[[#This Row],[Spain daily cases]]))</f>
        <v>0</v>
      </c>
      <c r="AD119" s="157">
        <f>Tabella34[[#This Row],[Spain acc. fit]]*NOT(ISBLANK(Tabella34[[#This Row],[Spain daily cases]]))</f>
        <v>-193.59639623563592</v>
      </c>
      <c r="AE119" s="95">
        <f>Tabella34[[#This Row],[Spain acc. fit]]+CIf</f>
        <v>2149.0920214454568</v>
      </c>
      <c r="AF119" s="95">
        <f>MAX(Tabella34[[#This Row],[Spain acc. fit]]-CIf,0)</f>
        <v>0</v>
      </c>
      <c r="AG119" s="4">
        <f>Tabella8[[#This Row],[Lombardy]]</f>
        <v>0</v>
      </c>
      <c r="AH119" s="90">
        <f>(Tabella34[[#This Row],[Lombardy cumul. Data]]-AG118)</f>
        <v>0</v>
      </c>
      <c r="AI119" s="90">
        <f>Tabella34[[#This Row],[Lombardy data]]-AH118</f>
        <v>0</v>
      </c>
      <c r="AJ119" s="95">
        <f>Tabella34[[#This Row],[Lombardy data]]*NOT(ISBLANK(Tabella34[[#This Row],[Lombardy data]]))</f>
        <v>0</v>
      </c>
      <c r="AK119" s="95">
        <f>Tabella8[[#This Row],[Lombardy fit]]</f>
        <v>68645.658331171959</v>
      </c>
      <c r="AL119" s="157" t="e">
        <f>_xlfn.LOGNORM.INV(alpha*Tabella34[[#This Row],[Lombardy cumul. Fit]]/Kr,mu_r,sigma_r)-(Tabella34[[#This Row],[Day]]-pr)</f>
        <v>#NUM!</v>
      </c>
      <c r="AM119" s="95">
        <f>Tabella34[[#This Row],[Lombardy cumul. Fit]]/Kl</f>
        <v>0.78903055553071222</v>
      </c>
      <c r="AN119" s="95">
        <f>IFERROR(Kr*_xlfn.LOGNORM.DIST((Tabella34[[#This Row],[Day]]-pr),mu_r,sigma_r,FALSE),0)</f>
        <v>914.26665184004321</v>
      </c>
      <c r="AO119" s="202">
        <f>Tabella34[[#This Row],[Lombardy velocity]]/Tabella34[[#This Row],[Lombardy cumul. Fit]]</f>
        <v>1.3318637683235317E-2</v>
      </c>
      <c r="AP119" s="259">
        <f>(LN(Tabella34[[#This Row],[Day]]-pr)-mu_r)/sigma_r</f>
        <v>0.80306201909352815</v>
      </c>
      <c r="AQ119" s="262">
        <f>EXP(mu_r+sigma_r*Tabella34[[#This Row],[x_r_alpha©+plus]])-(Tabella34[[#This Row],[Day]]-pr)</f>
        <v>14.917590083083738</v>
      </c>
      <c r="AR119" s="262">
        <f>EXP(mu_r+sigma_r*Tabella34[[#This Row],[x_r_alpha©-minus]])-(Tabella34[[#This Row],[Day]]-pr)</f>
        <v>-49.4757202027792</v>
      </c>
      <c r="AS119" s="262">
        <f>-sigma_r+SQRT(sigma_r^2-2*Tabella34[[#This Row],[c_r]])</f>
        <v>1.3008716323696832</v>
      </c>
      <c r="AT119" s="262">
        <f>-sigma_r-SQRT(sigma_r^2-2*Tabella34[[#This Row],[c_r]])</f>
        <v>-1.9817262295634124</v>
      </c>
      <c r="AU119" s="262">
        <f>mu_r-LN(alpha*Kr/(Tabella34[[#This Row],[Lombardy velocity]]*sigma_r*SQRTPI(2)))</f>
        <v>-1.2889857175809869</v>
      </c>
      <c r="AV119" s="262">
        <f>Tabella34[[#This Row],[t_alpha_r+plus]]</f>
        <v>14.917590083083738</v>
      </c>
      <c r="AW119" s="90">
        <f>IFERROR(-Kl*_xlfn.LOGNORM.DIST((Tabella34[[#This Row],[Day]]-pl),mu_l,sigma_l,FALSE)*(1+(LN((Tabella34[[#This Row],[Day]]-pl))-mu_l)/sigma_l^2)/(Tabella34[[#This Row],[Day]]-pl),0)</f>
        <v>-38.017948324466445</v>
      </c>
      <c r="AX119" s="95">
        <f>Tabella34[[#This Row],[Lombardy acc. fit]]/y_l_peak</f>
        <v>-2.1626241707411797E-2</v>
      </c>
      <c r="AY119" s="157">
        <f>Tabella34[[#This Row],[Lombardy acc. fit]]*NOT(ISBLANK(Tabella34[[#This Row],[Lombardy data]]))</f>
        <v>-38.017948324466445</v>
      </c>
      <c r="AZ119" s="95">
        <f>Tabella34[[#This Row],[Lombardy acc. fit]]+CIl</f>
        <v>2532.3643745919421</v>
      </c>
      <c r="BA119" s="95">
        <f>MAX(Tabella34[[#This Row],[Lombardy acc. fit]]-CIl,0)</f>
        <v>0</v>
      </c>
      <c r="BB119" s="10">
        <f>Tabella8[[#This Row],[rest of Italy ]]</f>
        <v>204178</v>
      </c>
      <c r="BC119" s="10">
        <f>(Tabella34[[#This Row],[rest of Italy cum. Data]]-BB118)</f>
        <v>3968</v>
      </c>
      <c r="BD119" s="10">
        <f>Tabella34[[#This Row],[rest of Italy data]]-BC118</f>
        <v>2432</v>
      </c>
      <c r="BE119" s="95">
        <f>Tabella34[[#This Row],[rest of Italy data]]*NOT(ISBLANK(Tabella34[[#This Row],[rest of Italy data]]))</f>
        <v>3968</v>
      </c>
      <c r="BF119" s="95">
        <f>Tabella8[[#This Row],[rest of Italy fit]]</f>
        <v>117118.15501163721</v>
      </c>
      <c r="BG119" s="157" t="e">
        <f>_xlfn.LOGNORM.INV(alpha*Tabella34[[#This Row],[rest of Italy cumul. Fit]]/Ko,mu_o,sigma_o)-(Tabella34[[#This Row],[Day]]-po)</f>
        <v>#NUM!</v>
      </c>
      <c r="BH119" s="95">
        <f>Tabella34[[#This Row],[rest of Italy cumul. Fit]]/Ka</f>
        <v>0.79133897733472647</v>
      </c>
      <c r="BI119" s="157">
        <f>IFERROR(Ko*_xlfn.LOGNORM.DIST((Tabella34[[#This Row],[Day]]-po),mu_o,sigma_o,FALSE),0)</f>
        <v>1779.3981474922105</v>
      </c>
      <c r="BJ119" s="199">
        <f>Tabella34[[#This Row],[rest of Italy velocity]]/Tabella34[[#This Row],[rest of Italy cumul. Fit]]</f>
        <v>1.5193188001598934E-2</v>
      </c>
      <c r="BK119" s="254">
        <f>(LN(Tabella34[[#This Row],[Day]]-po)-mu_o)/sigma_o</f>
        <v>0.81107596879586774</v>
      </c>
      <c r="BL119" s="262">
        <f>EXP(mu_o+sigma_o*Tabella34[[#This Row],[x_o_alpha©+plus]])-(Tabella34[[#This Row],[Day]]-po)</f>
        <v>12.985693697184871</v>
      </c>
      <c r="BM119" s="262">
        <f>EXP(mu_o+sigma_o*Tabella34[[#This Row],[x_o_alpha©-minus]])-(Tabella34[[#This Row],[Day]]-po)</f>
        <v>-43.75717497487193</v>
      </c>
      <c r="BN119" s="262">
        <f>-sigma_o+SQRT(sigma_o^2-2*Tabella34[[#This Row],[c_o]])</f>
        <v>1.3122185585861033</v>
      </c>
      <c r="BO119" s="262">
        <f>-sigma_o-SQRT(sigma_o^2-2*Tabella34[[#This Row],[c_o]])</f>
        <v>-1.9551913358851296</v>
      </c>
      <c r="BP119" s="262">
        <f>mu_o-LN(alpha*Ko/(Tabella34[[#This Row],[rest of Italy velocity]]*sigma_o*SQRTPI(2)))</f>
        <v>-1.2828191782676113</v>
      </c>
      <c r="BQ119" s="262">
        <f>Tabella34[[#This Row],[t_alpha_o+plus]]</f>
        <v>12.985693697184871</v>
      </c>
      <c r="BR119" s="90">
        <f>IFERROR(-Ka*_xlfn.LOGNORM.DIST((Tabella34[[#This Row],[Day]]-pa),mu_a,sigma_a,FALSE)*(1+(LN((Tabella34[[#This Row],[Day]]-pa))-mu_a)/sigma_a^2)/(Tabella34[[#This Row],[Day]]-pa),0)</f>
        <v>-84.388976469369183</v>
      </c>
      <c r="BS119" s="95">
        <f>Tabella34[[#This Row],[rest of Italy acc. fit]]/y_a_peak</f>
        <v>-2.4973439697930092E-2</v>
      </c>
      <c r="BT119" s="95">
        <f>Tabella34[[#This Row],[rest of Italy acc. fit]]*NOT(ISBLANK(Tabella34[[#This Row],[rest of Italy data]]))</f>
        <v>-84.388976469369183</v>
      </c>
      <c r="BU119" s="95">
        <f>Tabella34[[#This Row],[rest of Italy acc. fit]]+CIa</f>
        <v>5254.4504586906478</v>
      </c>
      <c r="BV119" s="95">
        <f>MAX(Tabella34[[#This Row],[rest of Italy acc. fit]]-CIa,0)</f>
        <v>0</v>
      </c>
    </row>
    <row r="120" spans="2:74" x14ac:dyDescent="0.3">
      <c r="B120" s="281">
        <v>43943</v>
      </c>
      <c r="C120" s="4">
        <v>113</v>
      </c>
      <c r="D120" s="10">
        <f>Tabella8[[#This Row],[Spain cum. Cases]]</f>
        <v>208389</v>
      </c>
      <c r="E120" s="90">
        <f>(Tabella34[[#This Row],[Spain cumul. Cases]]-D119)</f>
        <v>4211</v>
      </c>
      <c r="F120" s="90">
        <f>Tabella34[[#This Row],[Spain daily cases]]-E119</f>
        <v>243</v>
      </c>
      <c r="G120" s="95">
        <f>Tabella34[[#This Row],[Spain daily cases]]*NOT(ISBLANK(Tabella34[[#This Row],[Spain daily cases]]))</f>
        <v>4211</v>
      </c>
      <c r="H120" s="157">
        <f>Tabella8[[#This Row],[Spain cum. fit]]</f>
        <v>215268.19039880697</v>
      </c>
      <c r="I120" s="157" t="e">
        <f>_xlfn.LOGNORM.INV(alpha*Tabella34[[#This Row],[Spain cumul. Fit]]/Kt,mu_t,sigma_t)-(Tabella34[[#This Row],[Day]]-pt)</f>
        <v>#NUM!</v>
      </c>
      <c r="J120" s="157" t="e">
        <f>Tabella34[[#This Row],[Spain fitted d.t.]]/Spain_dt_at_lockdown</f>
        <v>#NUM!</v>
      </c>
      <c r="K120" s="95">
        <f>Tabella34[[#This Row],[Spain cumul. Fit]]/Kf</f>
        <v>0.76881525190337208</v>
      </c>
      <c r="L120" s="160"/>
      <c r="M120" s="95"/>
      <c r="N120" s="157">
        <f>IFERROR(Kt*_xlfn.LOGNORM.DIST((Tabella34[[#This Row],[Day]]-pt),mu_t,sigma_t,FALSE),0)</f>
        <v>4033.5302697535976</v>
      </c>
      <c r="O120" s="157" t="e">
        <f>Kt*EXP(-0.5*Tabella34[[#This Row],[x_t]]^2)/(sigma_t*SQRTPI(2)*(Tabella34[[#This Row],[Day]]-D_bk))</f>
        <v>#NAME?</v>
      </c>
      <c r="P120" s="199">
        <f>Tabella34[[#This Row],[Spain fitted velocity]]/Tabella34[[#This Row],[Spain cumul. Fit]]</f>
        <v>1.8737233133613744E-2</v>
      </c>
      <c r="Q120" s="262">
        <f>(LN(Tabella34[[#This Row],[Day]]-pt)-mu_t)/sigma_t</f>
        <v>0.73495073803941247</v>
      </c>
      <c r="R120" s="262">
        <f>EXP(mu_t+sigma_t*Tabella34[[#This Row],[x_t_alpha©+plus]])-(Tabella34[[#This Row],[Day]]-pt)</f>
        <v>12.369874197264423</v>
      </c>
      <c r="S120" s="262">
        <f>EXP(mu_t+sigma_t*Tabella34[[#This Row],[x_t_alpha©-minus]])-(Tabella34[[#This Row],[Day]]-pt)</f>
        <v>-39.029526607681348</v>
      </c>
      <c r="T120" s="262">
        <f>-sigma_t+SQRT(sigma_t^2-2*Tabella34[[#This Row],[c_t]])</f>
        <v>1.2784224190611206</v>
      </c>
      <c r="U120" s="262">
        <f>-sigma_t-SQRT(sigma_t^2-2*Tabella34[[#This Row],[c_t]])</f>
        <v>-1.815861768904288</v>
      </c>
      <c r="V120" s="262">
        <f>mu_t-LN(alpha*Kt/(Tabella34[[#This Row],[Spain fitted velocity]]*sigma_t*SQRTPI(2)))</f>
        <v>-1.1607191976416127</v>
      </c>
      <c r="W120" s="262">
        <f>Tabella34[[#This Row],[Spain fitted g.r.]]/Spain_gr_at_lockdown</f>
        <v>9.0424085787750422E-2</v>
      </c>
      <c r="X120" s="262">
        <f>Tabella34[[#This Row],[t_alpha_t+plus]]</f>
        <v>12.369874197264423</v>
      </c>
      <c r="Y120" s="262">
        <f>Tabella34[[#This Row],[Spain fitted h.t.]]/Spain_ht_at_lockdown</f>
        <v>0.20093826708438917</v>
      </c>
      <c r="Z120" s="90">
        <f>IFERROR(-Kf*_xlfn.LOGNORM.DIST((Tabella34[[#This Row],[Day]]-pf),mu_f,sigma_f,FALSE)*(1+(LN((Tabella34[[#This Row],[Day]]-pf))-mu_f)/sigma_f^2)/(Tabella34[[#This Row],[Day]]-pf),0)</f>
        <v>-191.50780180433586</v>
      </c>
      <c r="AA120" s="90">
        <f>Tabella34[[#This Row],[Spain acc. fit]]/Spain_acc_at_lockdown</f>
        <v>-0.6525952798153517</v>
      </c>
      <c r="AB120" s="95">
        <f>Tabella34[[#This Row],[Spain acc. fit]]/y_f_peak</f>
        <v>-2.8691743814246606E-2</v>
      </c>
      <c r="AC120" s="157">
        <f>Tabella34[[#This Row],[Colonna4]]*NOT(ISBLANK(Tabella34[[#This Row],[Spain daily cases]]))</f>
        <v>0</v>
      </c>
      <c r="AD120" s="157">
        <f>Tabella34[[#This Row],[Spain acc. fit]]*NOT(ISBLANK(Tabella34[[#This Row],[Spain daily cases]]))</f>
        <v>-191.50780180433586</v>
      </c>
      <c r="AE120" s="95">
        <f>Tabella34[[#This Row],[Spain acc. fit]]+CIf</f>
        <v>2151.1806158767567</v>
      </c>
      <c r="AF120" s="95">
        <f>MAX(Tabella34[[#This Row],[Spain acc. fit]]-CIf,0)</f>
        <v>0</v>
      </c>
      <c r="AG120" s="4">
        <f>Tabella8[[#This Row],[Lombardy]]</f>
        <v>0</v>
      </c>
      <c r="AH120" s="90">
        <f>(Tabella34[[#This Row],[Lombardy cumul. Data]]-AG119)</f>
        <v>0</v>
      </c>
      <c r="AI120" s="90">
        <f>Tabella34[[#This Row],[Lombardy data]]-AH119</f>
        <v>0</v>
      </c>
      <c r="AJ120" s="95">
        <f>Tabella34[[#This Row],[Lombardy data]]*NOT(ISBLANK(Tabella34[[#This Row],[Lombardy data]]))</f>
        <v>0</v>
      </c>
      <c r="AK120" s="95">
        <f>Tabella8[[#This Row],[Lombardy fit]]</f>
        <v>69541.058826994791</v>
      </c>
      <c r="AL120" s="157" t="e">
        <f>_xlfn.LOGNORM.INV(alpha*Tabella34[[#This Row],[Lombardy cumul. Fit]]/Kr,mu_r,sigma_r)-(Tabella34[[#This Row],[Day]]-pr)</f>
        <v>#NUM!</v>
      </c>
      <c r="AM120" s="95">
        <f>Tabella34[[#This Row],[Lombardy cumul. Fit]]/Kl</f>
        <v>0.79932251525281373</v>
      </c>
      <c r="AN120" s="95">
        <f>IFERROR(Kr*_xlfn.LOGNORM.DIST((Tabella34[[#This Row],[Day]]-pr),mu_r,sigma_r,FALSE),0)</f>
        <v>876.67947430216725</v>
      </c>
      <c r="AO120" s="202">
        <f>Tabella34[[#This Row],[Lombardy velocity]]/Tabella34[[#This Row],[Lombardy cumul. Fit]]</f>
        <v>1.2606645470889112E-2</v>
      </c>
      <c r="AP120" s="259">
        <f>(LN(Tabella34[[#This Row],[Day]]-pr)-mu_r)/sigma_r</f>
        <v>0.83920377465784424</v>
      </c>
      <c r="AQ120" s="262">
        <f>EXP(mu_r+sigma_r*Tabella34[[#This Row],[x_r_alpha©+plus]])-(Tabella34[[#This Row],[Day]]-pr)</f>
        <v>14.748035542411444</v>
      </c>
      <c r="AR120" s="262">
        <f>EXP(mu_r+sigma_r*Tabella34[[#This Row],[x_r_alpha©-minus]])-(Tabella34[[#This Row],[Day]]-pr)</f>
        <v>-50.745022831028663</v>
      </c>
      <c r="AS120" s="262">
        <f>-sigma_r+SQRT(sigma_r^2-2*Tabella34[[#This Row],[c_r]])</f>
        <v>1.3262531837115907</v>
      </c>
      <c r="AT120" s="262">
        <f>-sigma_r-SQRT(sigma_r^2-2*Tabella34[[#This Row],[c_r]])</f>
        <v>-2.0071077809053199</v>
      </c>
      <c r="AU120" s="262">
        <f>mu_r-LN(alpha*Kr/(Tabella34[[#This Row],[Lombardy velocity]]*sigma_r*SQRTPI(2)))</f>
        <v>-1.3309665422389934</v>
      </c>
      <c r="AV120" s="262">
        <f>Tabella34[[#This Row],[t_alpha_r+plus]]</f>
        <v>14.748035542411444</v>
      </c>
      <c r="AW120" s="90">
        <f>IFERROR(-Kl*_xlfn.LOGNORM.DIST((Tabella34[[#This Row],[Day]]-pl),mu_l,sigma_l,FALSE)*(1+(LN((Tabella34[[#This Row],[Day]]-pl))-mu_l)/sigma_l^2)/(Tabella34[[#This Row],[Day]]-pl),0)</f>
        <v>-37.147306115152809</v>
      </c>
      <c r="AX120" s="95">
        <f>Tabella34[[#This Row],[Lombardy acc. fit]]/y_l_peak</f>
        <v>-2.1130983028574187E-2</v>
      </c>
      <c r="AY120" s="157">
        <f>Tabella34[[#This Row],[Lombardy acc. fit]]*NOT(ISBLANK(Tabella34[[#This Row],[Lombardy data]]))</f>
        <v>-37.147306115152809</v>
      </c>
      <c r="AZ120" s="95">
        <f>Tabella34[[#This Row],[Lombardy acc. fit]]+CIl</f>
        <v>2533.2350168012558</v>
      </c>
      <c r="BA120" s="95">
        <f>MAX(Tabella34[[#This Row],[Lombardy acc. fit]]-CIl,0)</f>
        <v>0</v>
      </c>
      <c r="BB120" s="10">
        <f>Tabella8[[#This Row],[rest of Italy ]]</f>
        <v>208389</v>
      </c>
      <c r="BC120" s="10">
        <f>(Tabella34[[#This Row],[rest of Italy cum. Data]]-BB119)</f>
        <v>4211</v>
      </c>
      <c r="BD120" s="10">
        <f>Tabella34[[#This Row],[rest of Italy data]]-BC119</f>
        <v>243</v>
      </c>
      <c r="BE120" s="95">
        <f>Tabella34[[#This Row],[rest of Italy data]]*NOT(ISBLANK(Tabella34[[#This Row],[rest of Italy data]]))</f>
        <v>4211</v>
      </c>
      <c r="BF120" s="95">
        <f>Tabella8[[#This Row],[rest of Italy fit]]</f>
        <v>118855.70257040823</v>
      </c>
      <c r="BG120" s="157" t="e">
        <f>_xlfn.LOGNORM.INV(alpha*Tabella34[[#This Row],[rest of Italy cumul. Fit]]/Ko,mu_o,sigma_o)-(Tabella34[[#This Row],[Day]]-po)</f>
        <v>#NUM!</v>
      </c>
      <c r="BH120" s="95">
        <f>Tabella34[[#This Row],[rest of Italy cumul. Fit]]/Ka</f>
        <v>0.80307916490933173</v>
      </c>
      <c r="BI120" s="157">
        <f>IFERROR(Ko*_xlfn.LOGNORM.DIST((Tabella34[[#This Row],[Day]]-po),mu_o,sigma_o,FALSE),0)</f>
        <v>1696.0481398345469</v>
      </c>
      <c r="BJ120" s="199">
        <f>Tabella34[[#This Row],[rest of Italy velocity]]/Tabella34[[#This Row],[rest of Italy cumul. Fit]]</f>
        <v>1.4269808710523038E-2</v>
      </c>
      <c r="BK120" s="254">
        <f>(LN(Tabella34[[#This Row],[Day]]-po)-mu_o)/sigma_o</f>
        <v>0.85267119292987181</v>
      </c>
      <c r="BL120" s="262">
        <f>EXP(mu_o+sigma_o*Tabella34[[#This Row],[x_o_alpha©+plus]])-(Tabella34[[#This Row],[Day]]-po)</f>
        <v>12.806112453597123</v>
      </c>
      <c r="BM120" s="262">
        <f>EXP(mu_o+sigma_o*Tabella34[[#This Row],[x_o_alpha©-minus]])-(Tabella34[[#This Row],[Day]]-po)</f>
        <v>-45.041474936806075</v>
      </c>
      <c r="BN120" s="262">
        <f>-sigma_o+SQRT(sigma_o^2-2*Tabella34[[#This Row],[c_o]])</f>
        <v>1.3413246010604545</v>
      </c>
      <c r="BO120" s="262">
        <f>-sigma_o-SQRT(sigma_o^2-2*Tabella34[[#This Row],[c_o]])</f>
        <v>-1.9842973783594804</v>
      </c>
      <c r="BP120" s="262">
        <f>mu_o-LN(alpha*Ko/(Tabella34[[#This Row],[rest of Italy velocity]]*sigma_o*SQRTPI(2)))</f>
        <v>-1.3307934447066678</v>
      </c>
      <c r="BQ120" s="262">
        <f>Tabella34[[#This Row],[t_alpha_o+plus]]</f>
        <v>12.806112453597123</v>
      </c>
      <c r="BR120" s="90">
        <f>IFERROR(-Ka*_xlfn.LOGNORM.DIST((Tabella34[[#This Row],[Day]]-pa),mu_a,sigma_a,FALSE)*(1+(LN((Tabella34[[#This Row],[Day]]-pa))-mu_a)/sigma_a^2)/(Tabella34[[#This Row],[Day]]-pa),0)</f>
        <v>-82.282505702613676</v>
      </c>
      <c r="BS120" s="95">
        <f>Tabella34[[#This Row],[rest of Italy acc. fit]]/y_a_peak</f>
        <v>-2.4350066564732823E-2</v>
      </c>
      <c r="BT120" s="95">
        <f>Tabella34[[#This Row],[rest of Italy acc. fit]]*NOT(ISBLANK(Tabella34[[#This Row],[rest of Italy data]]))</f>
        <v>-82.282505702613676</v>
      </c>
      <c r="BU120" s="95">
        <f>Tabella34[[#This Row],[rest of Italy acc. fit]]+CIa</f>
        <v>5256.5569294574034</v>
      </c>
      <c r="BV120" s="95">
        <f>MAX(Tabella34[[#This Row],[rest of Italy acc. fit]]-CIa,0)</f>
        <v>0</v>
      </c>
    </row>
    <row r="121" spans="2:74" x14ac:dyDescent="0.3">
      <c r="B121" s="281">
        <v>43944</v>
      </c>
      <c r="C121" s="4">
        <v>114</v>
      </c>
      <c r="D121" s="10">
        <f>Tabella8[[#This Row],[Spain cum. Cases]]</f>
        <v>213024</v>
      </c>
      <c r="E121" s="90">
        <f>(Tabella34[[#This Row],[Spain cumul. Cases]]-D120)</f>
        <v>4635</v>
      </c>
      <c r="F121" s="90">
        <f>Tabella34[[#This Row],[Spain daily cases]]-E120</f>
        <v>424</v>
      </c>
      <c r="G121" s="95">
        <f>Tabella34[[#This Row],[Spain daily cases]]*NOT(ISBLANK(Tabella34[[#This Row],[Spain daily cases]]))</f>
        <v>4635</v>
      </c>
      <c r="H121" s="157">
        <f>Tabella8[[#This Row],[Spain cum. fit]]</f>
        <v>219206.41560791363</v>
      </c>
      <c r="I121" s="157" t="e">
        <f>_xlfn.LOGNORM.INV(alpha*Tabella34[[#This Row],[Spain cumul. Fit]]/Kt,mu_t,sigma_t)-(Tabella34[[#This Row],[Day]]-pt)</f>
        <v>#NUM!</v>
      </c>
      <c r="J121" s="157" t="e">
        <f>Tabella34[[#This Row],[Spain fitted d.t.]]/Spain_dt_at_lockdown</f>
        <v>#NUM!</v>
      </c>
      <c r="K121" s="95">
        <f>Tabella34[[#This Row],[Spain cumul. Fit]]/Kf</f>
        <v>0.78288034717166177</v>
      </c>
      <c r="L121" s="160"/>
      <c r="M121" s="95"/>
      <c r="N121" s="157">
        <f>IFERROR(Kt*_xlfn.LOGNORM.DIST((Tabella34[[#This Row],[Day]]-pt),mu_t,sigma_t,FALSE),0)</f>
        <v>3843.4001768018152</v>
      </c>
      <c r="O121" s="157" t="e">
        <f>Kt*EXP(-0.5*Tabella34[[#This Row],[x_t]]^2)/(sigma_t*SQRTPI(2)*(Tabella34[[#This Row],[Day]]-D_bk))</f>
        <v>#NAME?</v>
      </c>
      <c r="P121" s="199">
        <f>Tabella34[[#This Row],[Spain fitted velocity]]/Tabella34[[#This Row],[Spain cumul. Fit]]</f>
        <v>1.7533246762614658E-2</v>
      </c>
      <c r="Q121" s="262">
        <f>(LN(Tabella34[[#This Row],[Day]]-pt)-mu_t)/sigma_t</f>
        <v>0.78195791726667918</v>
      </c>
      <c r="R121" s="262">
        <f>EXP(mu_t+sigma_t*Tabella34[[#This Row],[x_t_alpha©+plus]])-(Tabella34[[#This Row],[Day]]-pt)</f>
        <v>12.12894429519686</v>
      </c>
      <c r="S121" s="262">
        <f>EXP(mu_t+sigma_t*Tabella34[[#This Row],[x_t_alpha©-minus]])-(Tabella34[[#This Row],[Day]]-pt)</f>
        <v>-40.357291176261214</v>
      </c>
      <c r="T121" s="262">
        <f>-sigma_t+SQRT(sigma_t^2-2*Tabella34[[#This Row],[c_t]])</f>
        <v>1.3093227084909835</v>
      </c>
      <c r="U121" s="262">
        <f>-sigma_t-SQRT(sigma_t^2-2*Tabella34[[#This Row],[c_t]])</f>
        <v>-1.8467620583341509</v>
      </c>
      <c r="V121" s="262">
        <f>mu_t-LN(alpha*Kt/(Tabella34[[#This Row],[Spain fitted velocity]]*sigma_t*SQRTPI(2)))</f>
        <v>-1.2090037500782271</v>
      </c>
      <c r="W121" s="262">
        <f>Tabella34[[#This Row],[Spain fitted g.r.]]/Spain_gr_at_lockdown</f>
        <v>8.4613763307255854E-2</v>
      </c>
      <c r="X121" s="262">
        <f>Tabella34[[#This Row],[t_alpha_t+plus]]</f>
        <v>12.12894429519686</v>
      </c>
      <c r="Y121" s="262">
        <f>Tabella34[[#This Row],[Spain fitted h.t.]]/Spain_ht_at_lockdown</f>
        <v>0.19702456220443382</v>
      </c>
      <c r="Z121" s="90">
        <f>IFERROR(-Kf*_xlfn.LOGNORM.DIST((Tabella34[[#This Row],[Day]]-pf),mu_f,sigma_f,FALSE)*(1+(LN((Tabella34[[#This Row],[Day]]-pf))-mu_f)/sigma_f^2)/(Tabella34[[#This Row],[Day]]-pf),0)</f>
        <v>-188.62932207734281</v>
      </c>
      <c r="AA121" s="90">
        <f>Tabella34[[#This Row],[Spain acc. fit]]/Spain_acc_at_lockdown</f>
        <v>-0.6427863724748607</v>
      </c>
      <c r="AB121" s="95">
        <f>Tabella34[[#This Row],[Spain acc. fit]]/y_f_peak</f>
        <v>-2.8260489305953686E-2</v>
      </c>
      <c r="AC121" s="157">
        <f>Tabella34[[#This Row],[Colonna4]]*NOT(ISBLANK(Tabella34[[#This Row],[Spain daily cases]]))</f>
        <v>0</v>
      </c>
      <c r="AD121" s="157">
        <f>Tabella34[[#This Row],[Spain acc. fit]]*NOT(ISBLANK(Tabella34[[#This Row],[Spain daily cases]]))</f>
        <v>-188.62932207734281</v>
      </c>
      <c r="AE121" s="95">
        <f>Tabella34[[#This Row],[Spain acc. fit]]+CIf</f>
        <v>2154.0590956037499</v>
      </c>
      <c r="AF121" s="95">
        <f>MAX(Tabella34[[#This Row],[Spain acc. fit]]-CIf,0)</f>
        <v>0</v>
      </c>
      <c r="AG121" s="4">
        <f>Tabella8[[#This Row],[Lombardy]]</f>
        <v>0</v>
      </c>
      <c r="AH121" s="90">
        <f>(Tabella34[[#This Row],[Lombardy cumul. Data]]-AG120)</f>
        <v>0</v>
      </c>
      <c r="AI121" s="90">
        <f>Tabella34[[#This Row],[Lombardy data]]-AH120</f>
        <v>0</v>
      </c>
      <c r="AJ121" s="95">
        <f>Tabella34[[#This Row],[Lombardy data]]*NOT(ISBLANK(Tabella34[[#This Row],[Lombardy data]]))</f>
        <v>0</v>
      </c>
      <c r="AK121" s="95">
        <f>Tabella8[[#This Row],[Lombardy fit]]</f>
        <v>70399.316163647018</v>
      </c>
      <c r="AL121" s="157" t="e">
        <f>_xlfn.LOGNORM.INV(alpha*Tabella34[[#This Row],[Lombardy cumul. Fit]]/Kr,mu_r,sigma_r)-(Tabella34[[#This Row],[Day]]-pr)</f>
        <v>#NUM!</v>
      </c>
      <c r="AM121" s="95">
        <f>Tabella34[[#This Row],[Lombardy cumul. Fit]]/Kl</f>
        <v>0.80918754211088528</v>
      </c>
      <c r="AN121" s="95">
        <f>IFERROR(Kr*_xlfn.LOGNORM.DIST((Tabella34[[#This Row],[Day]]-pr),mu_r,sigma_r,FALSE),0)</f>
        <v>839.98863163849398</v>
      </c>
      <c r="AO121" s="202">
        <f>Tabella34[[#This Row],[Lombardy velocity]]/Tabella34[[#This Row],[Lombardy cumul. Fit]]</f>
        <v>1.1931772599692516E-2</v>
      </c>
      <c r="AP121" s="259">
        <f>(LN(Tabella34[[#This Row],[Day]]-pr)-mu_r)/sigma_r</f>
        <v>0.87490625428405822</v>
      </c>
      <c r="AQ121" s="262">
        <f>EXP(mu_r+sigma_r*Tabella34[[#This Row],[x_r_alpha©+plus]])-(Tabella34[[#This Row],[Day]]-pr)</f>
        <v>14.588195722565899</v>
      </c>
      <c r="AR121" s="262">
        <f>EXP(mu_r+sigma_r*Tabella34[[#This Row],[x_r_alpha©-minus]])-(Tabella34[[#This Row],[Day]]-pr)</f>
        <v>-52.012801067743361</v>
      </c>
      <c r="AS121" s="262">
        <f>-sigma_r+SQRT(sigma_r^2-2*Tabella34[[#This Row],[c_r]])</f>
        <v>1.3517104043924812</v>
      </c>
      <c r="AT121" s="262">
        <f>-sigma_r-SQRT(sigma_r^2-2*Tabella34[[#This Row],[c_r]])</f>
        <v>-2.0325650015862102</v>
      </c>
      <c r="AU121" s="262">
        <f>mu_r-LN(alpha*Kr/(Tabella34[[#This Row],[Lombardy velocity]]*sigma_r*SQRTPI(2)))</f>
        <v>-1.3737196301240502</v>
      </c>
      <c r="AV121" s="262">
        <f>Tabella34[[#This Row],[t_alpha_r+plus]]</f>
        <v>14.588195722565899</v>
      </c>
      <c r="AW121" s="90">
        <f>IFERROR(-Kl*_xlfn.LOGNORM.DIST((Tabella34[[#This Row],[Day]]-pl),mu_l,sigma_l,FALSE)*(1+(LN((Tabella34[[#This Row],[Day]]-pl))-mu_l)/sigma_l^2)/(Tabella34[[#This Row],[Day]]-pl),0)</f>
        <v>-36.226862319130966</v>
      </c>
      <c r="AX121" s="95">
        <f>Tabella34[[#This Row],[Lombardy acc. fit]]/y_l_peak</f>
        <v>-2.0607395068462053E-2</v>
      </c>
      <c r="AY121" s="157">
        <f>Tabella34[[#This Row],[Lombardy acc. fit]]*NOT(ISBLANK(Tabella34[[#This Row],[Lombardy data]]))</f>
        <v>-36.226862319130966</v>
      </c>
      <c r="AZ121" s="95">
        <f>Tabella34[[#This Row],[Lombardy acc. fit]]+CIl</f>
        <v>2534.1554605972779</v>
      </c>
      <c r="BA121" s="95">
        <f>MAX(Tabella34[[#This Row],[Lombardy acc. fit]]-CIl,0)</f>
        <v>0</v>
      </c>
      <c r="BB121" s="10">
        <f>Tabella8[[#This Row],[rest of Italy ]]</f>
        <v>213024</v>
      </c>
      <c r="BC121" s="10">
        <f>(Tabella34[[#This Row],[rest of Italy cum. Data]]-BB120)</f>
        <v>4635</v>
      </c>
      <c r="BD121" s="10">
        <f>Tabella34[[#This Row],[rest of Italy data]]-BC120</f>
        <v>424</v>
      </c>
      <c r="BE121" s="95">
        <f>Tabella34[[#This Row],[rest of Italy data]]*NOT(ISBLANK(Tabella34[[#This Row],[rest of Italy data]]))</f>
        <v>4635</v>
      </c>
      <c r="BF121" s="95">
        <f>Tabella8[[#This Row],[rest of Italy fit]]</f>
        <v>120510.9805500728</v>
      </c>
      <c r="BG121" s="157" t="e">
        <f>_xlfn.LOGNORM.INV(alpha*Tabella34[[#This Row],[rest of Italy cumul. Fit]]/Ko,mu_o,sigma_o)-(Tabella34[[#This Row],[Day]]-po)</f>
        <v>#NUM!</v>
      </c>
      <c r="BH121" s="95">
        <f>Tabella34[[#This Row],[rest of Italy cumul. Fit]]/Ka</f>
        <v>0.81426347688472356</v>
      </c>
      <c r="BI121" s="157">
        <f>IFERROR(Ko*_xlfn.LOGNORM.DIST((Tabella34[[#This Row],[Day]]-po),mu_o,sigma_o,FALSE),0)</f>
        <v>1614.8848573725725</v>
      </c>
      <c r="BJ121" s="199">
        <f>Tabella34[[#This Row],[rest of Italy velocity]]/Tabella34[[#This Row],[rest of Italy cumul. Fit]]</f>
        <v>1.3400312983940756E-2</v>
      </c>
      <c r="BK121" s="254">
        <f>(LN(Tabella34[[#This Row],[Day]]-po)-mu_o)/sigma_o</f>
        <v>0.89371752518967895</v>
      </c>
      <c r="BL121" s="262">
        <f>EXP(mu_o+sigma_o*Tabella34[[#This Row],[x_o_alpha©+plus]])-(Tabella34[[#This Row],[Day]]-po)</f>
        <v>12.637890601899969</v>
      </c>
      <c r="BM121" s="262">
        <f>EXP(mu_o+sigma_o*Tabella34[[#This Row],[x_o_alpha©-minus]])-(Tabella34[[#This Row],[Day]]-po)</f>
        <v>-46.324355663976789</v>
      </c>
      <c r="BN121" s="262">
        <f>-sigma_o+SQRT(sigma_o^2-2*Tabella34[[#This Row],[c_o]])</f>
        <v>1.3705582069004927</v>
      </c>
      <c r="BO121" s="262">
        <f>-sigma_o-SQRT(sigma_o^2-2*Tabella34[[#This Row],[c_o]])</f>
        <v>-2.0135309841995186</v>
      </c>
      <c r="BP121" s="262">
        <f>mu_o-LN(alpha*Ko/(Tabella34[[#This Row],[rest of Italy velocity]]*sigma_o*SQRTPI(2)))</f>
        <v>-1.3798307076215384</v>
      </c>
      <c r="BQ121" s="262">
        <f>Tabella34[[#This Row],[t_alpha_o+plus]]</f>
        <v>12.637890601899969</v>
      </c>
      <c r="BR121" s="90">
        <f>IFERROR(-Ka*_xlfn.LOGNORM.DIST((Tabella34[[#This Row],[Day]]-pa),mu_a,sigma_a,FALSE)*(1+(LN((Tabella34[[#This Row],[Day]]-pa))-mu_a)/sigma_a^2)/(Tabella34[[#This Row],[Day]]-pa),0)</f>
        <v>-80.020781689465977</v>
      </c>
      <c r="BS121" s="95">
        <f>Tabella34[[#This Row],[rest of Italy acc. fit]]/y_a_peak</f>
        <v>-2.3680748952186519E-2</v>
      </c>
      <c r="BT121" s="95">
        <f>Tabella34[[#This Row],[rest of Italy acc. fit]]*NOT(ISBLANK(Tabella34[[#This Row],[rest of Italy data]]))</f>
        <v>-80.020781689465977</v>
      </c>
      <c r="BU121" s="95">
        <f>Tabella34[[#This Row],[rest of Italy acc. fit]]+CIa</f>
        <v>5258.818653470551</v>
      </c>
      <c r="BV121" s="95">
        <f>MAX(Tabella34[[#This Row],[rest of Italy acc. fit]]-CIa,0)</f>
        <v>0</v>
      </c>
    </row>
    <row r="122" spans="2:74" x14ac:dyDescent="0.3">
      <c r="B122" s="281">
        <v>43945</v>
      </c>
      <c r="C122" s="4">
        <v>115</v>
      </c>
      <c r="D122" s="10">
        <f>Tabella8[[#This Row],[Spain cum. Cases]]</f>
        <v>219764</v>
      </c>
      <c r="E122" s="90">
        <f>(Tabella34[[#This Row],[Spain cumul. Cases]]-D121)</f>
        <v>6740</v>
      </c>
      <c r="F122" s="90">
        <f>Tabella34[[#This Row],[Spain daily cases]]-E121</f>
        <v>2105</v>
      </c>
      <c r="G122" s="95">
        <f>Tabella34[[#This Row],[Spain daily cases]]*NOT(ISBLANK(Tabella34[[#This Row],[Spain daily cases]]))</f>
        <v>6740</v>
      </c>
      <c r="H122" s="157">
        <f>Tabella8[[#This Row],[Spain cum. fit]]</f>
        <v>222956.06885318906</v>
      </c>
      <c r="I122" s="157" t="e">
        <f>_xlfn.LOGNORM.INV(alpha*Tabella34[[#This Row],[Spain cumul. Fit]]/Kt,mu_t,sigma_t)-(Tabella34[[#This Row],[Day]]-pt)</f>
        <v>#NUM!</v>
      </c>
      <c r="J122" s="157" t="e">
        <f>Tabella34[[#This Row],[Spain fitted d.t.]]/Spain_dt_at_lockdown</f>
        <v>#NUM!</v>
      </c>
      <c r="K122" s="95">
        <f>Tabella34[[#This Row],[Spain cumul. Fit]]/Kf</f>
        <v>0.7962719708898528</v>
      </c>
      <c r="L122" s="160"/>
      <c r="M122" s="95"/>
      <c r="N122" s="157">
        <f>IFERROR(Kt*_xlfn.LOGNORM.DIST((Tabella34[[#This Row],[Day]]-pt),mu_t,sigma_t,FALSE),0)</f>
        <v>3656.5010861965984</v>
      </c>
      <c r="O122" s="157" t="e">
        <f>Kt*EXP(-0.5*Tabella34[[#This Row],[x_t]]^2)/(sigma_t*SQRTPI(2)*(Tabella34[[#This Row],[Day]]-D_bk))</f>
        <v>#NAME?</v>
      </c>
      <c r="P122" s="199">
        <f>Tabella34[[#This Row],[Spain fitted velocity]]/Tabella34[[#This Row],[Spain cumul. Fit]]</f>
        <v>1.6400096687228156E-2</v>
      </c>
      <c r="Q122" s="262">
        <f>(LN(Tabella34[[#This Row],[Day]]-pt)-mu_t)/sigma_t</f>
        <v>0.82837871272916419</v>
      </c>
      <c r="R122" s="262">
        <f>EXP(mu_t+sigma_t*Tabella34[[#This Row],[x_t_alpha©+plus]])-(Tabella34[[#This Row],[Day]]-pt)</f>
        <v>11.903793996004069</v>
      </c>
      <c r="S122" s="262">
        <f>EXP(mu_t+sigma_t*Tabella34[[#This Row],[x_t_alpha©-minus]])-(Tabella34[[#This Row],[Day]]-pt)</f>
        <v>-41.686325276554101</v>
      </c>
      <c r="T122" s="262">
        <f>-sigma_t+SQRT(sigma_t^2-2*Tabella34[[#This Row],[c_t]])</f>
        <v>1.3406029258349463</v>
      </c>
      <c r="U122" s="262">
        <f>-sigma_t-SQRT(sigma_t^2-2*Tabella34[[#This Row],[c_t]])</f>
        <v>-1.8780422756781137</v>
      </c>
      <c r="V122" s="262">
        <f>mu_t-LN(alpha*Kt/(Tabella34[[#This Row],[Spain fitted velocity]]*sigma_t*SQRTPI(2)))</f>
        <v>-1.2588544848079</v>
      </c>
      <c r="W122" s="262">
        <f>Tabella34[[#This Row],[Spain fitted g.r.]]/Spain_gr_at_lockdown</f>
        <v>7.9145289979498143E-2</v>
      </c>
      <c r="X122" s="262">
        <f>Tabella34[[#This Row],[t_alpha_t+plus]]</f>
        <v>11.903793996004069</v>
      </c>
      <c r="Y122" s="262">
        <f>Tabella34[[#This Row],[Spain fitted h.t.]]/Spain_ht_at_lockdown</f>
        <v>0.19336718378393733</v>
      </c>
      <c r="Z122" s="90">
        <f>IFERROR(-Kf*_xlfn.LOGNORM.DIST((Tabella34[[#This Row],[Day]]-pf),mu_f,sigma_f,FALSE)*(1+(LN((Tabella34[[#This Row],[Day]]-pf))-mu_f)/sigma_f^2)/(Tabella34[[#This Row],[Day]]-pf),0)</f>
        <v>-185.06229495626229</v>
      </c>
      <c r="AA122" s="90">
        <f>Tabella34[[#This Row],[Spain acc. fit]]/Spain_acc_at_lockdown</f>
        <v>-0.63063112323562165</v>
      </c>
      <c r="AB122" s="95">
        <f>Tabella34[[#This Row],[Spain acc. fit]]/y_f_peak</f>
        <v>-2.7726076465472767E-2</v>
      </c>
      <c r="AC122" s="157">
        <f>Tabella34[[#This Row],[Colonna4]]*NOT(ISBLANK(Tabella34[[#This Row],[Spain daily cases]]))</f>
        <v>0</v>
      </c>
      <c r="AD122" s="157">
        <f>Tabella34[[#This Row],[Spain acc. fit]]*NOT(ISBLANK(Tabella34[[#This Row],[Spain daily cases]]))</f>
        <v>-185.06229495626229</v>
      </c>
      <c r="AE122" s="95">
        <f>Tabella34[[#This Row],[Spain acc. fit]]+CIf</f>
        <v>2157.6261227248306</v>
      </c>
      <c r="AF122" s="95">
        <f>MAX(Tabella34[[#This Row],[Spain acc. fit]]-CIf,0)</f>
        <v>0</v>
      </c>
      <c r="AG122" s="4">
        <f>Tabella8[[#This Row],[Lombardy]]</f>
        <v>0</v>
      </c>
      <c r="AH122" s="90">
        <f>(Tabella34[[#This Row],[Lombardy cumul. Data]]-AG121)</f>
        <v>0</v>
      </c>
      <c r="AI122" s="90">
        <f>Tabella34[[#This Row],[Lombardy data]]-AH121</f>
        <v>0</v>
      </c>
      <c r="AJ122" s="95">
        <f>Tabella34[[#This Row],[Lombardy data]]*NOT(ISBLANK(Tabella34[[#This Row],[Lombardy data]]))</f>
        <v>0</v>
      </c>
      <c r="AK122" s="95">
        <f>Tabella8[[#This Row],[Lombardy fit]]</f>
        <v>71221.350024725776</v>
      </c>
      <c r="AL122" s="157" t="e">
        <f>_xlfn.LOGNORM.INV(alpha*Tabella34[[#This Row],[Lombardy cumul. Fit]]/Kr,mu_r,sigma_r)-(Tabella34[[#This Row],[Day]]-pr)</f>
        <v>#NUM!</v>
      </c>
      <c r="AM122" s="95">
        <f>Tabella34[[#This Row],[Lombardy cumul. Fit]]/Kl</f>
        <v>0.81863620718075603</v>
      </c>
      <c r="AN122" s="95">
        <f>IFERROR(Kr*_xlfn.LOGNORM.DIST((Tabella34[[#This Row],[Day]]-pr),mu_r,sigma_r,FALSE),0)</f>
        <v>804.23930078788555</v>
      </c>
      <c r="AO122" s="202">
        <f>Tabella34[[#This Row],[Lombardy velocity]]/Tabella34[[#This Row],[Lombardy cumul. Fit]]</f>
        <v>1.1292109746707685E-2</v>
      </c>
      <c r="AP122" s="259">
        <f>(LN(Tabella34[[#This Row],[Day]]-pr)-mu_r)/sigma_r</f>
        <v>0.91018000801193699</v>
      </c>
      <c r="AQ122" s="262">
        <f>EXP(mu_r+sigma_r*Tabella34[[#This Row],[x_r_alpha©+plus]])-(Tabella34[[#This Row],[Day]]-pr)</f>
        <v>14.437427138699974</v>
      </c>
      <c r="AR122" s="262">
        <f>EXP(mu_r+sigma_r*Tabella34[[#This Row],[x_r_alpha©-minus]])-(Tabella34[[#This Row],[Day]]-pr)</f>
        <v>-53.278814752126436</v>
      </c>
      <c r="AS122" s="262">
        <f>-sigma_r+SQRT(sigma_r^2-2*Tabella34[[#This Row],[c_r]])</f>
        <v>1.3772202195113221</v>
      </c>
      <c r="AT122" s="262">
        <f>-sigma_r-SQRT(sigma_r^2-2*Tabella34[[#This Row],[c_r]])</f>
        <v>-2.0580748167050515</v>
      </c>
      <c r="AU122" s="262">
        <f>mu_r-LN(alpha*Kr/(Tabella34[[#This Row],[Lombardy velocity]]*sigma_r*SQRTPI(2)))</f>
        <v>-1.4172111254166273</v>
      </c>
      <c r="AV122" s="262">
        <f>Tabella34[[#This Row],[t_alpha_r+plus]]</f>
        <v>14.437427138699974</v>
      </c>
      <c r="AW122" s="90">
        <f>IFERROR(-Kl*_xlfn.LOGNORM.DIST((Tabella34[[#This Row],[Day]]-pl),mu_l,sigma_l,FALSE)*(1+(LN((Tabella34[[#This Row],[Day]]-pl))-mu_l)/sigma_l^2)/(Tabella34[[#This Row],[Day]]-pl),0)</f>
        <v>-35.265740304606901</v>
      </c>
      <c r="AX122" s="95">
        <f>Tabella34[[#This Row],[Lombardy acc. fit]]/y_l_peak</f>
        <v>-2.0060667590718718E-2</v>
      </c>
      <c r="AY122" s="157">
        <f>Tabella34[[#This Row],[Lombardy acc. fit]]*NOT(ISBLANK(Tabella34[[#This Row],[Lombardy data]]))</f>
        <v>-35.265740304606901</v>
      </c>
      <c r="AZ122" s="95">
        <f>Tabella34[[#This Row],[Lombardy acc. fit]]+CIl</f>
        <v>2535.1165826118017</v>
      </c>
      <c r="BA122" s="95">
        <f>MAX(Tabella34[[#This Row],[Lombardy acc. fit]]-CIl,0)</f>
        <v>0</v>
      </c>
      <c r="BB122" s="10">
        <f>Tabella8[[#This Row],[rest of Italy ]]</f>
        <v>219764</v>
      </c>
      <c r="BC122" s="10">
        <f>(Tabella34[[#This Row],[rest of Italy cum. Data]]-BB121)</f>
        <v>6740</v>
      </c>
      <c r="BD122" s="10">
        <f>Tabella34[[#This Row],[rest of Italy data]]-BC121</f>
        <v>2105</v>
      </c>
      <c r="BE122" s="95">
        <f>Tabella34[[#This Row],[rest of Italy data]]*NOT(ISBLANK(Tabella34[[#This Row],[rest of Italy data]]))</f>
        <v>6740</v>
      </c>
      <c r="BF122" s="95">
        <f>Tabella8[[#This Row],[rest of Italy fit]]</f>
        <v>122086.24815815724</v>
      </c>
      <c r="BG122" s="157" t="e">
        <f>_xlfn.LOGNORM.INV(alpha*Tabella34[[#This Row],[rest of Italy cumul. Fit]]/Ko,mu_o,sigma_o)-(Tabella34[[#This Row],[Day]]-po)</f>
        <v>#NUM!</v>
      </c>
      <c r="BH122" s="95">
        <f>Tabella34[[#This Row],[rest of Italy cumul. Fit]]/Ka</f>
        <v>0.82490717817839743</v>
      </c>
      <c r="BI122" s="157">
        <f>IFERROR(Ko*_xlfn.LOGNORM.DIST((Tabella34[[#This Row],[Day]]-po),mu_o,sigma_o,FALSE),0)</f>
        <v>1536.0482315417205</v>
      </c>
      <c r="BJ122" s="199">
        <f>Tabella34[[#This Row],[rest of Italy velocity]]/Tabella34[[#This Row],[rest of Italy cumul. Fit]]</f>
        <v>1.2581664640491198E-2</v>
      </c>
      <c r="BK122" s="254">
        <f>(LN(Tabella34[[#This Row],[Day]]-po)-mu_o)/sigma_o</f>
        <v>0.93422926349285806</v>
      </c>
      <c r="BL122" s="262">
        <f>EXP(mu_o+sigma_o*Tabella34[[#This Row],[x_o_alpha©+plus]])-(Tabella34[[#This Row],[Day]]-po)</f>
        <v>12.480184294424546</v>
      </c>
      <c r="BM122" s="262">
        <f>EXP(mu_o+sigma_o*Tabella34[[#This Row],[x_o_alpha©-minus]])-(Tabella34[[#This Row],[Day]]-po)</f>
        <v>-47.605470227917564</v>
      </c>
      <c r="BN122" s="262">
        <f>-sigma_o+SQRT(sigma_o^2-2*Tabella34[[#This Row],[c_o]])</f>
        <v>1.3998840421861143</v>
      </c>
      <c r="BO122" s="262">
        <f>-sigma_o-SQRT(sigma_o^2-2*Tabella34[[#This Row],[c_o]])</f>
        <v>-2.0428568194851402</v>
      </c>
      <c r="BP122" s="262">
        <f>mu_o-LN(alpha*Ko/(Tabella34[[#This Row],[rest of Italy velocity]]*sigma_o*SQRTPI(2)))</f>
        <v>-1.4298813310341636</v>
      </c>
      <c r="BQ122" s="262">
        <f>Tabella34[[#This Row],[t_alpha_o+plus]]</f>
        <v>12.480184294424546</v>
      </c>
      <c r="BR122" s="90">
        <f>IFERROR(-Ka*_xlfn.LOGNORM.DIST((Tabella34[[#This Row],[Day]]-pa),mu_a,sigma_a,FALSE)*(1+(LN((Tabella34[[#This Row],[Day]]-pa))-mu_a)/sigma_a^2)/(Tabella34[[#This Row],[Day]]-pa),0)</f>
        <v>-77.634004535090924</v>
      </c>
      <c r="BS122" s="95">
        <f>Tabella34[[#This Row],[rest of Italy acc. fit]]/y_a_peak</f>
        <v>-2.297442405252598E-2</v>
      </c>
      <c r="BT122" s="95">
        <f>Tabella34[[#This Row],[rest of Italy acc. fit]]*NOT(ISBLANK(Tabella34[[#This Row],[rest of Italy data]]))</f>
        <v>-77.634004535090924</v>
      </c>
      <c r="BU122" s="95">
        <f>Tabella34[[#This Row],[rest of Italy acc. fit]]+CIa</f>
        <v>5261.2054306249265</v>
      </c>
      <c r="BV122" s="95">
        <f>MAX(Tabella34[[#This Row],[rest of Italy acc. fit]]-CIa,0)</f>
        <v>0</v>
      </c>
    </row>
    <row r="123" spans="2:74" x14ac:dyDescent="0.3">
      <c r="B123" s="281">
        <v>43946</v>
      </c>
      <c r="C123" s="4">
        <v>116</v>
      </c>
      <c r="D123" s="10">
        <f>Tabella8[[#This Row],[Spain cum. Cases]]</f>
        <v>223759</v>
      </c>
      <c r="E123" s="90">
        <f>(Tabella34[[#This Row],[Spain cumul. Cases]]-D122)</f>
        <v>3995</v>
      </c>
      <c r="F123" s="90">
        <f>Tabella34[[#This Row],[Spain daily cases]]-E122</f>
        <v>-2745</v>
      </c>
      <c r="G123" s="95">
        <f>Tabella34[[#This Row],[Spain daily cases]]*NOT(ISBLANK(Tabella34[[#This Row],[Spain daily cases]]))</f>
        <v>3995</v>
      </c>
      <c r="H123" s="157">
        <f>Tabella8[[#This Row],[Spain cum. fit]]</f>
        <v>226520.70912663662</v>
      </c>
      <c r="I123" s="157" t="e">
        <f>_xlfn.LOGNORM.INV(alpha*Tabella34[[#This Row],[Spain cumul. Fit]]/Kt,mu_t,sigma_t)-(Tabella34[[#This Row],[Day]]-pt)</f>
        <v>#NUM!</v>
      </c>
      <c r="J123" s="157" t="e">
        <f>Tabella34[[#This Row],[Spain fitted d.t.]]/Spain_dt_at_lockdown</f>
        <v>#NUM!</v>
      </c>
      <c r="K123" s="95">
        <f>Tabella34[[#This Row],[Spain cumul. Fit]]/Kf</f>
        <v>0.80900283374840298</v>
      </c>
      <c r="L123" s="160"/>
      <c r="M123" s="95"/>
      <c r="N123" s="157">
        <f>IFERROR(Kt*_xlfn.LOGNORM.DIST((Tabella34[[#This Row],[Day]]-pt),mu_t,sigma_t,FALSE),0)</f>
        <v>3473.472910170015</v>
      </c>
      <c r="O123" s="157" t="e">
        <f>Kt*EXP(-0.5*Tabella34[[#This Row],[x_t]]^2)/(sigma_t*SQRTPI(2)*(Tabella34[[#This Row],[Day]]-D_bk))</f>
        <v>#NAME?</v>
      </c>
      <c r="P123" s="199">
        <f>Tabella34[[#This Row],[Spain fitted velocity]]/Tabella34[[#This Row],[Spain cumul. Fit]]</f>
        <v>1.5334019231893569E-2</v>
      </c>
      <c r="Q123" s="262">
        <f>(LN(Tabella34[[#This Row],[Day]]-pt)-mu_t)/sigma_t</f>
        <v>0.87422757387118311</v>
      </c>
      <c r="R123" s="262">
        <f>EXP(mu_t+sigma_t*Tabella34[[#This Row],[x_t_alpha©+plus]])-(Tabella34[[#This Row],[Day]]-pt)</f>
        <v>11.693174313083617</v>
      </c>
      <c r="S123" s="262">
        <f>EXP(mu_t+sigma_t*Tabella34[[#This Row],[x_t_alpha©-minus]])-(Tabella34[[#This Row],[Day]]-pt)</f>
        <v>-43.015913391842197</v>
      </c>
      <c r="T123" s="262">
        <f>-sigma_t+SQRT(sigma_t^2-2*Tabella34[[#This Row],[c_t]])</f>
        <v>1.372201643924279</v>
      </c>
      <c r="U123" s="262">
        <f>-sigma_t-SQRT(sigma_t^2-2*Tabella34[[#This Row],[c_t]])</f>
        <v>-1.9096409937674463</v>
      </c>
      <c r="V123" s="262">
        <f>mu_t-LN(alpha*Kt/(Tabella34[[#This Row],[Spain fitted velocity]]*sigma_t*SQRTPI(2)))</f>
        <v>-1.3102062554764418</v>
      </c>
      <c r="W123" s="262">
        <f>Tabella34[[#This Row],[Spain fitted g.r.]]/Spain_gr_at_lockdown</f>
        <v>7.4000502668044685E-2</v>
      </c>
      <c r="X123" s="262">
        <f>Tabella34[[#This Row],[t_alpha_t+plus]]</f>
        <v>11.693174313083617</v>
      </c>
      <c r="Y123" s="262">
        <f>Tabella34[[#This Row],[Spain fitted h.t.]]/Spain_ht_at_lockdown</f>
        <v>0.18994584307949763</v>
      </c>
      <c r="Z123" s="90">
        <f>IFERROR(-Kf*_xlfn.LOGNORM.DIST((Tabella34[[#This Row],[Day]]-pf),mu_f,sigma_f,FALSE)*(1+(LN((Tabella34[[#This Row],[Day]]-pf))-mu_f)/sigma_f^2)/(Tabella34[[#This Row],[Day]]-pf),0)</f>
        <v>-180.90311345620643</v>
      </c>
      <c r="AA123" s="90">
        <f>Tabella34[[#This Row],[Spain acc. fit]]/Spain_acc_at_lockdown</f>
        <v>-0.61645800762749126</v>
      </c>
      <c r="AB123" s="95">
        <f>Tabella34[[#This Row],[Spain acc. fit]]/y_f_peak</f>
        <v>-2.7102946916951916E-2</v>
      </c>
      <c r="AC123" s="157">
        <f>Tabella34[[#This Row],[Colonna4]]*NOT(ISBLANK(Tabella34[[#This Row],[Spain daily cases]]))</f>
        <v>0</v>
      </c>
      <c r="AD123" s="157">
        <f>Tabella34[[#This Row],[Spain acc. fit]]*NOT(ISBLANK(Tabella34[[#This Row],[Spain daily cases]]))</f>
        <v>-180.90311345620643</v>
      </c>
      <c r="AE123" s="95">
        <f>Tabella34[[#This Row],[Spain acc. fit]]+CIf</f>
        <v>2161.7853042248862</v>
      </c>
      <c r="AF123" s="95">
        <f>MAX(Tabella34[[#This Row],[Spain acc. fit]]-CIf,0)</f>
        <v>0</v>
      </c>
      <c r="AG123" s="4">
        <f>Tabella8[[#This Row],[Lombardy]]</f>
        <v>0</v>
      </c>
      <c r="AH123" s="90">
        <f>(Tabella34[[#This Row],[Lombardy cumul. Data]]-AG122)</f>
        <v>0</v>
      </c>
      <c r="AI123" s="90">
        <f>Tabella34[[#This Row],[Lombardy data]]-AH122</f>
        <v>0</v>
      </c>
      <c r="AJ123" s="95">
        <f>Tabella34[[#This Row],[Lombardy data]]*NOT(ISBLANK(Tabella34[[#This Row],[Lombardy data]]))</f>
        <v>0</v>
      </c>
      <c r="AK123" s="95">
        <f>Tabella8[[#This Row],[Lombardy fit]]</f>
        <v>72008.120834134315</v>
      </c>
      <c r="AL123" s="157" t="e">
        <f>_xlfn.LOGNORM.INV(alpha*Tabella34[[#This Row],[Lombardy cumul. Fit]]/Kr,mu_r,sigma_r)-(Tabella34[[#This Row],[Day]]-pr)</f>
        <v>#NUM!</v>
      </c>
      <c r="AM123" s="95">
        <f>Tabella34[[#This Row],[Lombardy cumul. Fit]]/Kl</f>
        <v>0.82767954981763581</v>
      </c>
      <c r="AN123" s="95">
        <f>IFERROR(Kr*_xlfn.LOGNORM.DIST((Tabella34[[#This Row],[Day]]-pr),mu_r,sigma_r,FALSE),0)</f>
        <v>769.46790957141582</v>
      </c>
      <c r="AO123" s="202">
        <f>Tabella34[[#This Row],[Lombardy velocity]]/Tabella34[[#This Row],[Lombardy cumul. Fit]]</f>
        <v>1.068584904949584E-2</v>
      </c>
      <c r="AP123" s="259">
        <f>(LN(Tabella34[[#This Row],[Day]]-pr)-mu_r)/sigma_r</f>
        <v>0.94503521031807414</v>
      </c>
      <c r="AQ123" s="262">
        <f>EXP(mu_r+sigma_r*Tabella34[[#This Row],[x_r_alpha©+plus]])-(Tabella34[[#This Row],[Day]]-pr)</f>
        <v>14.295136844896177</v>
      </c>
      <c r="AR123" s="262">
        <f>EXP(mu_r+sigma_r*Tabella34[[#This Row],[x_r_alpha©-minus]])-(Tabella34[[#This Row],[Day]]-pr)</f>
        <v>-54.542855237529821</v>
      </c>
      <c r="AS123" s="262">
        <f>-sigma_r+SQRT(sigma_r^2-2*Tabella34[[#This Row],[c_r]])</f>
        <v>1.402761796982207</v>
      </c>
      <c r="AT123" s="262">
        <f>-sigma_r-SQRT(sigma_r^2-2*Tabella34[[#This Row],[c_r]])</f>
        <v>-2.0836163941759365</v>
      </c>
      <c r="AU123" s="262">
        <f>mu_r-LN(alpha*Kr/(Tabella34[[#This Row],[Lombardy velocity]]*sigma_r*SQRTPI(2)))</f>
        <v>-1.4614087386579113</v>
      </c>
      <c r="AV123" s="262">
        <f>Tabella34[[#This Row],[t_alpha_r+plus]]</f>
        <v>14.295136844896177</v>
      </c>
      <c r="AW123" s="90">
        <f>IFERROR(-Kl*_xlfn.LOGNORM.DIST((Tabella34[[#This Row],[Day]]-pl),mu_l,sigma_l,FALSE)*(1+(LN((Tabella34[[#This Row],[Day]]-pl))-mu_l)/sigma_l^2)/(Tabella34[[#This Row],[Day]]-pl),0)</f>
        <v>-34.272318637670665</v>
      </c>
      <c r="AX123" s="95">
        <f>Tabella34[[#This Row],[Lombardy acc. fit]]/y_l_peak</f>
        <v>-1.949556668355806E-2</v>
      </c>
      <c r="AY123" s="157">
        <f>Tabella34[[#This Row],[Lombardy acc. fit]]*NOT(ISBLANK(Tabella34[[#This Row],[Lombardy data]]))</f>
        <v>-34.272318637670665</v>
      </c>
      <c r="AZ123" s="95">
        <f>Tabella34[[#This Row],[Lombardy acc. fit]]+CIl</f>
        <v>2536.110004278738</v>
      </c>
      <c r="BA123" s="95">
        <f>MAX(Tabella34[[#This Row],[Lombardy acc. fit]]-CIl,0)</f>
        <v>0</v>
      </c>
      <c r="BB123" s="10">
        <f>Tabella8[[#This Row],[rest of Italy ]]</f>
        <v>223759</v>
      </c>
      <c r="BC123" s="10">
        <f>(Tabella34[[#This Row],[rest of Italy cum. Data]]-BB122)</f>
        <v>3995</v>
      </c>
      <c r="BD123" s="10">
        <f>Tabella34[[#This Row],[rest of Italy data]]-BC122</f>
        <v>-2745</v>
      </c>
      <c r="BE123" s="95">
        <f>Tabella34[[#This Row],[rest of Italy data]]*NOT(ISBLANK(Tabella34[[#This Row],[rest of Italy data]]))</f>
        <v>3995</v>
      </c>
      <c r="BF123" s="95">
        <f>Tabella8[[#This Row],[rest of Italy fit]]</f>
        <v>123583.88987487515</v>
      </c>
      <c r="BG123" s="157" t="e">
        <f>_xlfn.LOGNORM.INV(alpha*Tabella34[[#This Row],[rest of Italy cumul. Fit]]/Ko,mu_o,sigma_o)-(Tabella34[[#This Row],[Day]]-po)</f>
        <v>#NUM!</v>
      </c>
      <c r="BH123" s="95">
        <f>Tabella34[[#This Row],[rest of Italy cumul. Fit]]/Ka</f>
        <v>0.83502638014502351</v>
      </c>
      <c r="BI123" s="157">
        <f>IFERROR(Ko*_xlfn.LOGNORM.DIST((Tabella34[[#This Row],[Day]]-po),mu_o,sigma_o,FALSE),0)</f>
        <v>1459.6493152180863</v>
      </c>
      <c r="BJ123" s="199">
        <f>Tabella34[[#This Row],[rest of Italy velocity]]/Tabella34[[#This Row],[rest of Italy cumul. Fit]]</f>
        <v>1.1810999934505507E-2</v>
      </c>
      <c r="BK123" s="254">
        <f>(LN(Tabella34[[#This Row],[Day]]-po)-mu_o)/sigma_o</f>
        <v>0.97422015426888919</v>
      </c>
      <c r="BL123" s="262">
        <f>EXP(mu_o+sigma_o*Tabella34[[#This Row],[x_o_alpha©+plus]])-(Tabella34[[#This Row],[Day]]-po)</f>
        <v>12.332223592074797</v>
      </c>
      <c r="BM123" s="262">
        <f>EXP(mu_o+sigma_o*Tabella34[[#This Row],[x_o_alpha©-minus]])-(Tabella34[[#This Row],[Day]]-po)</f>
        <v>-48.884520224663326</v>
      </c>
      <c r="BN123" s="262">
        <f>-sigma_o+SQRT(sigma_o^2-2*Tabella34[[#This Row],[c_o]])</f>
        <v>1.4292705352212591</v>
      </c>
      <c r="BO123" s="262">
        <f>-sigma_o-SQRT(sigma_o^2-2*Tabella34[[#This Row],[c_o]])</f>
        <v>-2.0722433125202855</v>
      </c>
      <c r="BP123" s="262">
        <f>mu_o-LN(alpha*Ko/(Tabella34[[#This Row],[rest of Italy velocity]]*sigma_o*SQRTPI(2)))</f>
        <v>-1.4808981541972717</v>
      </c>
      <c r="BQ123" s="262">
        <f>Tabella34[[#This Row],[t_alpha_o+plus]]</f>
        <v>12.332223592074797</v>
      </c>
      <c r="BR123" s="90">
        <f>IFERROR(-Ka*_xlfn.LOGNORM.DIST((Tabella34[[#This Row],[Day]]-pa),mu_a,sigma_a,FALSE)*(1+(LN((Tabella34[[#This Row],[Day]]-pa))-mu_a)/sigma_a^2)/(Tabella34[[#This Row],[Day]]-pa),0)</f>
        <v>-75.149741192066415</v>
      </c>
      <c r="BS123" s="95">
        <f>Tabella34[[#This Row],[rest of Italy acc. fit]]/y_a_peak</f>
        <v>-2.2239249822591817E-2</v>
      </c>
      <c r="BT123" s="95">
        <f>Tabella34[[#This Row],[rest of Italy acc. fit]]*NOT(ISBLANK(Tabella34[[#This Row],[rest of Italy data]]))</f>
        <v>-75.149741192066415</v>
      </c>
      <c r="BU123" s="95">
        <f>Tabella34[[#This Row],[rest of Italy acc. fit]]+CIa</f>
        <v>5263.6896939679509</v>
      </c>
      <c r="BV123" s="95">
        <f>MAX(Tabella34[[#This Row],[rest of Italy acc. fit]]-CIa,0)</f>
        <v>0</v>
      </c>
    </row>
    <row r="124" spans="2:74" x14ac:dyDescent="0.3">
      <c r="B124" s="281">
        <v>43947</v>
      </c>
      <c r="C124" s="4">
        <v>117</v>
      </c>
      <c r="D124" s="10">
        <f>Tabella8[[#This Row],[Spain cum. Cases]]</f>
        <v>226629</v>
      </c>
      <c r="E124" s="90">
        <f>(Tabella34[[#This Row],[Spain cumul. Cases]]-D123)</f>
        <v>2870</v>
      </c>
      <c r="F124" s="90">
        <f>Tabella34[[#This Row],[Spain daily cases]]-E123</f>
        <v>-1125</v>
      </c>
      <c r="G124" s="95">
        <f>Tabella34[[#This Row],[Spain daily cases]]*NOT(ISBLANK(Tabella34[[#This Row],[Spain daily cases]]))</f>
        <v>2870</v>
      </c>
      <c r="H124" s="157">
        <f>Tabella8[[#This Row],[Spain cum. fit]]</f>
        <v>229904.48803498896</v>
      </c>
      <c r="I124" s="157" t="e">
        <f>_xlfn.LOGNORM.INV(alpha*Tabella34[[#This Row],[Spain cumul. Fit]]/Kt,mu_t,sigma_t)-(Tabella34[[#This Row],[Day]]-pt)</f>
        <v>#NUM!</v>
      </c>
      <c r="J124" s="157" t="e">
        <f>Tabella34[[#This Row],[Spain fitted d.t.]]/Spain_dt_at_lockdown</f>
        <v>#NUM!</v>
      </c>
      <c r="K124" s="95">
        <f>Tabella34[[#This Row],[Spain cumul. Fit]]/Kf</f>
        <v>0.82108776291973418</v>
      </c>
      <c r="L124" s="160"/>
      <c r="M124" s="95"/>
      <c r="N124" s="157">
        <f>IFERROR(Kt*_xlfn.LOGNORM.DIST((Tabella34[[#This Row],[Day]]-pt),mu_t,sigma_t,FALSE),0)</f>
        <v>3294.8618856933795</v>
      </c>
      <c r="O124" s="157" t="e">
        <f>Kt*EXP(-0.5*Tabella34[[#This Row],[x_t]]^2)/(sigma_t*SQRTPI(2)*(Tabella34[[#This Row],[Day]]-D_bk))</f>
        <v>#NAME?</v>
      </c>
      <c r="P124" s="199">
        <f>Tabella34[[#This Row],[Spain fitted velocity]]/Tabella34[[#This Row],[Spain cumul. Fit]]</f>
        <v>1.4331437867328356E-2</v>
      </c>
      <c r="Q124" s="262">
        <f>(LN(Tabella34[[#This Row],[Day]]-pt)-mu_t)/sigma_t</f>
        <v>0.91951842254430893</v>
      </c>
      <c r="R124" s="262">
        <f>EXP(mu_t+sigma_t*Tabella34[[#This Row],[x_t_alpha©+plus]])-(Tabella34[[#This Row],[Day]]-pt)</f>
        <v>11.495948425524531</v>
      </c>
      <c r="S124" s="262">
        <f>EXP(mu_t+sigma_t*Tabella34[[#This Row],[x_t_alpha©-minus]])-(Tabella34[[#This Row],[Day]]-pt)</f>
        <v>-44.345426365951511</v>
      </c>
      <c r="T124" s="262">
        <f>-sigma_t+SQRT(sigma_t^2-2*Tabella34[[#This Row],[c_t]])</f>
        <v>1.4040636754825429</v>
      </c>
      <c r="U124" s="262">
        <f>-sigma_t-SQRT(sigma_t^2-2*Tabella34[[#This Row],[c_t]])</f>
        <v>-1.9415030253257102</v>
      </c>
      <c r="V124" s="262">
        <f>mu_t-LN(alpha*Kt/(Tabella34[[#This Row],[Spain fitted velocity]]*sigma_t*SQRTPI(2)))</f>
        <v>-1.3629969368496466</v>
      </c>
      <c r="W124" s="262">
        <f>Tabella34[[#This Row],[Spain fitted g.r.]]/Spain_gr_at_lockdown</f>
        <v>6.9162141386409706E-2</v>
      </c>
      <c r="X124" s="262">
        <f>Tabella34[[#This Row],[t_alpha_t+plus]]</f>
        <v>11.495948425524531</v>
      </c>
      <c r="Y124" s="262">
        <f>Tabella34[[#This Row],[Spain fitted h.t.]]/Spain_ht_at_lockdown</f>
        <v>0.18674207338561769</v>
      </c>
      <c r="Z124" s="90">
        <f>IFERROR(-Kf*_xlfn.LOGNORM.DIST((Tabella34[[#This Row],[Day]]-pf),mu_f,sigma_f,FALSE)*(1+(LN((Tabella34[[#This Row],[Day]]-pf))-mu_f)/sigma_f^2)/(Tabella34[[#This Row],[Day]]-pf),0)</f>
        <v>-176.24265499966526</v>
      </c>
      <c r="AA124" s="90">
        <f>Tabella34[[#This Row],[Spain acc. fit]]/Spain_acc_at_lockdown</f>
        <v>-0.60057670586401679</v>
      </c>
      <c r="AB124" s="95">
        <f>Tabella34[[#This Row],[Spain acc. fit]]/y_f_peak</f>
        <v>-2.640471593715801E-2</v>
      </c>
      <c r="AC124" s="157">
        <f>Tabella34[[#This Row],[Colonna4]]*NOT(ISBLANK(Tabella34[[#This Row],[Spain daily cases]]))</f>
        <v>0</v>
      </c>
      <c r="AD124" s="157">
        <f>Tabella34[[#This Row],[Spain acc. fit]]*NOT(ISBLANK(Tabella34[[#This Row],[Spain daily cases]]))</f>
        <v>-176.24265499966526</v>
      </c>
      <c r="AE124" s="95">
        <f>Tabella34[[#This Row],[Spain acc. fit]]+CIf</f>
        <v>2166.4457626814274</v>
      </c>
      <c r="AF124" s="95">
        <f>MAX(Tabella34[[#This Row],[Spain acc. fit]]-CIf,0)</f>
        <v>0</v>
      </c>
      <c r="AG124" s="4">
        <f>Tabella8[[#This Row],[Lombardy]]</f>
        <v>0</v>
      </c>
      <c r="AH124" s="90">
        <f>(Tabella34[[#This Row],[Lombardy cumul. Data]]-AG123)</f>
        <v>0</v>
      </c>
      <c r="AI124" s="90">
        <f>Tabella34[[#This Row],[Lombardy data]]-AH123</f>
        <v>0</v>
      </c>
      <c r="AJ124" s="95">
        <f>Tabella34[[#This Row],[Lombardy data]]*NOT(ISBLANK(Tabella34[[#This Row],[Lombardy data]]))</f>
        <v>0</v>
      </c>
      <c r="AK124" s="95">
        <f>Tabella8[[#This Row],[Lombardy fit]]</f>
        <v>72760.621375470975</v>
      </c>
      <c r="AL124" s="157" t="e">
        <f>_xlfn.LOGNORM.INV(alpha*Tabella34[[#This Row],[Lombardy cumul. Fit]]/Kr,mu_r,sigma_r)-(Tabella34[[#This Row],[Day]]-pr)</f>
        <v>#NUM!</v>
      </c>
      <c r="AM124" s="95">
        <f>Tabella34[[#This Row],[Lombardy cumul. Fit]]/Kl</f>
        <v>0.83632898132725264</v>
      </c>
      <c r="AN124" s="95">
        <f>IFERROR(Kr*_xlfn.LOGNORM.DIST((Tabella34[[#This Row],[Day]]-pr),mu_r,sigma_r,FALSE),0)</f>
        <v>735.70286962182229</v>
      </c>
      <c r="AO124" s="202">
        <f>Tabella34[[#This Row],[Lombardy velocity]]/Tabella34[[#This Row],[Lombardy cumul. Fit]]</f>
        <v>1.0111277992326795E-2</v>
      </c>
      <c r="AP124" s="259">
        <f>(LN(Tabella34[[#This Row],[Day]]-pr)-mu_r)/sigma_r</f>
        <v>0.97948167773291794</v>
      </c>
      <c r="AQ124" s="262">
        <f>EXP(mu_r+sigma_r*Tabella34[[#This Row],[x_r_alpha©+plus]])-(Tabella34[[#This Row],[Day]]-pr)</f>
        <v>14.16077808319227</v>
      </c>
      <c r="AR124" s="262">
        <f>EXP(mu_r+sigma_r*Tabella34[[#This Row],[x_r_alpha©-minus]])-(Tabella34[[#This Row],[Day]]-pr)</f>
        <v>-55.804742148729908</v>
      </c>
      <c r="AS124" s="262">
        <f>-sigma_r+SQRT(sigma_r^2-2*Tabella34[[#This Row],[c_r]])</f>
        <v>1.4283163422159657</v>
      </c>
      <c r="AT124" s="262">
        <f>-sigma_r-SQRT(sigma_r^2-2*Tabella34[[#This Row],[c_r]])</f>
        <v>-2.1091709394096947</v>
      </c>
      <c r="AU124" s="262">
        <f>mu_r-LN(alpha*Kr/(Tabella34[[#This Row],[Lombardy velocity]]*sigma_r*SQRTPI(2)))</f>
        <v>-1.5062816606429337</v>
      </c>
      <c r="AV124" s="262">
        <f>Tabella34[[#This Row],[t_alpha_r+plus]]</f>
        <v>14.16077808319227</v>
      </c>
      <c r="AW124" s="90">
        <f>IFERROR(-Kl*_xlfn.LOGNORM.DIST((Tabella34[[#This Row],[Day]]-pl),mu_l,sigma_l,FALSE)*(1+(LN((Tabella34[[#This Row],[Day]]-pl))-mu_l)/sigma_l^2)/(Tabella34[[#This Row],[Day]]-pl),0)</f>
        <v>-33.254255567219786</v>
      </c>
      <c r="AX124" s="95">
        <f>Tabella34[[#This Row],[Lombardy acc. fit]]/y_l_peak</f>
        <v>-1.8916448687840454E-2</v>
      </c>
      <c r="AY124" s="157">
        <f>Tabella34[[#This Row],[Lombardy acc. fit]]*NOT(ISBLANK(Tabella34[[#This Row],[Lombardy data]]))</f>
        <v>-33.254255567219786</v>
      </c>
      <c r="AZ124" s="95">
        <f>Tabella34[[#This Row],[Lombardy acc. fit]]+CIl</f>
        <v>2537.1280673491888</v>
      </c>
      <c r="BA124" s="95">
        <f>MAX(Tabella34[[#This Row],[Lombardy acc. fit]]-CIl,0)</f>
        <v>0</v>
      </c>
      <c r="BB124" s="10">
        <f>Tabella8[[#This Row],[rest of Italy ]]</f>
        <v>226629</v>
      </c>
      <c r="BC124" s="10">
        <f>(Tabella34[[#This Row],[rest of Italy cum. Data]]-BB123)</f>
        <v>2870</v>
      </c>
      <c r="BD124" s="10">
        <f>Tabella34[[#This Row],[rest of Italy data]]-BC123</f>
        <v>-1125</v>
      </c>
      <c r="BE124" s="95">
        <f>Tabella34[[#This Row],[rest of Italy data]]*NOT(ISBLANK(Tabella34[[#This Row],[rest of Italy data]]))</f>
        <v>2870</v>
      </c>
      <c r="BF124" s="95">
        <f>Tabella8[[#This Row],[rest of Italy fit]]</f>
        <v>125006.38788010621</v>
      </c>
      <c r="BG124" s="157" t="e">
        <f>_xlfn.LOGNORM.INV(alpha*Tabella34[[#This Row],[rest of Italy cumul. Fit]]/Ko,mu_o,sigma_o)-(Tabella34[[#This Row],[Day]]-po)</f>
        <v>#NUM!</v>
      </c>
      <c r="BH124" s="95">
        <f>Tabella34[[#This Row],[rest of Italy cumul. Fit]]/Ka</f>
        <v>0.8446378542722276</v>
      </c>
      <c r="BI124" s="157">
        <f>IFERROR(Ko*_xlfn.LOGNORM.DIST((Tabella34[[#This Row],[Day]]-po),mu_o,sigma_o,FALSE),0)</f>
        <v>1385.7728816909639</v>
      </c>
      <c r="BJ124" s="199">
        <f>Tabella34[[#This Row],[rest of Italy velocity]]/Tabella34[[#This Row],[rest of Italy cumul. Fit]]</f>
        <v>1.1085616544812578E-2</v>
      </c>
      <c r="BK124" s="254">
        <f>(LN(Tabella34[[#This Row],[Day]]-po)-mu_o)/sigma_o</f>
        <v>1.0137034204616069</v>
      </c>
      <c r="BL124" s="262">
        <f>EXP(mu_o+sigma_o*Tabella34[[#This Row],[x_o_alpha©+plus]])-(Tabella34[[#This Row],[Day]]-po)</f>
        <v>12.193305426867184</v>
      </c>
      <c r="BM124" s="262">
        <f>EXP(mu_o+sigma_o*Tabella34[[#This Row],[x_o_alpha©-minus]])-(Tabella34[[#This Row],[Day]]-po)</f>
        <v>-50.161250337213716</v>
      </c>
      <c r="BN124" s="262">
        <f>-sigma_o+SQRT(sigma_o^2-2*Tabella34[[#This Row],[c_o]])</f>
        <v>1.4586894980184528</v>
      </c>
      <c r="BO124" s="262">
        <f>-sigma_o-SQRT(sigma_o^2-2*Tabella34[[#This Row],[c_o]])</f>
        <v>-2.1016622753174787</v>
      </c>
      <c r="BP124" s="262">
        <f>mu_o-LN(alpha*Ko/(Tabella34[[#This Row],[rest of Italy velocity]]*sigma_o*SQRTPI(2)))</f>
        <v>-1.5328363446935862</v>
      </c>
      <c r="BQ124" s="262">
        <f>Tabella34[[#This Row],[t_alpha_o+plus]]</f>
        <v>12.193305426867184</v>
      </c>
      <c r="BR124" s="90">
        <f>IFERROR(-Ka*_xlfn.LOGNORM.DIST((Tabella34[[#This Row],[Day]]-pa),mu_a,sigma_a,FALSE)*(1+(LN((Tabella34[[#This Row],[Day]]-pa))-mu_a)/sigma_a^2)/(Tabella34[[#This Row],[Day]]-pa),0)</f>
        <v>-72.592997981952564</v>
      </c>
      <c r="BS124" s="95">
        <f>Tabella34[[#This Row],[rest of Italy acc. fit]]/y_a_peak</f>
        <v>-2.1482626445318762E-2</v>
      </c>
      <c r="BT124" s="95">
        <f>Tabella34[[#This Row],[rest of Italy acc. fit]]*NOT(ISBLANK(Tabella34[[#This Row],[rest of Italy data]]))</f>
        <v>-72.592997981952564</v>
      </c>
      <c r="BU124" s="95">
        <f>Tabella34[[#This Row],[rest of Italy acc. fit]]+CIa</f>
        <v>5266.2464371780643</v>
      </c>
      <c r="BV124" s="95">
        <f>MAX(Tabella34[[#This Row],[rest of Italy acc. fit]]-CIa,0)</f>
        <v>0</v>
      </c>
    </row>
    <row r="125" spans="2:74" x14ac:dyDescent="0.3">
      <c r="B125" s="281">
        <v>43948</v>
      </c>
      <c r="C125" s="4">
        <v>118</v>
      </c>
      <c r="D125" s="10">
        <f>Tabella8[[#This Row],[Spain cum. Cases]]</f>
        <v>229422</v>
      </c>
      <c r="E125" s="90">
        <f>(Tabella34[[#This Row],[Spain cumul. Cases]]-D124)</f>
        <v>2793</v>
      </c>
      <c r="F125" s="90">
        <f>Tabella34[[#This Row],[Spain daily cases]]-E124</f>
        <v>-77</v>
      </c>
      <c r="G125" s="95">
        <f>Tabella34[[#This Row],[Spain daily cases]]*NOT(ISBLANK(Tabella34[[#This Row],[Spain daily cases]]))</f>
        <v>2793</v>
      </c>
      <c r="H125" s="157">
        <f>Tabella8[[#This Row],[Spain cum. fit]]</f>
        <v>233112.05895539187</v>
      </c>
      <c r="I125" s="157" t="e">
        <f>_xlfn.LOGNORM.INV(alpha*Tabella34[[#This Row],[Spain cumul. Fit]]/Kt,mu_t,sigma_t)-(Tabella34[[#This Row],[Day]]-pt)</f>
        <v>#NUM!</v>
      </c>
      <c r="J125" s="157" t="e">
        <f>Tabella34[[#This Row],[Spain fitted d.t.]]/Spain_dt_at_lockdown</f>
        <v>#NUM!</v>
      </c>
      <c r="K125" s="95">
        <f>Tabella34[[#This Row],[Spain cumul. Fit]]/Kf</f>
        <v>0.832543377614125</v>
      </c>
      <c r="L125" s="160"/>
      <c r="M125" s="95"/>
      <c r="N125" s="157">
        <f>IFERROR(Kt*_xlfn.LOGNORM.DIST((Tabella34[[#This Row],[Day]]-pt),mu_t,sigma_t,FALSE),0)</f>
        <v>3121.1263026961396</v>
      </c>
      <c r="O125" s="157" t="e">
        <f>Kt*EXP(-0.5*Tabella34[[#This Row],[x_t]]^2)/(sigma_t*SQRTPI(2)*(Tabella34[[#This Row],[Day]]-D_bk))</f>
        <v>#NAME?</v>
      </c>
      <c r="P125" s="199">
        <f>Tabella34[[#This Row],[Spain fitted velocity]]/Tabella34[[#This Row],[Spain cumul. Fit]]</f>
        <v>1.3388952577924747E-2</v>
      </c>
      <c r="Q125" s="262">
        <f>(LN(Tabella34[[#This Row],[Day]]-pt)-mu_t)/sigma_t</f>
        <v>0.96426467838416596</v>
      </c>
      <c r="R125" s="262">
        <f>EXP(mu_t+sigma_t*Tabella34[[#This Row],[x_t_alpha©+plus]])-(Tabella34[[#This Row],[Day]]-pt)</f>
        <v>11.311081487925634</v>
      </c>
      <c r="S125" s="262">
        <f>EXP(mu_t+sigma_t*Tabella34[[#This Row],[x_t_alpha©-minus]])-(Tabella34[[#This Row],[Day]]-pt)</f>
        <v>-45.674312754510225</v>
      </c>
      <c r="T125" s="262">
        <f>-sigma_t+SQRT(sigma_t^2-2*Tabella34[[#This Row],[c_t]])</f>
        <v>1.4361394912903027</v>
      </c>
      <c r="U125" s="262">
        <f>-sigma_t-SQRT(sigma_t^2-2*Tabella34[[#This Row],[c_t]])</f>
        <v>-1.97357884113347</v>
      </c>
      <c r="V125" s="262">
        <f>mu_t-LN(alpha*Kt/(Tabella34[[#This Row],[Spain fitted velocity]]*sigma_t*SQRTPI(2)))</f>
        <v>-1.4171672564633635</v>
      </c>
      <c r="W125" s="262">
        <f>Tabella34[[#This Row],[Spain fitted g.r.]]/Spain_gr_at_lockdown</f>
        <v>6.4613797986132648E-2</v>
      </c>
      <c r="X125" s="262">
        <f>Tabella34[[#This Row],[t_alpha_t+plus]]</f>
        <v>11.311081487925634</v>
      </c>
      <c r="Y125" s="262">
        <f>Tabella34[[#This Row],[Spain fitted h.t.]]/Spain_ht_at_lockdown</f>
        <v>0.18373906450372174</v>
      </c>
      <c r="Z125" s="90">
        <f>IFERROR(-Kf*_xlfn.LOGNORM.DIST((Tabella34[[#This Row],[Day]]-pf),mu_f,sigma_f,FALSE)*(1+(LN((Tabella34[[#This Row],[Day]]-pf))-mu_f)/sigma_f^2)/(Tabella34[[#This Row],[Day]]-pf),0)</f>
        <v>-171.16588306528052</v>
      </c>
      <c r="AA125" s="90">
        <f>Tabella34[[#This Row],[Spain acc. fit]]/Spain_acc_at_lockdown</f>
        <v>-0.58327674539314522</v>
      </c>
      <c r="AB125" s="95">
        <f>Tabella34[[#This Row],[Spain acc. fit]]/y_f_peak</f>
        <v>-2.5644112774402549E-2</v>
      </c>
      <c r="AC125" s="157">
        <f>Tabella34[[#This Row],[Colonna4]]*NOT(ISBLANK(Tabella34[[#This Row],[Spain daily cases]]))</f>
        <v>0</v>
      </c>
      <c r="AD125" s="157">
        <f>Tabella34[[#This Row],[Spain acc. fit]]*NOT(ISBLANK(Tabella34[[#This Row],[Spain daily cases]]))</f>
        <v>-171.16588306528052</v>
      </c>
      <c r="AE125" s="95">
        <f>Tabella34[[#This Row],[Spain acc. fit]]+CIf</f>
        <v>2171.5225346158122</v>
      </c>
      <c r="AF125" s="95">
        <f>MAX(Tabella34[[#This Row],[Spain acc. fit]]-CIf,0)</f>
        <v>0</v>
      </c>
      <c r="AG125" s="4">
        <f>Tabella8[[#This Row],[Lombardy]]</f>
        <v>0</v>
      </c>
      <c r="AH125" s="90">
        <f>(Tabella34[[#This Row],[Lombardy cumul. Data]]-AG124)</f>
        <v>0</v>
      </c>
      <c r="AI125" s="90">
        <f>Tabella34[[#This Row],[Lombardy data]]-AH124</f>
        <v>0</v>
      </c>
      <c r="AJ125" s="95">
        <f>Tabella34[[#This Row],[Lombardy data]]*NOT(ISBLANK(Tabella34[[#This Row],[Lombardy data]]))</f>
        <v>0</v>
      </c>
      <c r="AK125" s="95">
        <f>Tabella8[[#This Row],[Lombardy fit]]</f>
        <v>73479.869131409956</v>
      </c>
      <c r="AL125" s="157" t="e">
        <f>_xlfn.LOGNORM.INV(alpha*Tabella34[[#This Row],[Lombardy cumul. Fit]]/Kr,mu_r,sigma_r)-(Tabella34[[#This Row],[Day]]-pr)</f>
        <v>#NUM!</v>
      </c>
      <c r="AM125" s="95">
        <f>Tabella34[[#This Row],[Lombardy cumul. Fit]]/Kl</f>
        <v>0.84459619691275811</v>
      </c>
      <c r="AN125" s="95">
        <f>IFERROR(Kr*_xlfn.LOGNORM.DIST((Tabella34[[#This Row],[Day]]-pr),mu_r,sigma_r,FALSE),0)</f>
        <v>702.96528278682194</v>
      </c>
      <c r="AO125" s="202">
        <f>Tabella34[[#This Row],[Lombardy velocity]]/Tabella34[[#This Row],[Lombardy cumul. Fit]]</f>
        <v>9.5667737449239686E-3</v>
      </c>
      <c r="AP125" s="259">
        <f>(LN(Tabella34[[#This Row],[Day]]-pr)-mu_r)/sigma_r</f>
        <v>1.0135288854367737</v>
      </c>
      <c r="AQ125" s="262">
        <f>EXP(mu_r+sigma_r*Tabella34[[#This Row],[x_r_alpha©+plus]])-(Tabella34[[#This Row],[Day]]-pr)</f>
        <v>14.033846308952548</v>
      </c>
      <c r="AR125" s="262">
        <f>EXP(mu_r+sigma_r*Tabella34[[#This Row],[x_r_alpha©-minus]])-(Tabella34[[#This Row],[Day]]-pr)</f>
        <v>-57.064320438973994</v>
      </c>
      <c r="AS125" s="262">
        <f>-sigma_r+SQRT(sigma_r^2-2*Tabella34[[#This Row],[c_r]])</f>
        <v>1.4538669106683895</v>
      </c>
      <c r="AT125" s="262">
        <f>-sigma_r-SQRT(sigma_r^2-2*Tabella34[[#This Row],[c_r]])</f>
        <v>-2.1347215078621185</v>
      </c>
      <c r="AU125" s="262">
        <f>mu_r-LN(alpha*Kr/(Tabella34[[#This Row],[Lombardy velocity]]*sigma_r*SQRTPI(2)))</f>
        <v>-1.5518004818864322</v>
      </c>
      <c r="AV125" s="262">
        <f>Tabella34[[#This Row],[t_alpha_r+plus]]</f>
        <v>14.033846308952548</v>
      </c>
      <c r="AW125" s="90">
        <f>IFERROR(-Kl*_xlfn.LOGNORM.DIST((Tabella34[[#This Row],[Day]]-pl),mu_l,sigma_l,FALSE)*(1+(LN((Tabella34[[#This Row],[Day]]-pl))-mu_l)/sigma_l^2)/(Tabella34[[#This Row],[Day]]-pl),0)</f>
        <v>-32.218517419327846</v>
      </c>
      <c r="AX125" s="95">
        <f>Tabella34[[#This Row],[Lombardy acc. fit]]/y_l_peak</f>
        <v>-1.832727634900903E-2</v>
      </c>
      <c r="AY125" s="157">
        <f>Tabella34[[#This Row],[Lombardy acc. fit]]*NOT(ISBLANK(Tabella34[[#This Row],[Lombardy data]]))</f>
        <v>-32.218517419327846</v>
      </c>
      <c r="AZ125" s="95">
        <f>Tabella34[[#This Row],[Lombardy acc. fit]]+CIl</f>
        <v>2538.1638054970808</v>
      </c>
      <c r="BA125" s="95">
        <f>MAX(Tabella34[[#This Row],[Lombardy acc. fit]]-CIl,0)</f>
        <v>0</v>
      </c>
      <c r="BB125" s="10">
        <f>Tabella8[[#This Row],[rest of Italy ]]</f>
        <v>229422</v>
      </c>
      <c r="BC125" s="10">
        <f>(Tabella34[[#This Row],[rest of Italy cum. Data]]-BB124)</f>
        <v>2793</v>
      </c>
      <c r="BD125" s="10">
        <f>Tabella34[[#This Row],[rest of Italy data]]-BC124</f>
        <v>-77</v>
      </c>
      <c r="BE125" s="95">
        <f>Tabella34[[#This Row],[rest of Italy data]]*NOT(ISBLANK(Tabella34[[#This Row],[rest of Italy data]]))</f>
        <v>2793</v>
      </c>
      <c r="BF125" s="95">
        <f>Tabella8[[#This Row],[rest of Italy fit]]</f>
        <v>126356.29703916883</v>
      </c>
      <c r="BG125" s="157" t="e">
        <f>_xlfn.LOGNORM.INV(alpha*Tabella34[[#This Row],[rest of Italy cumul. Fit]]/Ko,mu_o,sigma_o)-(Tabella34[[#This Row],[Day]]-po)</f>
        <v>#NUM!</v>
      </c>
      <c r="BH125" s="95">
        <f>Tabella34[[#This Row],[rest of Italy cumul. Fit]]/Ka</f>
        <v>0.85375886316552219</v>
      </c>
      <c r="BI125" s="157">
        <f>IFERROR(Ko*_xlfn.LOGNORM.DIST((Tabella34[[#This Row],[Day]]-po),mu_o,sigma_o,FALSE),0)</f>
        <v>1314.4799395985358</v>
      </c>
      <c r="BJ125" s="199">
        <f>Tabella34[[#This Row],[rest of Italy velocity]]/Tabella34[[#This Row],[rest of Italy cumul. Fit]]</f>
        <v>1.0402963448596977E-2</v>
      </c>
      <c r="BK125" s="254">
        <f>(LN(Tabella34[[#This Row],[Day]]-po)-mu_o)/sigma_o</f>
        <v>1.0526917877765796</v>
      </c>
      <c r="BL125" s="262">
        <f>EXP(mu_o+sigma_o*Tabella34[[#This Row],[x_o_alpha©+plus]])-(Tabella34[[#This Row],[Day]]-po)</f>
        <v>12.062787227540653</v>
      </c>
      <c r="BM125" s="262">
        <f>EXP(mu_o+sigma_o*Tabella34[[#This Row],[x_o_alpha©-minus]])-(Tabella34[[#This Row],[Day]]-po)</f>
        <v>-51.4354434415675</v>
      </c>
      <c r="BN125" s="262">
        <f>-sigma_o+SQRT(sigma_o^2-2*Tabella34[[#This Row],[c_o]])</f>
        <v>1.4881157835655938</v>
      </c>
      <c r="BO125" s="262">
        <f>-sigma_o-SQRT(sigma_o^2-2*Tabella34[[#This Row],[c_o]])</f>
        <v>-2.1310885608646202</v>
      </c>
      <c r="BP125" s="262">
        <f>mu_o-LN(alpha*Ko/(Tabella34[[#This Row],[rest of Italy velocity]]*sigma_o*SQRTPI(2)))</f>
        <v>-1.5856532617993642</v>
      </c>
      <c r="BQ125" s="262">
        <f>Tabella34[[#This Row],[t_alpha_o+plus]]</f>
        <v>12.062787227540653</v>
      </c>
      <c r="BR125" s="90">
        <f>IFERROR(-Ka*_xlfn.LOGNORM.DIST((Tabella34[[#This Row],[Day]]-pa),mu_a,sigma_a,FALSE)*(1+(LN((Tabella34[[#This Row],[Day]]-pa))-mu_a)/sigma_a^2)/(Tabella34[[#This Row],[Day]]-pa),0)</f>
        <v>-69.986315203211291</v>
      </c>
      <c r="BS125" s="95">
        <f>Tabella34[[#This Row],[rest of Italy acc. fit]]/y_a_peak</f>
        <v>-2.0711224327292641E-2</v>
      </c>
      <c r="BT125" s="95">
        <f>Tabella34[[#This Row],[rest of Italy acc. fit]]*NOT(ISBLANK(Tabella34[[#This Row],[rest of Italy data]]))</f>
        <v>-69.986315203211291</v>
      </c>
      <c r="BU125" s="95">
        <f>Tabella34[[#This Row],[rest of Italy acc. fit]]+CIa</f>
        <v>5268.853119956806</v>
      </c>
      <c r="BV125" s="95">
        <f>MAX(Tabella34[[#This Row],[rest of Italy acc. fit]]-CIa,0)</f>
        <v>0</v>
      </c>
    </row>
    <row r="126" spans="2:74" x14ac:dyDescent="0.3">
      <c r="B126" s="281">
        <v>43949</v>
      </c>
      <c r="C126" s="4">
        <v>119</v>
      </c>
      <c r="D126" s="10">
        <f>Tabella8[[#This Row],[Spain cum. Cases]]</f>
        <v>232128</v>
      </c>
      <c r="E126" s="90">
        <f>(Tabella34[[#This Row],[Spain cumul. Cases]]-D125)</f>
        <v>2706</v>
      </c>
      <c r="F126" s="90">
        <f>Tabella34[[#This Row],[Spain daily cases]]-E125</f>
        <v>-87</v>
      </c>
      <c r="G126" s="95">
        <f>Tabella34[[#This Row],[Spain daily cases]]*NOT(ISBLANK(Tabella34[[#This Row],[Spain daily cases]]))</f>
        <v>2706</v>
      </c>
      <c r="H126" s="157">
        <f>Tabella8[[#This Row],[Spain cum. fit]]</f>
        <v>236148.49209247582</v>
      </c>
      <c r="I126" s="157" t="e">
        <f>_xlfn.LOGNORM.INV(alpha*Tabella34[[#This Row],[Spain cumul. Fit]]/Kt,mu_t,sigma_t)-(Tabella34[[#This Row],[Day]]-pt)</f>
        <v>#NUM!</v>
      </c>
      <c r="J126" s="157" t="e">
        <f>Tabella34[[#This Row],[Spain fitted d.t.]]/Spain_dt_at_lockdown</f>
        <v>#NUM!</v>
      </c>
      <c r="K126" s="95">
        <f>Tabella34[[#This Row],[Spain cumul. Fit]]/Kf</f>
        <v>0.84338778571199646</v>
      </c>
      <c r="L126" s="160"/>
      <c r="M126" s="95"/>
      <c r="N126" s="157">
        <f>IFERROR(Kt*_xlfn.LOGNORM.DIST((Tabella34[[#This Row],[Day]]-pt),mu_t,sigma_t,FALSE),0)</f>
        <v>2952.6425535153221</v>
      </c>
      <c r="O126" s="157" t="e">
        <f>Kt*EXP(-0.5*Tabella34[[#This Row],[x_t]]^2)/(sigma_t*SQRTPI(2)*(Tabella34[[#This Row],[Day]]-D_bk))</f>
        <v>#NAME?</v>
      </c>
      <c r="P126" s="199">
        <f>Tabella34[[#This Row],[Spain fitted velocity]]/Tabella34[[#This Row],[Spain cumul. Fit]]</f>
        <v>1.25033301180643E-2</v>
      </c>
      <c r="Q126" s="262">
        <f>(LN(Tabella34[[#This Row],[Day]]-pt)-mu_t)/sigma_t</f>
        <v>1.0084792826795494</v>
      </c>
      <c r="R126" s="262">
        <f>EXP(mu_t+sigma_t*Tabella34[[#This Row],[x_t_alpha©+plus]])-(Tabella34[[#This Row],[Day]]-pt)</f>
        <v>11.137631186013266</v>
      </c>
      <c r="S126" s="262">
        <f>EXP(mu_t+sigma_t*Tabella34[[#This Row],[x_t_alpha©-minus]])-(Tabella34[[#This Row],[Day]]-pt)</f>
        <v>-47.002090812818693</v>
      </c>
      <c r="T126" s="262">
        <f>-sigma_t+SQRT(sigma_t^2-2*Tabella34[[#This Row],[c_t]])</f>
        <v>1.4683846795768187</v>
      </c>
      <c r="U126" s="262">
        <f>-sigma_t-SQRT(sigma_t^2-2*Tabella34[[#This Row],[c_t]])</f>
        <v>-2.0058240294199861</v>
      </c>
      <c r="V126" s="262">
        <f>mu_t-LN(alpha*Kt/(Tabella34[[#This Row],[Spain fitted velocity]]*sigma_t*SQRTPI(2)))</f>
        <v>-1.472660637363675</v>
      </c>
      <c r="W126" s="262">
        <f>Tabella34[[#This Row],[Spain fitted g.r.]]/Spain_gr_at_lockdown</f>
        <v>6.0339869134688889E-2</v>
      </c>
      <c r="X126" s="262">
        <f>Tabella34[[#This Row],[t_alpha_t+plus]]</f>
        <v>11.137631186013266</v>
      </c>
      <c r="Y126" s="262">
        <f>Tabella34[[#This Row],[Spain fitted h.t.]]/Spain_ht_at_lockdown</f>
        <v>0.18092150932605933</v>
      </c>
      <c r="Z126" s="90">
        <f>IFERROR(-Kf*_xlfn.LOGNORM.DIST((Tabella34[[#This Row],[Day]]-pf),mu_f,sigma_f,FALSE)*(1+(LN((Tabella34[[#This Row],[Day]]-pf))-mu_f)/sigma_f^2)/(Tabella34[[#This Row],[Day]]-pf),0)</f>
        <v>-165.75159952240267</v>
      </c>
      <c r="AA126" s="90">
        <f>Tabella34[[#This Row],[Spain acc. fit]]/Spain_acc_at_lockdown</f>
        <v>-0.56482665693526579</v>
      </c>
      <c r="AB126" s="95">
        <f>Tabella34[[#This Row],[Spain acc. fit]]/y_f_peak</f>
        <v>-2.483294354324684E-2</v>
      </c>
      <c r="AC126" s="157">
        <f>Tabella34[[#This Row],[Colonna4]]*NOT(ISBLANK(Tabella34[[#This Row],[Spain daily cases]]))</f>
        <v>0</v>
      </c>
      <c r="AD126" s="157">
        <f>Tabella34[[#This Row],[Spain acc. fit]]*NOT(ISBLANK(Tabella34[[#This Row],[Spain daily cases]]))</f>
        <v>-165.75159952240267</v>
      </c>
      <c r="AE126" s="95">
        <f>Tabella34[[#This Row],[Spain acc. fit]]+CIf</f>
        <v>2176.9368181586901</v>
      </c>
      <c r="AF126" s="95">
        <f>MAX(Tabella34[[#This Row],[Spain acc. fit]]-CIf,0)</f>
        <v>0</v>
      </c>
      <c r="AG126" s="4">
        <f>Tabella8[[#This Row],[Lombardy]]</f>
        <v>0</v>
      </c>
      <c r="AH126" s="90">
        <f>(Tabella34[[#This Row],[Lombardy cumul. Data]]-AG125)</f>
        <v>0</v>
      </c>
      <c r="AI126" s="90">
        <f>Tabella34[[#This Row],[Lombardy data]]-AH125</f>
        <v>0</v>
      </c>
      <c r="AJ126" s="95">
        <f>Tabella34[[#This Row],[Lombardy data]]*NOT(ISBLANK(Tabella34[[#This Row],[Lombardy data]]))</f>
        <v>0</v>
      </c>
      <c r="AK126" s="95">
        <f>Tabella8[[#This Row],[Lombardy fit]]</f>
        <v>74166.8993147609</v>
      </c>
      <c r="AL126" s="157" t="e">
        <f>_xlfn.LOGNORM.INV(alpha*Tabella34[[#This Row],[Lombardy cumul. Fit]]/Kr,mu_r,sigma_r)-(Tabella34[[#This Row],[Day]]-pr)</f>
        <v>#NUM!</v>
      </c>
      <c r="AM126" s="95">
        <f>Tabella34[[#This Row],[Lombardy cumul. Fit]]/Kl</f>
        <v>0.8524930955719644</v>
      </c>
      <c r="AN126" s="95">
        <f>IFERROR(Kr*_xlfn.LOGNORM.DIST((Tabella34[[#This Row],[Day]]-pr),mu_r,sigma_r,FALSE),0)</f>
        <v>671.26961759335336</v>
      </c>
      <c r="AO126" s="202">
        <f>Tabella34[[#This Row],[Lombardy velocity]]/Tabella34[[#This Row],[Lombardy cumul. Fit]]</f>
        <v>9.0507979138310206E-3</v>
      </c>
      <c r="AP126" s="259">
        <f>(LN(Tabella34[[#This Row],[Day]]-pr)-mu_r)/sigma_r</f>
        <v>1.0471859829049994</v>
      </c>
      <c r="AQ126" s="262">
        <f>EXP(mu_r+sigma_r*Tabella34[[#This Row],[x_r_alpha©+plus]])-(Tabella34[[#This Row],[Day]]-pr)</f>
        <v>13.91387556518508</v>
      </c>
      <c r="AR126" s="262">
        <f>EXP(mu_r+sigma_r*Tabella34[[#This Row],[x_r_alpha©-minus]])-(Tabella34[[#This Row],[Day]]-pr)</f>
        <v>-58.321457725498661</v>
      </c>
      <c r="AS126" s="262">
        <f>-sigma_r+SQRT(sigma_r^2-2*Tabella34[[#This Row],[c_r]])</f>
        <v>1.479398237030181</v>
      </c>
      <c r="AT126" s="262">
        <f>-sigma_r-SQRT(sigma_r^2-2*Tabella34[[#This Row],[c_r]])</f>
        <v>-2.1602528342239102</v>
      </c>
      <c r="AU126" s="262">
        <f>mu_r-LN(alpha*Kr/(Tabella34[[#This Row],[Lombardy velocity]]*sigma_r*SQRTPI(2)))</f>
        <v>-1.5979371172451522</v>
      </c>
      <c r="AV126" s="262">
        <f>Tabella34[[#This Row],[t_alpha_r+plus]]</f>
        <v>13.91387556518508</v>
      </c>
      <c r="AW126" s="90">
        <f>IFERROR(-Kl*_xlfn.LOGNORM.DIST((Tabella34[[#This Row],[Day]]-pl),mu_l,sigma_l,FALSE)*(1+(LN((Tabella34[[#This Row],[Day]]-pl))-mu_l)/sigma_l^2)/(Tabella34[[#This Row],[Day]]-pl),0)</f>
        <v>-31.171409930109657</v>
      </c>
      <c r="AX126" s="95">
        <f>Tabella34[[#This Row],[Lombardy acc. fit]]/y_l_peak</f>
        <v>-1.7731636640568992E-2</v>
      </c>
      <c r="AY126" s="157">
        <f>Tabella34[[#This Row],[Lombardy acc. fit]]*NOT(ISBLANK(Tabella34[[#This Row],[Lombardy data]]))</f>
        <v>-31.171409930109657</v>
      </c>
      <c r="AZ126" s="95">
        <f>Tabella34[[#This Row],[Lombardy acc. fit]]+CIl</f>
        <v>2539.2109129862988</v>
      </c>
      <c r="BA126" s="95">
        <f>MAX(Tabella34[[#This Row],[Lombardy acc. fit]]-CIl,0)</f>
        <v>0</v>
      </c>
      <c r="BB126" s="10">
        <f>Tabella8[[#This Row],[rest of Italy ]]</f>
        <v>232128</v>
      </c>
      <c r="BC126" s="10">
        <f>(Tabella34[[#This Row],[rest of Italy cum. Data]]-BB125)</f>
        <v>2706</v>
      </c>
      <c r="BD126" s="10">
        <f>Tabella34[[#This Row],[rest of Italy data]]-BC125</f>
        <v>-87</v>
      </c>
      <c r="BE126" s="95">
        <f>Tabella34[[#This Row],[rest of Italy data]]*NOT(ISBLANK(Tabella34[[#This Row],[rest of Italy data]]))</f>
        <v>2706</v>
      </c>
      <c r="BF126" s="95">
        <f>Tabella8[[#This Row],[rest of Italy fit]]</f>
        <v>127636.22235321964</v>
      </c>
      <c r="BG126" s="157" t="e">
        <f>_xlfn.LOGNORM.INV(alpha*Tabella34[[#This Row],[rest of Italy cumul. Fit]]/Ko,mu_o,sigma_o)-(Tabella34[[#This Row],[Day]]-po)</f>
        <v>#NUM!</v>
      </c>
      <c r="BH126" s="95">
        <f>Tabella34[[#This Row],[rest of Italy cumul. Fit]]/Ka</f>
        <v>0.86240700818612259</v>
      </c>
      <c r="BI126" s="157">
        <f>IFERROR(Ko*_xlfn.LOGNORM.DIST((Tabella34[[#This Row],[Day]]-po),mu_o,sigma_o,FALSE),0)</f>
        <v>1245.8101444502865</v>
      </c>
      <c r="BJ126" s="199">
        <f>Tabella34[[#This Row],[rest of Italy velocity]]/Tabella34[[#This Row],[rest of Italy cumul. Fit]]</f>
        <v>9.7606315940833768E-3</v>
      </c>
      <c r="BK126" s="254">
        <f>(LN(Tabella34[[#This Row],[Day]]-po)-mu_o)/sigma_o</f>
        <v>1.0911975093037907</v>
      </c>
      <c r="BL126" s="262">
        <f>EXP(mu_o+sigma_o*Tabella34[[#This Row],[x_o_alpha©+plus]])-(Tabella34[[#This Row],[Day]]-po)</f>
        <v>11.940081158256007</v>
      </c>
      <c r="BM126" s="262">
        <f>EXP(mu_o+sigma_o*Tabella34[[#This Row],[x_o_alpha©-minus]])-(Tabella34[[#This Row],[Day]]-po)</f>
        <v>-52.706916216631704</v>
      </c>
      <c r="BN126" s="262">
        <f>-sigma_o+SQRT(sigma_o^2-2*Tabella34[[#This Row],[c_o]])</f>
        <v>1.5175269763526091</v>
      </c>
      <c r="BO126" s="262">
        <f>-sigma_o-SQRT(sigma_o^2-2*Tabella34[[#This Row],[c_o]])</f>
        <v>-2.1604997536516355</v>
      </c>
      <c r="BP126" s="262">
        <f>mu_o-LN(alpha*Ko/(Tabella34[[#This Row],[rest of Italy velocity]]*sigma_o*SQRTPI(2)))</f>
        <v>-1.6393083292847619</v>
      </c>
      <c r="BQ126" s="262">
        <f>Tabella34[[#This Row],[t_alpha_o+plus]]</f>
        <v>11.940081158256007</v>
      </c>
      <c r="BR126" s="90">
        <f>IFERROR(-Ka*_xlfn.LOGNORM.DIST((Tabella34[[#This Row],[Day]]-pa),mu_a,sigma_a,FALSE)*(1+(LN((Tabella34[[#This Row],[Day]]-pa))-mu_a)/sigma_a^2)/(Tabella34[[#This Row],[Day]]-pa),0)</f>
        <v>-67.349878526905727</v>
      </c>
      <c r="BS126" s="95">
        <f>Tabella34[[#This Row],[rest of Italy acc. fit]]/y_a_peak</f>
        <v>-1.9931017064356744E-2</v>
      </c>
      <c r="BT126" s="95">
        <f>Tabella34[[#This Row],[rest of Italy acc. fit]]*NOT(ISBLANK(Tabella34[[#This Row],[rest of Italy data]]))</f>
        <v>-67.349878526905727</v>
      </c>
      <c r="BU126" s="95">
        <f>Tabella34[[#This Row],[rest of Italy acc. fit]]+CIa</f>
        <v>5271.4895566331115</v>
      </c>
      <c r="BV126" s="95">
        <f>MAX(Tabella34[[#This Row],[rest of Italy acc. fit]]-CIa,0)</f>
        <v>0</v>
      </c>
    </row>
    <row r="127" spans="2:74" x14ac:dyDescent="0.3">
      <c r="B127" s="281">
        <v>43950</v>
      </c>
      <c r="C127" s="4">
        <v>120</v>
      </c>
      <c r="E127" s="10"/>
      <c r="F127" s="10"/>
      <c r="G127" s="95">
        <f>Tabella34[[#This Row],[Spain daily cases]]*NOT(ISBLANK(Tabella34[[#This Row],[Spain daily cases]]))</f>
        <v>0</v>
      </c>
      <c r="H127" s="157">
        <f>Tabella8[[#This Row],[Spain cum. fit]]</f>
        <v>239019.19568622627</v>
      </c>
      <c r="I127" s="157" t="e">
        <f>_xlfn.LOGNORM.INV(alpha*Tabella34[[#This Row],[Spain cumul. Fit]]/Kt,mu_t,sigma_t)-(Tabella34[[#This Row],[Day]]-pt)</f>
        <v>#NUM!</v>
      </c>
      <c r="J127" s="157" t="e">
        <f>Tabella34[[#This Row],[Spain fitted d.t.]]/Spain_dt_at_lockdown</f>
        <v>#NUM!</v>
      </c>
      <c r="K127" s="95">
        <f>Tabella34[[#This Row],[Spain cumul. Fit]]/Kf</f>
        <v>0.85364030236334376</v>
      </c>
      <c r="L127" s="160"/>
      <c r="M127" s="95"/>
      <c r="N127" s="157">
        <f>IFERROR(Kt*_xlfn.LOGNORM.DIST((Tabella34[[#This Row],[Day]]-pt),mu_t,sigma_t,FALSE),0)</f>
        <v>2789.7113634011248</v>
      </c>
      <c r="O127" s="157" t="e">
        <f>Kt*EXP(-0.5*Tabella34[[#This Row],[x_t]]^2)/(sigma_t*SQRTPI(2)*(Tabella34[[#This Row],[Day]]-D_bk))</f>
        <v>#NAME?</v>
      </c>
      <c r="P127" s="199">
        <f>Tabella34[[#This Row],[Spain fitted velocity]]/Tabella34[[#This Row],[Spain cumul. Fit]]</f>
        <v>1.1671495067129811E-2</v>
      </c>
      <c r="Q127" s="262">
        <f>(LN(Tabella34[[#This Row],[Day]]-pt)-mu_t)/sigma_t</f>
        <v>1.0521747208401746</v>
      </c>
      <c r="R127" s="262">
        <f>EXP(mu_t+sigma_t*Tabella34[[#This Row],[x_t_alpha©+plus]])-(Tabella34[[#This Row],[Day]]-pt)</f>
        <v>10.974739047171653</v>
      </c>
      <c r="S127" s="262">
        <f>EXP(mu_t+sigma_t*Tabella34[[#This Row],[x_t_alpha©-minus]])-(Tabella34[[#This Row],[Day]]-pt)</f>
        <v>-48.328341138362333</v>
      </c>
      <c r="T127" s="262">
        <f>-sigma_t+SQRT(sigma_t^2-2*Tabella34[[#This Row],[c_t]])</f>
        <v>1.5007594478359327</v>
      </c>
      <c r="U127" s="262">
        <f>-sigma_t-SQRT(sigma_t^2-2*Tabella34[[#This Row],[c_t]])</f>
        <v>-2.0381987976791001</v>
      </c>
      <c r="V127" s="262">
        <f>mu_t-LN(alpha*Kt/(Tabella34[[#This Row],[Spain fitted velocity]]*sigma_t*SQRTPI(2)))</f>
        <v>-1.5294230510923743</v>
      </c>
      <c r="W127" s="262">
        <f>Tabella34[[#This Row],[Spain fitted g.r.]]/Spain_gr_at_lockdown</f>
        <v>5.6325513147837208E-2</v>
      </c>
      <c r="X127" s="262">
        <f>Tabella34[[#This Row],[t_alpha_t+plus]]</f>
        <v>10.974739047171653</v>
      </c>
      <c r="Y127" s="262">
        <f>Tabella34[[#This Row],[Spain fitted h.t.]]/Spain_ht_at_lockdown</f>
        <v>0.17827546268253389</v>
      </c>
      <c r="Z127" s="90">
        <f>IFERROR(-Kf*_xlfn.LOGNORM.DIST((Tabella34[[#This Row],[Day]]-pf),mu_f,sigma_f,FALSE)*(1+(LN((Tabella34[[#This Row],[Day]]-pf))-mu_f)/sigma_f^2)/(Tabella34[[#This Row],[Day]]-pf),0)</f>
        <v>-160.07232679480458</v>
      </c>
      <c r="AA127" s="90">
        <f>Tabella34[[#This Row],[Spain acc. fit]]/Spain_acc_at_lockdown</f>
        <v>-0.54547357293610177</v>
      </c>
      <c r="AB127" s="95">
        <f>Tabella34[[#This Row],[Spain acc. fit]]/y_f_peak</f>
        <v>-2.3982073570241947E-2</v>
      </c>
      <c r="AC127" s="157">
        <f>Tabella34[[#This Row],[Colonna4]]*NOT(ISBLANK(Tabella34[[#This Row],[Spain daily cases]]))</f>
        <v>0</v>
      </c>
      <c r="AD127" s="157">
        <f>Tabella34[[#This Row],[Spain acc. fit]]*NOT(ISBLANK(Tabella34[[#This Row],[Spain daily cases]]))</f>
        <v>0</v>
      </c>
      <c r="AE127" s="95">
        <f>Tabella34[[#This Row],[Spain acc. fit]]+CIf</f>
        <v>2182.616090886288</v>
      </c>
      <c r="AF127" s="95">
        <f>MAX(Tabella34[[#This Row],[Spain acc. fit]]-CIf,0)</f>
        <v>0</v>
      </c>
      <c r="AH127" s="10"/>
      <c r="AI127" s="10"/>
      <c r="AJ127" s="95">
        <f>Tabella34[[#This Row],[Lombardy data]]*NOT(ISBLANK(Tabella34[[#This Row],[Lombardy data]]))</f>
        <v>0</v>
      </c>
      <c r="AK127" s="95">
        <f>Tabella8[[#This Row],[Lombardy fit]]</f>
        <v>74822.758559943803</v>
      </c>
      <c r="AL127" s="157" t="e">
        <f>_xlfn.LOGNORM.INV(alpha*Tabella34[[#This Row],[Lombardy cumul. Fit]]/Kr,mu_r,sigma_r)-(Tabella34[[#This Row],[Day]]-pr)</f>
        <v>#NUM!</v>
      </c>
      <c r="AM127" s="95">
        <f>Tabella34[[#This Row],[Lombardy cumul. Fit]]/Kl</f>
        <v>0.86003170758556091</v>
      </c>
      <c r="AN127" s="95">
        <f>IFERROR(Kr*_xlfn.LOGNORM.DIST((Tabella34[[#This Row],[Day]]-pr),mu_r,sigma_r,FALSE),0)</f>
        <v>640.62435326623688</v>
      </c>
      <c r="AO127" s="202">
        <f>Tabella34[[#This Row],[Lombardy velocity]]/Tabella34[[#This Row],[Lombardy cumul. Fit]]</f>
        <v>8.5618916703399071E-3</v>
      </c>
      <c r="AP127" s="259">
        <f>(LN(Tabella34[[#This Row],[Day]]-pr)-mu_r)/sigma_r</f>
        <v>1.0804618086669848</v>
      </c>
      <c r="AQ127" s="262">
        <f>EXP(mu_r+sigma_r*Tabella34[[#This Row],[x_r_alpha©+plus]])-(Tabella34[[#This Row],[Day]]-pr)</f>
        <v>13.800435178739519</v>
      </c>
      <c r="AR127" s="262">
        <f>EXP(mu_r+sigma_r*Tabella34[[#This Row],[x_r_alpha©-minus]])-(Tabella34[[#This Row],[Day]]-pr)</f>
        <v>-59.576041882010891</v>
      </c>
      <c r="AS127" s="262">
        <f>-sigma_r+SQRT(sigma_r^2-2*Tabella34[[#This Row],[c_r]])</f>
        <v>1.5048965798214882</v>
      </c>
      <c r="AT127" s="262">
        <f>-sigma_r-SQRT(sigma_r^2-2*Tabella34[[#This Row],[c_r]])</f>
        <v>-2.1857511770152174</v>
      </c>
      <c r="AU127" s="262">
        <f>mu_r-LN(alpha*Kr/(Tabella34[[#This Row],[Lombardy velocity]]*sigma_r*SQRTPI(2)))</f>
        <v>-1.6446647353154962</v>
      </c>
      <c r="AV127" s="262">
        <f>Tabella34[[#This Row],[t_alpha_r+plus]]</f>
        <v>13.800435178739519</v>
      </c>
      <c r="AW127" s="90">
        <f>IFERROR(-Kl*_xlfn.LOGNORM.DIST((Tabella34[[#This Row],[Day]]-pl),mu_l,sigma_l,FALSE)*(1+(LN((Tabella34[[#This Row],[Day]]-pl))-mu_l)/sigma_l^2)/(Tabella34[[#This Row],[Day]]-pl),0)</f>
        <v>-30.118611673543604</v>
      </c>
      <c r="AX127" s="95">
        <f>Tabella34[[#This Row],[Lombardy acc. fit]]/y_l_peak</f>
        <v>-1.7132759779268539E-2</v>
      </c>
      <c r="AY127" s="157">
        <f>Tabella34[[#This Row],[Lombardy acc. fit]]*NOT(ISBLANK(Tabella34[[#This Row],[Lombardy data]]))</f>
        <v>0</v>
      </c>
      <c r="AZ127" s="95">
        <f>Tabella34[[#This Row],[Lombardy acc. fit]]+CIl</f>
        <v>2540.2637112428652</v>
      </c>
      <c r="BA127" s="95">
        <f>MAX(Tabella34[[#This Row],[Lombardy acc. fit]]-CIl,0)</f>
        <v>0</v>
      </c>
      <c r="BC127" s="10"/>
      <c r="BD127" s="10"/>
      <c r="BE127" s="95">
        <f>Tabella34[[#This Row],[rest of Italy data]]*NOT(ISBLANK(Tabella34[[#This Row],[rest of Italy data]]))</f>
        <v>0</v>
      </c>
      <c r="BF127" s="95">
        <f>Tabella8[[#This Row],[rest of Italy fit]]</f>
        <v>128848.7987632664</v>
      </c>
      <c r="BG127" s="157" t="e">
        <f>_xlfn.LOGNORM.INV(alpha*Tabella34[[#This Row],[rest of Italy cumul. Fit]]/Ko,mu_o,sigma_o)-(Tabella34[[#This Row],[Day]]-po)</f>
        <v>#NUM!</v>
      </c>
      <c r="BH127" s="95">
        <f>Tabella34[[#This Row],[rest of Italy cumul. Fit]]/Ka</f>
        <v>0.87060009299155927</v>
      </c>
      <c r="BI127" s="157">
        <f>IFERROR(Ko*_xlfn.LOGNORM.DIST((Tabella34[[#This Row],[Day]]-po),mu_o,sigma_o,FALSE),0)</f>
        <v>1179.7840923022191</v>
      </c>
      <c r="BJ127" s="199">
        <f>Tabella34[[#This Row],[rest of Italy velocity]]/Tabella34[[#This Row],[rest of Italy cumul. Fit]]</f>
        <v>9.1563452948430941E-3</v>
      </c>
      <c r="BK127" s="254">
        <f>(LN(Tabella34[[#This Row],[Day]]-po)-mu_o)/sigma_o</f>
        <v>1.1292323886348115</v>
      </c>
      <c r="BL127" s="262">
        <f>EXP(mu_o+sigma_o*Tabella34[[#This Row],[x_o_alpha©+plus]])-(Tabella34[[#This Row],[Day]]-po)</f>
        <v>11.824648919903211</v>
      </c>
      <c r="BM127" s="262">
        <f>EXP(mu_o+sigma_o*Tabella34[[#This Row],[x_o_alpha©-minus]])-(Tabella34[[#This Row],[Day]]-po)</f>
        <v>-53.9755152168104</v>
      </c>
      <c r="BN127" s="262">
        <f>-sigma_o+SQRT(sigma_o^2-2*Tabella34[[#This Row],[c_o]])</f>
        <v>1.5469031135381912</v>
      </c>
      <c r="BO127" s="262">
        <f>-sigma_o-SQRT(sigma_o^2-2*Tabella34[[#This Row],[c_o]])</f>
        <v>-2.1898758908372176</v>
      </c>
      <c r="BP127" s="262">
        <f>mu_o-LN(alpha*Ko/(Tabella34[[#This Row],[rest of Italy velocity]]*sigma_o*SQRTPI(2)))</f>
        <v>-1.6937629168991561</v>
      </c>
      <c r="BQ127" s="262">
        <f>Tabella34[[#This Row],[t_alpha_o+plus]]</f>
        <v>11.824648919903211</v>
      </c>
      <c r="BR127" s="90">
        <f>IFERROR(-Ka*_xlfn.LOGNORM.DIST((Tabella34[[#This Row],[Day]]-pa),mu_a,sigma_a,FALSE)*(1+(LN((Tabella34[[#This Row],[Day]]-pa))-mu_a)/sigma_a^2)/(Tabella34[[#This Row],[Day]]-pa),0)</f>
        <v>-64.701642585725679</v>
      </c>
      <c r="BS127" s="95">
        <f>Tabella34[[#This Row],[rest of Italy acc. fit]]/y_a_peak</f>
        <v>-1.9147318015619537E-2</v>
      </c>
      <c r="BT127" s="95">
        <f>Tabella34[[#This Row],[rest of Italy acc. fit]]*NOT(ISBLANK(Tabella34[[#This Row],[rest of Italy data]]))</f>
        <v>0</v>
      </c>
      <c r="BU127" s="205"/>
      <c r="BV127" s="137"/>
    </row>
    <row r="128" spans="2:74" x14ac:dyDescent="0.3">
      <c r="B128" s="281">
        <v>43951</v>
      </c>
      <c r="C128" s="4">
        <v>121</v>
      </c>
      <c r="E128" s="10"/>
      <c r="F128" s="10"/>
      <c r="G128" s="95">
        <f>Tabella34[[#This Row],[Spain daily cases]]*NOT(ISBLANK(Tabella34[[#This Row],[Spain daily cases]]))</f>
        <v>0</v>
      </c>
      <c r="H128" s="157">
        <f>Tabella8[[#This Row],[Spain cum. fit]]</f>
        <v>241729.84349012436</v>
      </c>
      <c r="I128" s="157" t="e">
        <f>_xlfn.LOGNORM.INV(alpha*Tabella34[[#This Row],[Spain cumul. Fit]]/Kt,mu_t,sigma_t)-(Tabella34[[#This Row],[Day]]-pt)</f>
        <v>#NUM!</v>
      </c>
      <c r="J128" s="157" t="e">
        <f>Tabella34[[#This Row],[Spain fitted d.t.]]/Spain_dt_at_lockdown</f>
        <v>#NUM!</v>
      </c>
      <c r="K128" s="95">
        <f>Tabella34[[#This Row],[Spain cumul. Fit]]/Kf</f>
        <v>0.8633211909809998</v>
      </c>
      <c r="L128" s="160"/>
      <c r="M128" s="95"/>
      <c r="N128" s="157">
        <f>IFERROR(Kt*_xlfn.LOGNORM.DIST((Tabella34[[#This Row],[Day]]-pt),mu_t,sigma_t,FALSE),0)</f>
        <v>2632.5640822113255</v>
      </c>
      <c r="O128" s="157" t="e">
        <f>Kt*EXP(-0.5*Tabella34[[#This Row],[x_t]]^2)/(sigma_t*SQRTPI(2)*(Tabella34[[#This Row],[Day]]-D_bk))</f>
        <v>#NAME?</v>
      </c>
      <c r="P128" s="199">
        <f>Tabella34[[#This Row],[Spain fitted velocity]]/Tabella34[[#This Row],[Spain cumul. Fit]]</f>
        <v>1.0890521601313478E-2</v>
      </c>
      <c r="Q128" s="262">
        <f>(LN(Tabella34[[#This Row],[Day]]-pt)-mu_t)/sigma_t</f>
        <v>1.0953630435605433</v>
      </c>
      <c r="R128" s="262">
        <f>EXP(mu_t+sigma_t*Tabella34[[#This Row],[x_t_alpha©+plus]])-(Tabella34[[#This Row],[Day]]-pt)</f>
        <v>10.821622491470478</v>
      </c>
      <c r="S128" s="262">
        <f>EXP(mu_t+sigma_t*Tabella34[[#This Row],[x_t_alpha©-minus]])-(Tabella34[[#This Row],[Day]]-pt)</f>
        <v>-49.65269996164848</v>
      </c>
      <c r="T128" s="262">
        <f>-sigma_t+SQRT(sigma_t^2-2*Tabella34[[#This Row],[c_t]])</f>
        <v>1.5332281667157595</v>
      </c>
      <c r="U128" s="262">
        <f>-sigma_t-SQRT(sigma_t^2-2*Tabella34[[#This Row],[c_t]])</f>
        <v>-2.0706675165589266</v>
      </c>
      <c r="V128" s="262">
        <f>mu_t-LN(alpha*Kt/(Tabella34[[#This Row],[Spain fitted velocity]]*sigma_t*SQRTPI(2)))</f>
        <v>-1.5874028801457589</v>
      </c>
      <c r="W128" s="262">
        <f>Tabella34[[#This Row],[Spain fitted g.r.]]/Spain_gr_at_lockdown</f>
        <v>5.2556610281156969E-2</v>
      </c>
      <c r="X128" s="262">
        <f>Tabella34[[#This Row],[t_alpha_t+plus]]</f>
        <v>10.821622491470478</v>
      </c>
      <c r="Y128" s="262">
        <f>Tabella34[[#This Row],[Spain fitted h.t.]]/Spain_ht_at_lockdown</f>
        <v>0.17578821221628999</v>
      </c>
      <c r="Z128" s="90">
        <f>IFERROR(-Kf*_xlfn.LOGNORM.DIST((Tabella34[[#This Row],[Day]]-pf),mu_f,sigma_f,FALSE)*(1+(LN((Tabella34[[#This Row],[Day]]-pf))-mu_f)/sigma_f^2)/(Tabella34[[#This Row],[Day]]-pf),0)</f>
        <v>-154.19430014414286</v>
      </c>
      <c r="AA128" s="90">
        <f>Tabella34[[#This Row],[Spain acc. fit]]/Spain_acc_at_lockdown</f>
        <v>-0.52544320127129662</v>
      </c>
      <c r="AB128" s="95">
        <f>Tabella34[[#This Row],[Spain acc. fit]]/y_f_peak</f>
        <v>-2.3101426237835034E-2</v>
      </c>
      <c r="AC128" s="157">
        <f>Tabella34[[#This Row],[Colonna4]]*NOT(ISBLANK(Tabella34[[#This Row],[Spain daily cases]]))</f>
        <v>0</v>
      </c>
      <c r="AD128" s="157">
        <f>Tabella34[[#This Row],[Spain acc. fit]]*NOT(ISBLANK(Tabella34[[#This Row],[Spain daily cases]]))</f>
        <v>0</v>
      </c>
      <c r="AE128" s="95">
        <f>Tabella34[[#This Row],[Spain acc. fit]]+CIf</f>
        <v>2188.4941175369499</v>
      </c>
      <c r="AF128" s="95">
        <f>MAX(Tabella34[[#This Row],[Spain acc. fit]]-CIf,0)</f>
        <v>0</v>
      </c>
      <c r="AH128" s="10"/>
      <c r="AI128" s="10"/>
      <c r="AJ128" s="95">
        <f>Tabella34[[#This Row],[Lombardy data]]*NOT(ISBLANK(Tabella34[[#This Row],[Lombardy data]]))</f>
        <v>0</v>
      </c>
      <c r="AK128" s="95">
        <f>Tabella8[[#This Row],[Lombardy fit]]</f>
        <v>75448.499241512851</v>
      </c>
      <c r="AL128" s="157" t="e">
        <f>_xlfn.LOGNORM.INV(alpha*Tabella34[[#This Row],[Lombardy cumul. Fit]]/Kr,mu_r,sigma_r)-(Tabella34[[#This Row],[Day]]-pr)</f>
        <v>#NUM!</v>
      </c>
      <c r="AM128" s="95">
        <f>Tabella34[[#This Row],[Lombardy cumul. Fit]]/Kl</f>
        <v>0.86722412921279135</v>
      </c>
      <c r="AN128" s="95">
        <f>IFERROR(Kr*_xlfn.LOGNORM.DIST((Tabella34[[#This Row],[Day]]-pr),mu_r,sigma_r,FALSE),0)</f>
        <v>611.03258957880848</v>
      </c>
      <c r="AO128" s="202">
        <f>Tabella34[[#This Row],[Lombardy velocity]]/Tabella34[[#This Row],[Lombardy cumul. Fit]]</f>
        <v>8.0986712223774706E-3</v>
      </c>
      <c r="AP128" s="259">
        <f>(LN(Tabella34[[#This Row],[Day]]-pr)-mu_r)/sigma_r</f>
        <v>1.1133649042385139</v>
      </c>
      <c r="AQ128" s="262">
        <f>EXP(mu_r+sigma_r*Tabella34[[#This Row],[x_r_alpha©+plus]])-(Tabella34[[#This Row],[Day]]-pr)</f>
        <v>13.693126752196051</v>
      </c>
      <c r="AR128" s="262">
        <f>EXP(mu_r+sigma_r*Tabella34[[#This Row],[x_r_alpha©-minus]])-(Tabella34[[#This Row],[Day]]-pr)</f>
        <v>-60.827978866998151</v>
      </c>
      <c r="AS128" s="262">
        <f>-sigma_r+SQRT(sigma_r^2-2*Tabella34[[#This Row],[c_r]])</f>
        <v>1.5303495801743137</v>
      </c>
      <c r="AT128" s="262">
        <f>-sigma_r-SQRT(sigma_r^2-2*Tabella34[[#This Row],[c_r]])</f>
        <v>-2.2112041773680429</v>
      </c>
      <c r="AU128" s="262">
        <f>mu_r-LN(alpha*Kr/(Tabella34[[#This Row],[Lombardy velocity]]*sigma_r*SQRTPI(2)))</f>
        <v>-1.6919576922574366</v>
      </c>
      <c r="AV128" s="262">
        <f>Tabella34[[#This Row],[t_alpha_r+plus]]</f>
        <v>13.693126752196051</v>
      </c>
      <c r="AW128" s="90">
        <f>IFERROR(-Kl*_xlfn.LOGNORM.DIST((Tabella34[[#This Row],[Day]]-pl),mu_l,sigma_l,FALSE)*(1+(LN((Tabella34[[#This Row],[Day]]-pl))-mu_l)/sigma_l^2)/(Tabella34[[#This Row],[Day]]-pl),0)</f>
        <v>-29.065208857820355</v>
      </c>
      <c r="AX128" s="95">
        <f>Tabella34[[#This Row],[Lombardy acc. fit]]/y_l_peak</f>
        <v>-1.6533539018756371E-2</v>
      </c>
      <c r="AY128" s="157">
        <f>Tabella34[[#This Row],[Lombardy acc. fit]]*NOT(ISBLANK(Tabella34[[#This Row],[Lombardy data]]))</f>
        <v>0</v>
      </c>
      <c r="AZ128" s="95">
        <f>Tabella34[[#This Row],[Lombardy acc. fit]]+CIl</f>
        <v>2541.3171140585882</v>
      </c>
      <c r="BA128" s="95">
        <f>MAX(Tabella34[[#This Row],[Lombardy acc. fit]]-CIl,0)</f>
        <v>0</v>
      </c>
      <c r="BC128" s="10"/>
      <c r="BD128" s="10"/>
      <c r="BE128" s="95">
        <f>Tabella34[[#This Row],[rest of Italy data]]*NOT(ISBLANK(Tabella34[[#This Row],[rest of Italy data]]))</f>
        <v>0</v>
      </c>
      <c r="BF128" s="95">
        <f>Tabella8[[#This Row],[rest of Italy fit]]</f>
        <v>129996.67318453532</v>
      </c>
      <c r="BG128" s="157" t="e">
        <f>_xlfn.LOGNORM.INV(alpha*Tabella34[[#This Row],[rest of Italy cumul. Fit]]/Ko,mu_o,sigma_o)-(Tabella34[[#This Row],[Day]]-po)</f>
        <v>#NUM!</v>
      </c>
      <c r="BH128" s="95">
        <f>Tabella34[[#This Row],[rest of Italy cumul. Fit]]/Ka</f>
        <v>0.87835600214625331</v>
      </c>
      <c r="BI128" s="157">
        <f>IFERROR(Ko*_xlfn.LOGNORM.DIST((Tabella34[[#This Row],[Day]]-po),mu_o,sigma_o,FALSE),0)</f>
        <v>1116.4054854142355</v>
      </c>
      <c r="BJ128" s="199">
        <f>Tabella34[[#This Row],[rest of Italy velocity]]/Tabella34[[#This Row],[rest of Italy cumul. Fit]]</f>
        <v>8.5879542765640981E-3</v>
      </c>
      <c r="BK128" s="254">
        <f>(LN(Tabella34[[#This Row],[Day]]-po)-mu_o)/sigma_o</f>
        <v>1.1668078015836429</v>
      </c>
      <c r="BL128" s="262">
        <f>EXP(mu_o+sigma_o*Tabella34[[#This Row],[x_o_alpha©+plus]])-(Tabella34[[#This Row],[Day]]-po)</f>
        <v>11.715997064634237</v>
      </c>
      <c r="BM128" s="262">
        <f>EXP(mu_o+sigma_o*Tabella34[[#This Row],[x_o_alpha©-minus]])-(Tabella34[[#This Row],[Day]]-po)</f>
        <v>-55.241113366284821</v>
      </c>
      <c r="BN128" s="262">
        <f>-sigma_o+SQRT(sigma_o^2-2*Tabella34[[#This Row],[c_o]])</f>
        <v>1.5762264341457737</v>
      </c>
      <c r="BO128" s="262">
        <f>-sigma_o-SQRT(sigma_o^2-2*Tabella34[[#This Row],[c_o]])</f>
        <v>-2.2191992114447996</v>
      </c>
      <c r="BP128" s="262">
        <f>mu_o-LN(alpha*Ko/(Tabella34[[#This Row],[rest of Italy velocity]]*sigma_o*SQRTPI(2)))</f>
        <v>-1.7489802298573744</v>
      </c>
      <c r="BQ128" s="262">
        <f>Tabella34[[#This Row],[t_alpha_o+plus]]</f>
        <v>11.715997064634237</v>
      </c>
      <c r="BR128" s="90">
        <f>IFERROR(-Ka*_xlfn.LOGNORM.DIST((Tabella34[[#This Row],[Day]]-pa),mu_a,sigma_a,FALSE)*(1+(LN((Tabella34[[#This Row],[Day]]-pa))-mu_a)/sigma_a^2)/(Tabella34[[#This Row],[Day]]-pa),0)</f>
        <v>-62.057462815434455</v>
      </c>
      <c r="BS128" s="95">
        <f>Tabella34[[#This Row],[rest of Italy acc. fit]]/y_a_peak</f>
        <v>-1.8364819319621927E-2</v>
      </c>
      <c r="BT128" s="95">
        <f>Tabella34[[#This Row],[rest of Italy acc. fit]]*NOT(ISBLANK(Tabella34[[#This Row],[rest of Italy data]]))</f>
        <v>0</v>
      </c>
      <c r="BU128" s="205"/>
      <c r="BV128" s="137"/>
    </row>
    <row r="129" spans="2:74" x14ac:dyDescent="0.3">
      <c r="B129" s="281">
        <v>43952</v>
      </c>
      <c r="C129" s="4">
        <v>122</v>
      </c>
      <c r="E129" s="10"/>
      <c r="F129" s="10"/>
      <c r="G129" s="95">
        <f>Tabella34[[#This Row],[Spain daily cases]]*NOT(ISBLANK(Tabella34[[#This Row],[Spain daily cases]]))</f>
        <v>0</v>
      </c>
      <c r="H129" s="157">
        <f>Tabella8[[#This Row],[Spain cum. fit]]</f>
        <v>244286.30852881007</v>
      </c>
      <c r="I129" s="157" t="e">
        <f>_xlfn.LOGNORM.INV(alpha*Tabella34[[#This Row],[Spain cumul. Fit]]/Kt,mu_t,sigma_t)-(Tabella34[[#This Row],[Day]]-pt)</f>
        <v>#NUM!</v>
      </c>
      <c r="J129" s="157" t="e">
        <f>Tabella34[[#This Row],[Spain fitted d.t.]]/Spain_dt_at_lockdown</f>
        <v>#NUM!</v>
      </c>
      <c r="K129" s="95">
        <f>Tabella34[[#This Row],[Spain cumul. Fit]]/Kf</f>
        <v>0.87245142666077258</v>
      </c>
      <c r="L129" s="160"/>
      <c r="M129" s="95"/>
      <c r="N129" s="157">
        <f>IFERROR(Kt*_xlfn.LOGNORM.DIST((Tabella34[[#This Row],[Day]]-pt),mu_t,sigma_t,FALSE),0)</f>
        <v>2481.3689364615088</v>
      </c>
      <c r="O129" s="157" t="e">
        <f>Kt*EXP(-0.5*Tabella34[[#This Row],[x_t]]^2)/(sigma_t*SQRTPI(2)*(Tabella34[[#This Row],[Day]]-D_bk))</f>
        <v>#NAME?</v>
      </c>
      <c r="P129" s="199">
        <f>Tabella34[[#This Row],[Spain fitted velocity]]/Tabella34[[#This Row],[Spain cumul. Fit]]</f>
        <v>1.0157625907916435E-2</v>
      </c>
      <c r="Q129" s="262">
        <f>(LN(Tabella34[[#This Row],[Day]]-pt)-mu_t)/sigma_t</f>
        <v>1.1380558867697741</v>
      </c>
      <c r="R129" s="262">
        <f>EXP(mu_t+sigma_t*Tabella34[[#This Row],[x_t_alpha©+plus]])-(Tabella34[[#This Row],[Day]]-pt)</f>
        <v>10.677567593013165</v>
      </c>
      <c r="S129" s="262">
        <f>EXP(mu_t+sigma_t*Tabella34[[#This Row],[x_t_alpha©-minus]])-(Tabella34[[#This Row],[Day]]-pt)</f>
        <v>-50.974853062546686</v>
      </c>
      <c r="T129" s="262">
        <f>-sigma_t+SQRT(sigma_t^2-2*Tabella34[[#This Row],[c_t]])</f>
        <v>1.5657589545783421</v>
      </c>
      <c r="U129" s="262">
        <f>-sigma_t-SQRT(sigma_t^2-2*Tabella34[[#This Row],[c_t]])</f>
        <v>-2.1031983044215092</v>
      </c>
      <c r="V129" s="262">
        <f>mu_t-LN(alpha*Kt/(Tabella34[[#This Row],[Spain fitted velocity]]*sigma_t*SQRTPI(2)))</f>
        <v>-1.6465507892009823</v>
      </c>
      <c r="W129" s="262">
        <f>Tabella34[[#This Row],[Spain fitted g.r.]]/Spain_gr_at_lockdown</f>
        <v>4.9019726122186927E-2</v>
      </c>
      <c r="X129" s="262">
        <f>Tabella34[[#This Row],[t_alpha_t+plus]]</f>
        <v>10.677567593013165</v>
      </c>
      <c r="Y129" s="262">
        <f>Tabella34[[#This Row],[Spain fitted h.t.]]/Spain_ht_at_lockdown</f>
        <v>0.17344816079786637</v>
      </c>
      <c r="Z129" s="90">
        <f>IFERROR(-Kf*_xlfn.LOGNORM.DIST((Tabella34[[#This Row],[Day]]-pf),mu_f,sigma_f,FALSE)*(1+(LN((Tabella34[[#This Row],[Day]]-pf))-mu_f)/sigma_f^2)/(Tabella34[[#This Row],[Day]]-pf),0)</f>
        <v>-148.17755174360428</v>
      </c>
      <c r="AA129" s="90">
        <f>Tabella34[[#This Row],[Spain acc. fit]]/Spain_acc_at_lockdown</f>
        <v>-0.50494011174160869</v>
      </c>
      <c r="AB129" s="95">
        <f>Tabella34[[#This Row],[Spain acc. fit]]/y_f_peak</f>
        <v>-2.2199995580302823E-2</v>
      </c>
      <c r="AC129" s="157">
        <f>Tabella34[[#This Row],[Colonna4]]*NOT(ISBLANK(Tabella34[[#This Row],[Spain daily cases]]))</f>
        <v>0</v>
      </c>
      <c r="AD129" s="157">
        <f>Tabella34[[#This Row],[Spain acc. fit]]*NOT(ISBLANK(Tabella34[[#This Row],[Spain daily cases]]))</f>
        <v>0</v>
      </c>
      <c r="AE129" s="95">
        <f>Tabella34[[#This Row],[Spain acc. fit]]+CIf</f>
        <v>2194.5108659374882</v>
      </c>
      <c r="AF129" s="95">
        <f>MAX(Tabella34[[#This Row],[Spain acc. fit]]-CIf,0)</f>
        <v>0</v>
      </c>
      <c r="AH129" s="10"/>
      <c r="AI129" s="10"/>
      <c r="AJ129" s="95">
        <f>Tabella34[[#This Row],[Lombardy data]]*NOT(ISBLANK(Tabella34[[#This Row],[Lombardy data]]))</f>
        <v>0</v>
      </c>
      <c r="AK129" s="95">
        <f>Tabella8[[#This Row],[Lombardy fit]]</f>
        <v>76045.1743849841</v>
      </c>
      <c r="AL129" s="157" t="e">
        <f>_xlfn.LOGNORM.INV(alpha*Tabella34[[#This Row],[Lombardy cumul. Fit]]/Kr,mu_r,sigma_r)-(Tabella34[[#This Row],[Day]]-pr)</f>
        <v>#NUM!</v>
      </c>
      <c r="AM129" s="95">
        <f>Tabella34[[#This Row],[Lombardy cumul. Fit]]/Kl</f>
        <v>0.87408246419521951</v>
      </c>
      <c r="AN129" s="95">
        <f>IFERROR(Kr*_xlfn.LOGNORM.DIST((Tabella34[[#This Row],[Day]]-pr),mu_r,sigma_r,FALSE),0)</f>
        <v>582.49262148530897</v>
      </c>
      <c r="AO129" s="202">
        <f>Tabella34[[#This Row],[Lombardy velocity]]/Tabella34[[#This Row],[Lombardy cumul. Fit]]</f>
        <v>7.6598236008559688E-3</v>
      </c>
      <c r="AP129" s="259">
        <f>(LN(Tabella34[[#This Row],[Day]]-pr)-mu_r)/sigma_r</f>
        <v>1.1459035272824514</v>
      </c>
      <c r="AQ129" s="262">
        <f>EXP(mu_r+sigma_r*Tabella34[[#This Row],[x_r_alpha©+plus]])-(Tabella34[[#This Row],[Day]]-pr)</f>
        <v>13.591581426473411</v>
      </c>
      <c r="AR129" s="262">
        <f>EXP(mu_r+sigma_r*Tabella34[[#This Row],[x_r_alpha©-minus]])-(Tabella34[[#This Row],[Day]]-pr)</f>
        <v>-62.077190767510785</v>
      </c>
      <c r="AS129" s="262">
        <f>-sigma_r+SQRT(sigma_r^2-2*Tabella34[[#This Row],[c_r]])</f>
        <v>1.5557461336289382</v>
      </c>
      <c r="AT129" s="262">
        <f>-sigma_r-SQRT(sigma_r^2-2*Tabella34[[#This Row],[c_r]])</f>
        <v>-2.2366007308226674</v>
      </c>
      <c r="AU129" s="262">
        <f>mu_r-LN(alpha*Kr/(Tabella34[[#This Row],[Lombardy velocity]]*sigma_r*SQRTPI(2)))</f>
        <v>-1.7397914697245112</v>
      </c>
      <c r="AV129" s="262">
        <f>Tabella34[[#This Row],[t_alpha_r+plus]]</f>
        <v>13.591581426473411</v>
      </c>
      <c r="AW129" s="90">
        <f>IFERROR(-Kl*_xlfn.LOGNORM.DIST((Tabella34[[#This Row],[Day]]-pl),mu_l,sigma_l,FALSE)*(1+(LN((Tabella34[[#This Row],[Day]]-pl))-mu_l)/sigma_l^2)/(Tabella34[[#This Row],[Day]]-pl),0)</f>
        <v>-28.015730870524134</v>
      </c>
      <c r="AX129" s="95">
        <f>Tabella34[[#This Row],[Lombardy acc. fit]]/y_l_peak</f>
        <v>-1.5936550869207283E-2</v>
      </c>
      <c r="AY129" s="157">
        <f>Tabella34[[#This Row],[Lombardy acc. fit]]*NOT(ISBLANK(Tabella34[[#This Row],[Lombardy data]]))</f>
        <v>0</v>
      </c>
      <c r="AZ129" s="95">
        <f>Tabella34[[#This Row],[Lombardy acc. fit]]+CIl</f>
        <v>2542.3665920458843</v>
      </c>
      <c r="BA129" s="95">
        <f>MAX(Tabella34[[#This Row],[Lombardy acc. fit]]-CIl,0)</f>
        <v>0</v>
      </c>
      <c r="BC129" s="10"/>
      <c r="BD129" s="10"/>
      <c r="BE129" s="95">
        <f>Tabella34[[#This Row],[rest of Italy data]]*NOT(ISBLANK(Tabella34[[#This Row],[rest of Italy data]]))</f>
        <v>0</v>
      </c>
      <c r="BF129" s="95">
        <f>Tabella8[[#This Row],[rest of Italy fit]]</f>
        <v>131082.48863962723</v>
      </c>
      <c r="BG129" s="157" t="e">
        <f>_xlfn.LOGNORM.INV(alpha*Tabella34[[#This Row],[rest of Italy cumul. Fit]]/Ko,mu_o,sigma_o)-(Tabella34[[#This Row],[Day]]-po)</f>
        <v>#NUM!</v>
      </c>
      <c r="BH129" s="95">
        <f>Tabella34[[#This Row],[rest of Italy cumul. Fit]]/Ka</f>
        <v>0.88569259391310018</v>
      </c>
      <c r="BI129" s="157">
        <f>IFERROR(Ko*_xlfn.LOGNORM.DIST((Tabella34[[#This Row],[Day]]-po),mu_o,sigma_o,FALSE),0)</f>
        <v>1055.6631633557765</v>
      </c>
      <c r="BJ129" s="199">
        <f>Tabella34[[#This Row],[rest of Italy velocity]]/Tabella34[[#This Row],[rest of Italy cumul. Fit]]</f>
        <v>8.053426314311227E-3</v>
      </c>
      <c r="BK129" s="254">
        <f>(LN(Tabella34[[#This Row],[Day]]-po)-mu_o)/sigma_o</f>
        <v>1.2039347166111698</v>
      </c>
      <c r="BL129" s="262">
        <f>EXP(mu_o+sigma_o*Tabella34[[#This Row],[x_o_alpha©+plus]])-(Tabella34[[#This Row],[Day]]-po)</f>
        <v>11.613672776385826</v>
      </c>
      <c r="BM129" s="262">
        <f>EXP(mu_o+sigma_o*Tabella34[[#This Row],[x_o_alpha©-minus]])-(Tabella34[[#This Row],[Day]]-po)</f>
        <v>-56.503606835347952</v>
      </c>
      <c r="BN129" s="262">
        <f>-sigma_o+SQRT(sigma_o^2-2*Tabella34[[#This Row],[c_o]])</f>
        <v>1.6054811537586655</v>
      </c>
      <c r="BO129" s="262">
        <f>-sigma_o-SQRT(sigma_o^2-2*Tabella34[[#This Row],[c_o]])</f>
        <v>-2.2484539310576914</v>
      </c>
      <c r="BP129" s="262">
        <f>mu_o-LN(alpha*Ko/(Tabella34[[#This Row],[rest of Italy velocity]]*sigma_o*SQRTPI(2)))</f>
        <v>-1.8049252057038547</v>
      </c>
      <c r="BQ129" s="262">
        <f>Tabella34[[#This Row],[t_alpha_o+plus]]</f>
        <v>11.613672776385826</v>
      </c>
      <c r="BR129" s="90">
        <f>IFERROR(-Ka*_xlfn.LOGNORM.DIST((Tabella34[[#This Row],[Day]]-pa),mu_a,sigma_a,FALSE)*(1+(LN((Tabella34[[#This Row],[Day]]-pa))-mu_a)/sigma_a^2)/(Tabella34[[#This Row],[Day]]-pa),0)</f>
        <v>-59.431232206881305</v>
      </c>
      <c r="BS129" s="95">
        <f>Tabella34[[#This Row],[rest of Italy acc. fit]]/y_a_peak</f>
        <v>-1.7587632363700423E-2</v>
      </c>
      <c r="BT129" s="95">
        <f>Tabella34[[#This Row],[rest of Italy acc. fit]]*NOT(ISBLANK(Tabella34[[#This Row],[rest of Italy data]]))</f>
        <v>0</v>
      </c>
      <c r="BU129" s="205"/>
      <c r="BV129" s="137"/>
    </row>
    <row r="130" spans="2:74" x14ac:dyDescent="0.3">
      <c r="B130" s="281">
        <v>43953</v>
      </c>
      <c r="C130" s="4">
        <v>123</v>
      </c>
      <c r="E130" s="10"/>
      <c r="F130" s="10"/>
      <c r="G130" s="95">
        <f>Tabella34[[#This Row],[Spain daily cases]]*NOT(ISBLANK(Tabella34[[#This Row],[Spain daily cases]]))</f>
        <v>0</v>
      </c>
      <c r="H130" s="157">
        <f>Tabella8[[#This Row],[Spain cum. fit]]</f>
        <v>246694.60305259068</v>
      </c>
      <c r="I130" s="157" t="e">
        <f>_xlfn.LOGNORM.INV(alpha*Tabella34[[#This Row],[Spain cumul. Fit]]/Kt,mu_t,sigma_t)-(Tabella34[[#This Row],[Day]]-pt)</f>
        <v>#NUM!</v>
      </c>
      <c r="J130" s="157" t="e">
        <f>Tabella34[[#This Row],[Spain fitted d.t.]]/Spain_dt_at_lockdown</f>
        <v>#NUM!</v>
      </c>
      <c r="K130" s="95">
        <f>Tabella34[[#This Row],[Spain cumul. Fit]]/Kf</f>
        <v>0.88105248173318129</v>
      </c>
      <c r="L130" s="160"/>
      <c r="M130" s="95"/>
      <c r="N130" s="157">
        <f>IFERROR(Kt*_xlfn.LOGNORM.DIST((Tabella34[[#This Row],[Day]]-pt),mu_t,sigma_t,FALSE),0)</f>
        <v>2336.2371584737839</v>
      </c>
      <c r="O130" s="157" t="e">
        <f>Kt*EXP(-0.5*Tabella34[[#This Row],[x_t]]^2)/(sigma_t*SQRTPI(2)*(Tabella34[[#This Row],[Day]]-D_bk))</f>
        <v>#NAME?</v>
      </c>
      <c r="P130" s="199">
        <f>Tabella34[[#This Row],[Spain fitted velocity]]/Tabella34[[#This Row],[Spain cumul. Fit]]</f>
        <v>9.4701591748066801E-3</v>
      </c>
      <c r="Q130" s="262">
        <f>(LN(Tabella34[[#This Row],[Day]]-pt)-mu_t)/sigma_t</f>
        <v>1.1802644904499822</v>
      </c>
      <c r="R130" s="262">
        <f>EXP(mu_t+sigma_t*Tabella34[[#This Row],[x_t_alpha©+plus]])-(Tabella34[[#This Row],[Day]]-pt)</f>
        <v>10.541922511527105</v>
      </c>
      <c r="S130" s="262">
        <f>EXP(mu_t+sigma_t*Tabella34[[#This Row],[x_t_alpha©-minus]])-(Tabella34[[#This Row],[Day]]-pt)</f>
        <v>-52.294530278747864</v>
      </c>
      <c r="T130" s="262">
        <f>-sigma_t+SQRT(sigma_t^2-2*Tabella34[[#This Row],[c_t]])</f>
        <v>1.5983233006463125</v>
      </c>
      <c r="U130" s="262">
        <f>-sigma_t-SQRT(sigma_t^2-2*Tabella34[[#This Row],[c_t]])</f>
        <v>-2.1357626504894798</v>
      </c>
      <c r="V130" s="262">
        <f>mu_t-LN(alpha*Kt/(Tabella34[[#This Row],[Spain fitted velocity]]*sigma_t*SQRTPI(2)))</f>
        <v>-1.7068196044637309</v>
      </c>
      <c r="W130" s="262">
        <f>Tabella34[[#This Row],[Spain fitted g.r.]]/Spain_gr_at_lockdown</f>
        <v>4.5702077758223179E-2</v>
      </c>
      <c r="X130" s="262">
        <f>Tabella34[[#This Row],[t_alpha_t+plus]]</f>
        <v>10.541922511527105</v>
      </c>
      <c r="Y130" s="262">
        <f>Tabella34[[#This Row],[Spain fitted h.t.]]/Spain_ht_at_lockdown</f>
        <v>0.17124471982686948</v>
      </c>
      <c r="Z130" s="90">
        <f>IFERROR(-Kf*_xlfn.LOGNORM.DIST((Tabella34[[#This Row],[Day]]-pf),mu_f,sigma_f,FALSE)*(1+(LN((Tabella34[[#This Row],[Day]]-pf))-mu_f)/sigma_f^2)/(Tabella34[[#This Row],[Day]]-pf),0)</f>
        <v>-142.07606973906297</v>
      </c>
      <c r="AA130" s="90">
        <f>Tabella34[[#This Row],[Spain acc. fit]]/Spain_acc_at_lockdown</f>
        <v>-0.48414827810075162</v>
      </c>
      <c r="AB130" s="95">
        <f>Tabella34[[#This Row],[Spain acc. fit]]/y_f_peak</f>
        <v>-2.1285870114331484E-2</v>
      </c>
      <c r="AC130" s="157">
        <f>Tabella34[[#This Row],[Colonna4]]*NOT(ISBLANK(Tabella34[[#This Row],[Spain daily cases]]))</f>
        <v>0</v>
      </c>
      <c r="AD130" s="157">
        <f>Tabella34[[#This Row],[Spain acc. fit]]*NOT(ISBLANK(Tabella34[[#This Row],[Spain daily cases]]))</f>
        <v>0</v>
      </c>
      <c r="AE130" s="95">
        <f>Tabella34[[#This Row],[Spain acc. fit]]+CIf</f>
        <v>2200.6123479420298</v>
      </c>
      <c r="AF130" s="95">
        <f>MAX(Tabella34[[#This Row],[Spain acc. fit]]-CIf,0)</f>
        <v>0</v>
      </c>
      <c r="AH130" s="10"/>
      <c r="AI130" s="10"/>
      <c r="AJ130" s="95">
        <f>Tabella34[[#This Row],[Lombardy data]]*NOT(ISBLANK(Tabella34[[#This Row],[Lombardy data]]))</f>
        <v>0</v>
      </c>
      <c r="AK130" s="95">
        <f>Tabella8[[#This Row],[Lombardy fit]]</f>
        <v>76613.833134465094</v>
      </c>
      <c r="AL130" s="157" t="e">
        <f>_xlfn.LOGNORM.INV(alpha*Tabella34[[#This Row],[Lombardy cumul. Fit]]/Kr,mu_r,sigma_r)-(Tabella34[[#This Row],[Day]]-pr)</f>
        <v>#NUM!</v>
      </c>
      <c r="AM130" s="95">
        <f>Tabella34[[#This Row],[Lombardy cumul. Fit]]/Kl</f>
        <v>0.88061877166051827</v>
      </c>
      <c r="AN130" s="95">
        <f>IFERROR(Kr*_xlfn.LOGNORM.DIST((Tabella34[[#This Row],[Day]]-pr),mu_r,sigma_r,FALSE),0)</f>
        <v>554.99847805544789</v>
      </c>
      <c r="AO130" s="202">
        <f>Tabella34[[#This Row],[Lombardy velocity]]/Tabella34[[#This Row],[Lombardy cumul. Fit]]</f>
        <v>7.2441027337891966E-3</v>
      </c>
      <c r="AP130" s="259">
        <f>(LN(Tabella34[[#This Row],[Day]]-pr)-mu_r)/sigma_r</f>
        <v>1.1780856640484496</v>
      </c>
      <c r="AQ130" s="262">
        <f>EXP(mu_r+sigma_r*Tabella34[[#This Row],[x_r_alpha©+plus]])-(Tabella34[[#This Row],[Day]]-pr)</f>
        <v>13.495457390627209</v>
      </c>
      <c r="AR130" s="262">
        <f>EXP(mu_r+sigma_r*Tabella34[[#This Row],[x_r_alpha©-minus]])-(Tabella34[[#This Row],[Day]]-pr)</f>
        <v>-63.323614039097741</v>
      </c>
      <c r="AS130" s="262">
        <f>-sigma_r+SQRT(sigma_r^2-2*Tabella34[[#This Row],[c_r]])</f>
        <v>1.5810762738280584</v>
      </c>
      <c r="AT130" s="262">
        <f>-sigma_r-SQRT(sigma_r^2-2*Tabella34[[#This Row],[c_r]])</f>
        <v>-2.2619308710217876</v>
      </c>
      <c r="AU130" s="262">
        <f>mu_r-LN(alpha*Kr/(Tabella34[[#This Row],[Lombardy velocity]]*sigma_r*SQRTPI(2)))</f>
        <v>-1.7881426166058914</v>
      </c>
      <c r="AV130" s="262">
        <f>Tabella34[[#This Row],[t_alpha_r+plus]]</f>
        <v>13.495457390627209</v>
      </c>
      <c r="AW130" s="90">
        <f>IFERROR(-Kl*_xlfn.LOGNORM.DIST((Tabella34[[#This Row],[Day]]-pl),mu_l,sigma_l,FALSE)*(1+(LN((Tabella34[[#This Row],[Day]]-pl))-mu_l)/sigma_l^2)/(Tabella34[[#This Row],[Day]]-pl),0)</f>
        <v>-26.974186049477773</v>
      </c>
      <c r="AX130" s="95">
        <f>Tabella34[[#This Row],[Lombardy acc. fit]]/y_l_peak</f>
        <v>-1.534407544531504E-2</v>
      </c>
      <c r="AY130" s="157">
        <f>Tabella34[[#This Row],[Lombardy acc. fit]]*NOT(ISBLANK(Tabella34[[#This Row],[Lombardy data]]))</f>
        <v>0</v>
      </c>
      <c r="AZ130" s="95">
        <f>Tabella34[[#This Row],[Lombardy acc. fit]]+CIl</f>
        <v>2543.4081368669308</v>
      </c>
      <c r="BA130" s="95">
        <f>MAX(Tabella34[[#This Row],[Lombardy acc. fit]]-CIl,0)</f>
        <v>0</v>
      </c>
      <c r="BC130" s="10"/>
      <c r="BD130" s="10"/>
      <c r="BE130" s="95">
        <f>Tabella34[[#This Row],[rest of Italy data]]*NOT(ISBLANK(Tabella34[[#This Row],[rest of Italy data]]))</f>
        <v>0</v>
      </c>
      <c r="BF130" s="95">
        <f>Tabella8[[#This Row],[rest of Italy fit]]</f>
        <v>132108.87035394527</v>
      </c>
      <c r="BG130" s="157" t="e">
        <f>_xlfn.LOGNORM.INV(alpha*Tabella34[[#This Row],[rest of Italy cumul. Fit]]/Ko,mu_o,sigma_o)-(Tabella34[[#This Row],[Day]]-po)</f>
        <v>#NUM!</v>
      </c>
      <c r="BH130" s="95">
        <f>Tabella34[[#This Row],[rest of Italy cumul. Fit]]/Ka</f>
        <v>0.89262760630364535</v>
      </c>
      <c r="BI130" s="157">
        <f>IFERROR(Ko*_xlfn.LOGNORM.DIST((Tabella34[[#This Row],[Day]]-po),mu_o,sigma_o,FALSE),0)</f>
        <v>997.53299609153396</v>
      </c>
      <c r="BJ130" s="199">
        <f>Tabella34[[#This Row],[rest of Italy velocity]]/Tabella34[[#This Row],[rest of Italy cumul. Fit]]</f>
        <v>7.5508404047279314E-3</v>
      </c>
      <c r="BK130" s="254">
        <f>(LN(Tabella34[[#This Row],[Day]]-po)-mu_o)/sigma_o</f>
        <v>1.2406237140450254</v>
      </c>
      <c r="BL130" s="262">
        <f>EXP(mu_o+sigma_o*Tabella34[[#This Row],[x_o_alpha©+plus]])-(Tabella34[[#This Row],[Day]]-po)</f>
        <v>11.517260072950521</v>
      </c>
      <c r="BM130" s="262">
        <f>EXP(mu_o+sigma_o*Tabella34[[#This Row],[x_o_alpha©-minus]])-(Tabella34[[#This Row],[Day]]-po)</f>
        <v>-57.762912261236984</v>
      </c>
      <c r="BN130" s="262">
        <f>-sigma_o+SQRT(sigma_o^2-2*Tabella34[[#This Row],[c_o]])</f>
        <v>1.6346532623110801</v>
      </c>
      <c r="BO130" s="262">
        <f>-sigma_o-SQRT(sigma_o^2-2*Tabella34[[#This Row],[c_o]])</f>
        <v>-2.277626039610106</v>
      </c>
      <c r="BP130" s="262">
        <f>mu_o-LN(alpha*Ko/(Tabella34[[#This Row],[rest of Italy velocity]]*sigma_o*SQRTPI(2)))</f>
        <v>-1.8615644179866626</v>
      </c>
      <c r="BQ130" s="262">
        <f>Tabella34[[#This Row],[t_alpha_o+plus]]</f>
        <v>11.517260072950521</v>
      </c>
      <c r="BR130" s="90">
        <f>IFERROR(-Ka*_xlfn.LOGNORM.DIST((Tabella34[[#This Row],[Day]]-pa),mu_a,sigma_a,FALSE)*(1+(LN((Tabella34[[#This Row],[Day]]-pa))-mu_a)/sigma_a^2)/(Tabella34[[#This Row],[Day]]-pa),0)</f>
        <v>-56.835020169700847</v>
      </c>
      <c r="BS130" s="95">
        <f>Tabella34[[#This Row],[rest of Italy acc. fit]]/y_a_peak</f>
        <v>-1.681932887826711E-2</v>
      </c>
      <c r="BT130" s="95">
        <f>Tabella34[[#This Row],[rest of Italy acc. fit]]*NOT(ISBLANK(Tabella34[[#This Row],[rest of Italy data]]))</f>
        <v>0</v>
      </c>
      <c r="BU130" s="205"/>
      <c r="BV130" s="137"/>
    </row>
    <row r="131" spans="2:74" x14ac:dyDescent="0.3">
      <c r="B131" s="281">
        <v>43954</v>
      </c>
      <c r="C131" s="4">
        <v>124</v>
      </c>
      <c r="E131" s="10"/>
      <c r="F131" s="10"/>
      <c r="G131" s="95">
        <f>Tabella34[[#This Row],[Spain daily cases]]*NOT(ISBLANK(Tabella34[[#This Row],[Spain daily cases]]))</f>
        <v>0</v>
      </c>
      <c r="H131" s="157">
        <f>Tabella8[[#This Row],[Spain cum. fit]]</f>
        <v>248960.82453100066</v>
      </c>
      <c r="I131" s="157" t="e">
        <f>_xlfn.LOGNORM.INV(alpha*Tabella34[[#This Row],[Spain cumul. Fit]]/Kt,mu_t,sigma_t)-(Tabella34[[#This Row],[Day]]-pt)</f>
        <v>#NUM!</v>
      </c>
      <c r="J131" s="157" t="e">
        <f>Tabella34[[#This Row],[Spain fitted d.t.]]/Spain_dt_at_lockdown</f>
        <v>#NUM!</v>
      </c>
      <c r="K131" s="95">
        <f>Tabella34[[#This Row],[Spain cumul. Fit]]/Kf</f>
        <v>0.88914613288324118</v>
      </c>
      <c r="L131" s="160"/>
      <c r="M131" s="95"/>
      <c r="N131" s="157">
        <f>IFERROR(Kt*_xlfn.LOGNORM.DIST((Tabella34[[#This Row],[Day]]-pt),mu_t,sigma_t,FALSE),0)</f>
        <v>2197.228925371332</v>
      </c>
      <c r="O131" s="157" t="e">
        <f>Kt*EXP(-0.5*Tabella34[[#This Row],[x_t]]^2)/(sigma_t*SQRTPI(2)*(Tabella34[[#This Row],[Day]]-D_bk))</f>
        <v>#NAME?</v>
      </c>
      <c r="P131" s="199">
        <f>Tabella34[[#This Row],[Spain fitted velocity]]/Tabella34[[#This Row],[Spain cumul. Fit]]</f>
        <v>8.825601094110019E-3</v>
      </c>
      <c r="Q131" s="262">
        <f>(LN(Tabella34[[#This Row],[Day]]-pt)-mu_t)/sigma_t</f>
        <v>1.2219997163993421</v>
      </c>
      <c r="R131" s="262">
        <f>EXP(mu_t+sigma_t*Tabella34[[#This Row],[x_t_alpha©+plus]])-(Tabella34[[#This Row],[Day]]-pt)</f>
        <v>10.414091548550601</v>
      </c>
      <c r="S131" s="262">
        <f>EXP(mu_t+sigma_t*Tabella34[[#This Row],[x_t_alpha©-minus]])-(Tabella34[[#This Row],[Day]]-pt)</f>
        <v>-53.611500566792529</v>
      </c>
      <c r="T131" s="262">
        <f>-sigma_t+SQRT(sigma_t^2-2*Tabella34[[#This Row],[c_t]])</f>
        <v>1.6308957242527127</v>
      </c>
      <c r="U131" s="262">
        <f>-sigma_t-SQRT(sigma_t^2-2*Tabella34[[#This Row],[c_t]])</f>
        <v>-2.16833507409588</v>
      </c>
      <c r="V131" s="262">
        <f>mu_t-LN(alpha*Kt/(Tabella34[[#This Row],[Spain fitted velocity]]*sigma_t*SQRTPI(2)))</f>
        <v>-1.7681642005450797</v>
      </c>
      <c r="W131" s="262">
        <f>Tabella34[[#This Row],[Spain fitted g.r.]]/Spain_gr_at_lockdown</f>
        <v>4.2591502425756156E-2</v>
      </c>
      <c r="X131" s="262">
        <f>Tabella34[[#This Row],[t_alpha_t+plus]]</f>
        <v>10.414091548550601</v>
      </c>
      <c r="Y131" s="262">
        <f>Tabella34[[#This Row],[Spain fitted h.t.]]/Spain_ht_at_lockdown</f>
        <v>0.16916821267969834</v>
      </c>
      <c r="Z131" s="90">
        <f>IFERROR(-Kf*_xlfn.LOGNORM.DIST((Tabella34[[#This Row],[Day]]-pf),mu_f,sigma_f,FALSE)*(1+(LN((Tabella34[[#This Row],[Day]]-pf))-mu_f)/sigma_f^2)/(Tabella34[[#This Row],[Day]]-pf),0)</f>
        <v>-135.93801709857951</v>
      </c>
      <c r="AA131" s="90">
        <f>Tabella34[[#This Row],[Spain acc. fit]]/Spain_acc_at_lockdown</f>
        <v>-0.46323182382214073</v>
      </c>
      <c r="AB131" s="95">
        <f>Tabella34[[#This Row],[Spain acc. fit]]/y_f_peak</f>
        <v>-2.0366265627099967E-2</v>
      </c>
      <c r="AC131" s="157">
        <f>Tabella34[[#This Row],[Colonna4]]*NOT(ISBLANK(Tabella34[[#This Row],[Spain daily cases]]))</f>
        <v>0</v>
      </c>
      <c r="AD131" s="157">
        <f>Tabella34[[#This Row],[Spain acc. fit]]*NOT(ISBLANK(Tabella34[[#This Row],[Spain daily cases]]))</f>
        <v>0</v>
      </c>
      <c r="AE131" s="95">
        <f>Tabella34[[#This Row],[Spain acc. fit]]+CIf</f>
        <v>2206.7504005825131</v>
      </c>
      <c r="AF131" s="95">
        <f>MAX(Tabella34[[#This Row],[Spain acc. fit]]-CIf,0)</f>
        <v>0</v>
      </c>
      <c r="AH131" s="10"/>
      <c r="AI131" s="10"/>
      <c r="AJ131" s="95">
        <f>Tabella34[[#This Row],[Lombardy data]]*NOT(ISBLANK(Tabella34[[#This Row],[Lombardy data]]))</f>
        <v>0</v>
      </c>
      <c r="AK131" s="95">
        <f>Tabella8[[#This Row],[Lombardy fit]]</f>
        <v>77155.516741352141</v>
      </c>
      <c r="AL131" s="157" t="e">
        <f>_xlfn.LOGNORM.INV(alpha*Tabella34[[#This Row],[Lombardy cumul. Fit]]/Kr,mu_r,sigma_r)-(Tabella34[[#This Row],[Day]]-pr)</f>
        <v>#NUM!</v>
      </c>
      <c r="AM131" s="95">
        <f>Tabella34[[#This Row],[Lombardy cumul. Fit]]/Kl</f>
        <v>0.88684502001554188</v>
      </c>
      <c r="AN131" s="95">
        <f>IFERROR(Kr*_xlfn.LOGNORM.DIST((Tabella34[[#This Row],[Day]]-pr),mu_r,sigma_r,FALSE),0)</f>
        <v>528.54042571051821</v>
      </c>
      <c r="AO131" s="202">
        <f>Tabella34[[#This Row],[Lombardy velocity]]/Tabella34[[#This Row],[Lombardy cumul. Fit]]</f>
        <v>6.8503257839920935E-3</v>
      </c>
      <c r="AP131" s="259">
        <f>(LN(Tabella34[[#This Row],[Day]]-pr)-mu_r)/sigma_r</f>
        <v>1.2099190411385885</v>
      </c>
      <c r="AQ131" s="262">
        <f>EXP(mu_r+sigma_r*Tabella34[[#This Row],[x_r_alpha©+plus]])-(Tabella34[[#This Row],[Day]]-pr)</f>
        <v>13.404437616866659</v>
      </c>
      <c r="AR131" s="262">
        <f>EXP(mu_r+sigma_r*Tabella34[[#This Row],[x_r_alpha©-minus]])-(Tabella34[[#This Row],[Day]]-pr)</f>
        <v>-64.567197923772781</v>
      </c>
      <c r="AS131" s="262">
        <f>-sigma_r+SQRT(sigma_r^2-2*Tabella34[[#This Row],[c_r]])</f>
        <v>1.6063310670589785</v>
      </c>
      <c r="AT131" s="262">
        <f>-sigma_r-SQRT(sigma_r^2-2*Tabella34[[#This Row],[c_r]])</f>
        <v>-2.287185664252708</v>
      </c>
      <c r="AU131" s="262">
        <f>mu_r-LN(alpha*Kr/(Tabella34[[#This Row],[Lombardy velocity]]*sigma_r*SQRTPI(2)))</f>
        <v>-1.8369886943105254</v>
      </c>
      <c r="AV131" s="262">
        <f>Tabella34[[#This Row],[t_alpha_r+plus]]</f>
        <v>13.404437616866659</v>
      </c>
      <c r="AW131" s="90">
        <f>IFERROR(-Kl*_xlfn.LOGNORM.DIST((Tabella34[[#This Row],[Day]]-pl),mu_l,sigma_l,FALSE)*(1+(LN((Tabella34[[#This Row],[Day]]-pl))-mu_l)/sigma_l^2)/(Tabella34[[#This Row],[Day]]-pl),0)</f>
        <v>-25.944097242721867</v>
      </c>
      <c r="AX131" s="95">
        <f>Tabella34[[#This Row],[Lombardy acc. fit]]/y_l_peak</f>
        <v>-1.4758116694335669E-2</v>
      </c>
      <c r="AY131" s="157">
        <f>Tabella34[[#This Row],[Lombardy acc. fit]]*NOT(ISBLANK(Tabella34[[#This Row],[Lombardy data]]))</f>
        <v>0</v>
      </c>
      <c r="AZ131" s="95">
        <f>Tabella34[[#This Row],[Lombardy acc. fit]]+CIl</f>
        <v>2544.4382256736867</v>
      </c>
      <c r="BA131" s="95">
        <f>MAX(Tabella34[[#This Row],[Lombardy acc. fit]]-CIl,0)</f>
        <v>0</v>
      </c>
      <c r="BC131" s="10"/>
      <c r="BD131" s="10"/>
      <c r="BE131" s="95">
        <f>Tabella34[[#This Row],[rest of Italy data]]*NOT(ISBLANK(Tabella34[[#This Row],[rest of Italy data]]))</f>
        <v>0</v>
      </c>
      <c r="BF131" s="95">
        <f>Tabella8[[#This Row],[rest of Italy fit]]</f>
        <v>133078.41367472205</v>
      </c>
      <c r="BG131" s="157" t="e">
        <f>_xlfn.LOGNORM.INV(alpha*Tabella34[[#This Row],[rest of Italy cumul. Fit]]/Ko,mu_o,sigma_o)-(Tabella34[[#This Row],[Day]]-po)</f>
        <v>#NUM!</v>
      </c>
      <c r="BH131" s="95">
        <f>Tabella34[[#This Row],[rest of Italy cumul. Fit]]/Ka</f>
        <v>0.89917857544988045</v>
      </c>
      <c r="BI131" s="157">
        <f>IFERROR(Ko*_xlfn.LOGNORM.DIST((Tabella34[[#This Row],[Day]]-po),mu_o,sigma_o,FALSE),0)</f>
        <v>941.97963812968112</v>
      </c>
      <c r="BJ131" s="199">
        <f>Tabella34[[#This Row],[rest of Italy velocity]]/Tabella34[[#This Row],[rest of Italy cumul. Fit]]</f>
        <v>7.0783804233804752E-3</v>
      </c>
      <c r="BK131" s="254">
        <f>(LN(Tabella34[[#This Row],[Day]]-po)-mu_o)/sigma_o</f>
        <v>1.2768850041791044</v>
      </c>
      <c r="BL131" s="262">
        <f>EXP(mu_o+sigma_o*Tabella34[[#This Row],[x_o_alpha©+plus]])-(Tabella34[[#This Row],[Day]]-po)</f>
        <v>11.426376388297001</v>
      </c>
      <c r="BM131" s="262">
        <f>EXP(mu_o+sigma_o*Tabella34[[#This Row],[x_o_alpha©-minus]])-(Tabella34[[#This Row],[Day]]-po)</f>
        <v>-59.018964278412469</v>
      </c>
      <c r="BN131" s="262">
        <f>-sigma_o+SQRT(sigma_o^2-2*Tabella34[[#This Row],[c_o]])</f>
        <v>1.6637303427258763</v>
      </c>
      <c r="BO131" s="262">
        <f>-sigma_o-SQRT(sigma_o^2-2*Tabella34[[#This Row],[c_o]])</f>
        <v>-2.3067031200249022</v>
      </c>
      <c r="BP131" s="262">
        <f>mu_o-LN(alpha*Ko/(Tabella34[[#This Row],[rest of Italy velocity]]*sigma_o*SQRTPI(2)))</f>
        <v>-1.9188659862229391</v>
      </c>
      <c r="BQ131" s="262">
        <f>Tabella34[[#This Row],[t_alpha_o+plus]]</f>
        <v>11.426376388297001</v>
      </c>
      <c r="BR131" s="90">
        <f>IFERROR(-Ka*_xlfn.LOGNORM.DIST((Tabella34[[#This Row],[Day]]-pa),mu_a,sigma_a,FALSE)*(1+(LN((Tabella34[[#This Row],[Day]]-pa))-mu_a)/sigma_a^2)/(Tabella34[[#This Row],[Day]]-pa),0)</f>
        <v>-54.279211195896906</v>
      </c>
      <c r="BS131" s="95">
        <f>Tabella34[[#This Row],[rest of Italy acc. fit]]/y_a_peak</f>
        <v>-1.6062981971868867E-2</v>
      </c>
      <c r="BT131" s="95">
        <f>Tabella34[[#This Row],[rest of Italy acc. fit]]*NOT(ISBLANK(Tabella34[[#This Row],[rest of Italy data]]))</f>
        <v>0</v>
      </c>
      <c r="BU131" s="205"/>
      <c r="BV131" s="137"/>
    </row>
    <row r="132" spans="2:74" x14ac:dyDescent="0.3">
      <c r="B132" s="281">
        <v>43955</v>
      </c>
      <c r="C132" s="4">
        <v>125</v>
      </c>
      <c r="E132" s="10"/>
      <c r="F132" s="10"/>
      <c r="G132" s="95">
        <f>Tabella34[[#This Row],[Spain daily cases]]*NOT(ISBLANK(Tabella34[[#This Row],[Spain daily cases]]))</f>
        <v>0</v>
      </c>
      <c r="H132" s="157">
        <f>Tabella8[[#This Row],[Spain cum. fit]]</f>
        <v>251091.10746769517</v>
      </c>
      <c r="I132" s="157" t="e">
        <f>_xlfn.LOGNORM.INV(alpha*Tabella34[[#This Row],[Spain cumul. Fit]]/Kt,mu_t,sigma_t)-(Tabella34[[#This Row],[Day]]-pt)</f>
        <v>#NUM!</v>
      </c>
      <c r="J132" s="157" t="e">
        <f>Tabella34[[#This Row],[Spain fitted d.t.]]/Spain_dt_at_lockdown</f>
        <v>#NUM!</v>
      </c>
      <c r="K132" s="95">
        <f>Tabella34[[#This Row],[Spain cumul. Fit]]/Kf</f>
        <v>0.89675428906073329</v>
      </c>
      <c r="L132" s="160"/>
      <c r="M132" s="95"/>
      <c r="N132" s="157">
        <f>IFERROR(Kt*_xlfn.LOGNORM.DIST((Tabella34[[#This Row],[Day]]-pt),mu_t,sigma_t,FALSE),0)</f>
        <v>2064.359055053093</v>
      </c>
      <c r="O132" s="157" t="e">
        <f>Kt*EXP(-0.5*Tabella34[[#This Row],[x_t]]^2)/(sigma_t*SQRTPI(2)*(Tabella34[[#This Row],[Day]]-D_bk))</f>
        <v>#NAME?</v>
      </c>
      <c r="P132" s="199">
        <f>Tabella34[[#This Row],[Spain fitted velocity]]/Tabella34[[#This Row],[Spain cumul. Fit]]</f>
        <v>8.2215538251138136E-3</v>
      </c>
      <c r="Q132" s="262">
        <f>(LN(Tabella34[[#This Row],[Day]]-pt)-mu_t)/sigma_t</f>
        <v>1.2632720650100844</v>
      </c>
      <c r="R132" s="262">
        <f>EXP(mu_t+sigma_t*Tabella34[[#This Row],[x_t_alpha©+plus]])-(Tabella34[[#This Row],[Day]]-pt)</f>
        <v>10.293529780126363</v>
      </c>
      <c r="S132" s="262">
        <f>EXP(mu_t+sigma_t*Tabella34[[#This Row],[x_t_alpha©-minus]])-(Tabella34[[#This Row],[Day]]-pt)</f>
        <v>-54.925567573137933</v>
      </c>
      <c r="T132" s="262">
        <f>-sigma_t+SQRT(sigma_t^2-2*Tabella34[[#This Row],[c_t]])</f>
        <v>1.6634534675112442</v>
      </c>
      <c r="U132" s="262">
        <f>-sigma_t-SQRT(sigma_t^2-2*Tabella34[[#This Row],[c_t]])</f>
        <v>-2.2008928173544113</v>
      </c>
      <c r="V132" s="262">
        <f>mu_t-LN(alpha*Kt/(Tabella34[[#This Row],[Spain fitted velocity]]*sigma_t*SQRTPI(2)))</f>
        <v>-1.8305413943243938</v>
      </c>
      <c r="W132" s="262">
        <f>Tabella34[[#This Row],[Spain fitted g.r.]]/Spain_gr_at_lockdown</f>
        <v>3.9676428376024517E-2</v>
      </c>
      <c r="X132" s="262">
        <f>Tabella34[[#This Row],[t_alpha_t+plus]]</f>
        <v>10.293529780126363</v>
      </c>
      <c r="Y132" s="262">
        <f>Tabella34[[#This Row],[Spain fitted h.t.]]/Spain_ht_at_lockdown</f>
        <v>0.16720978752213667</v>
      </c>
      <c r="Z132" s="90">
        <f>IFERROR(-Kf*_xlfn.LOGNORM.DIST((Tabella34[[#This Row],[Day]]-pf),mu_f,sigma_f,FALSE)*(1+(LN((Tabella34[[#This Row],[Day]]-pf))-mu_f)/sigma_f^2)/(Tabella34[[#This Row],[Day]]-pf),0)</f>
        <v>-129.805996674574</v>
      </c>
      <c r="AA132" s="90">
        <f>Tabella34[[#This Row],[Spain acc. fit]]/Spain_acc_at_lockdown</f>
        <v>-0.44233592534315397</v>
      </c>
      <c r="AB132" s="95">
        <f>Tabella34[[#This Row],[Spain acc. fit]]/y_f_peak</f>
        <v>-1.9447564887956969E-2</v>
      </c>
      <c r="AC132" s="157">
        <f>Tabella34[[#This Row],[Colonna4]]*NOT(ISBLANK(Tabella34[[#This Row],[Spain daily cases]]))</f>
        <v>0</v>
      </c>
      <c r="AD132" s="157">
        <f>Tabella34[[#This Row],[Spain acc. fit]]*NOT(ISBLANK(Tabella34[[#This Row],[Spain daily cases]]))</f>
        <v>0</v>
      </c>
      <c r="AE132" s="95">
        <f>Tabella34[[#This Row],[Spain acc. fit]]+CIf</f>
        <v>2212.8824210065186</v>
      </c>
      <c r="AF132" s="95">
        <f>MAX(Tabella34[[#This Row],[Spain acc. fit]]-CIf,0)</f>
        <v>0</v>
      </c>
      <c r="AH132" s="10"/>
      <c r="AI132" s="10"/>
      <c r="AJ132" s="95">
        <f>Tabella34[[#This Row],[Lombardy data]]*NOT(ISBLANK(Tabella34[[#This Row],[Lombardy data]]))</f>
        <v>0</v>
      </c>
      <c r="AK132" s="95">
        <f>Tabella8[[#This Row],[Lombardy fit]]</f>
        <v>77671.255038565258</v>
      </c>
      <c r="AL132" s="157" t="e">
        <f>_xlfn.LOGNORM.INV(alpha*Tabella34[[#This Row],[Lombardy cumul. Fit]]/Kr,mu_r,sigma_r)-(Tabella34[[#This Row],[Day]]-pr)</f>
        <v>#NUM!</v>
      </c>
      <c r="AM132" s="95">
        <f>Tabella34[[#This Row],[Lombardy cumul. Fit]]/Kl</f>
        <v>0.89277304642029032</v>
      </c>
      <c r="AN132" s="95">
        <f>IFERROR(Kr*_xlfn.LOGNORM.DIST((Tabella34[[#This Row],[Day]]-pr),mu_r,sigma_r,FALSE),0)</f>
        <v>503.10543615765926</v>
      </c>
      <c r="AO132" s="202">
        <f>Tabella34[[#This Row],[Lombardy velocity]]/Tabella34[[#This Row],[Lombardy cumul. Fit]]</f>
        <v>6.4773697284517652E-3</v>
      </c>
      <c r="AP132" s="259">
        <f>(LN(Tabella34[[#This Row],[Day]]-pr)-mu_r)/sigma_r</f>
        <v>1.2414111366423022</v>
      </c>
      <c r="AQ132" s="262">
        <f>EXP(mu_r+sigma_r*Tabella34[[#This Row],[x_r_alpha©+plus]])-(Tabella34[[#This Row],[Day]]-pr)</f>
        <v>13.318227800420431</v>
      </c>
      <c r="AR132" s="262">
        <f>EXP(mu_r+sigma_r*Tabella34[[#This Row],[x_r_alpha©-minus]])-(Tabella34[[#This Row],[Day]]-pr)</f>
        <v>-65.807903029161537</v>
      </c>
      <c r="AS132" s="262">
        <f>-sigma_r+SQRT(sigma_r^2-2*Tabella34[[#This Row],[c_r]])</f>
        <v>1.6315025166652772</v>
      </c>
      <c r="AT132" s="262">
        <f>-sigma_r-SQRT(sigma_r^2-2*Tabella34[[#This Row],[c_r]])</f>
        <v>-2.3123571138590062</v>
      </c>
      <c r="AU132" s="262">
        <f>mu_r-LN(alpha*Kr/(Tabella34[[#This Row],[Lombardy velocity]]*sigma_r*SQRTPI(2)))</f>
        <v>-1.886308225344913</v>
      </c>
      <c r="AV132" s="262">
        <f>Tabella34[[#This Row],[t_alpha_r+plus]]</f>
        <v>13.318227800420431</v>
      </c>
      <c r="AW132" s="90">
        <f>IFERROR(-Kl*_xlfn.LOGNORM.DIST((Tabella34[[#This Row],[Day]]-pl),mu_l,sigma_l,FALSE)*(1+(LN((Tabella34[[#This Row],[Day]]-pl))-mu_l)/sigma_l^2)/(Tabella34[[#This Row],[Day]]-pl),0)</f>
        <v>-24.928536798321485</v>
      </c>
      <c r="AX132" s="95">
        <f>Tabella34[[#This Row],[Lombardy acc. fit]]/y_l_peak</f>
        <v>-1.4180422299792156E-2</v>
      </c>
      <c r="AY132" s="157">
        <f>Tabella34[[#This Row],[Lombardy acc. fit]]*NOT(ISBLANK(Tabella34[[#This Row],[Lombardy data]]))</f>
        <v>0</v>
      </c>
      <c r="AZ132" s="95">
        <f>Tabella34[[#This Row],[Lombardy acc. fit]]+CIl</f>
        <v>2545.453786118087</v>
      </c>
      <c r="BA132" s="95">
        <f>MAX(Tabella34[[#This Row],[Lombardy acc. fit]]-CIl,0)</f>
        <v>0</v>
      </c>
      <c r="BC132" s="10"/>
      <c r="BD132" s="10"/>
      <c r="BE132" s="95">
        <f>Tabella34[[#This Row],[rest of Italy data]]*NOT(ISBLANK(Tabella34[[#This Row],[rest of Italy data]]))</f>
        <v>0</v>
      </c>
      <c r="BF132" s="95">
        <f>Tabella8[[#This Row],[rest of Italy fit]]</f>
        <v>133993.67367513973</v>
      </c>
      <c r="BG132" s="157" t="e">
        <f>_xlfn.LOGNORM.INV(alpha*Tabella34[[#This Row],[rest of Italy cumul. Fit]]/Ko,mu_o,sigma_o)-(Tabella34[[#This Row],[Day]]-po)</f>
        <v>#NUM!</v>
      </c>
      <c r="BH132" s="95">
        <f>Tabella34[[#This Row],[rest of Italy cumul. Fit]]/Ka</f>
        <v>0.90536276536180271</v>
      </c>
      <c r="BI132" s="157">
        <f>IFERROR(Ko*_xlfn.LOGNORM.DIST((Tabella34[[#This Row],[Day]]-po),mu_o,sigma_o,FALSE),0)</f>
        <v>888.95814490617602</v>
      </c>
      <c r="BJ132" s="199">
        <f>Tabella34[[#This Row],[rest of Italy velocity]]/Tabella34[[#This Row],[rest of Italy cumul. Fit]]</f>
        <v>6.6343292225975233E-3</v>
      </c>
      <c r="BK132" s="254">
        <f>(LN(Tabella34[[#This Row],[Day]]-po)-mu_o)/sigma_o</f>
        <v>1.3127284443302047</v>
      </c>
      <c r="BL132" s="262">
        <f>EXP(mu_o+sigma_o*Tabella34[[#This Row],[x_o_alpha©+plus]])-(Tabella34[[#This Row],[Day]]-po)</f>
        <v>11.340669497125546</v>
      </c>
      <c r="BM132" s="262">
        <f>EXP(mu_o+sigma_o*Tabella34[[#This Row],[x_o_alpha©-minus]])-(Tabella34[[#This Row],[Day]]-po)</f>
        <v>-60.271713325944852</v>
      </c>
      <c r="BN132" s="262">
        <f>-sigma_o+SQRT(sigma_o^2-2*Tabella34[[#This Row],[c_o]])</f>
        <v>1.6927014083174967</v>
      </c>
      <c r="BO132" s="262">
        <f>-sigma_o-SQRT(sigma_o^2-2*Tabella34[[#This Row],[c_o]])</f>
        <v>-2.3356741856165231</v>
      </c>
      <c r="BP132" s="262">
        <f>mu_o-LN(alpha*Ko/(Tabella34[[#This Row],[rest of Italy velocity]]*sigma_o*SQRTPI(2)))</f>
        <v>-1.9767994916819553</v>
      </c>
      <c r="BQ132" s="262">
        <f>Tabella34[[#This Row],[t_alpha_o+plus]]</f>
        <v>11.340669497125546</v>
      </c>
      <c r="BR132" s="90">
        <f>IFERROR(-Ka*_xlfn.LOGNORM.DIST((Tabella34[[#This Row],[Day]]-pa),mu_a,sigma_a,FALSE)*(1+(LN((Tabella34[[#This Row],[Day]]-pa))-mu_a)/sigma_a^2)/(Tabella34[[#This Row],[Day]]-pa),0)</f>
        <v>-51.772641444251839</v>
      </c>
      <c r="BS132" s="95">
        <f>Tabella34[[#This Row],[rest of Italy acc. fit]]/y_a_peak</f>
        <v>-1.5321206550951363E-2</v>
      </c>
      <c r="BT132" s="95">
        <f>Tabella34[[#This Row],[rest of Italy acc. fit]]*NOT(ISBLANK(Tabella34[[#This Row],[rest of Italy data]]))</f>
        <v>0</v>
      </c>
      <c r="BU132" s="205"/>
      <c r="BV132" s="137"/>
    </row>
    <row r="133" spans="2:74" x14ac:dyDescent="0.3">
      <c r="B133" s="281">
        <v>43956</v>
      </c>
      <c r="C133" s="4">
        <v>126</v>
      </c>
      <c r="E133" s="10"/>
      <c r="F133" s="10"/>
      <c r="G133" s="136">
        <f>Tabella34[[#This Row],[Spain daily cases]]*NOT(ISBLANK(Tabella34[[#This Row],[Spain daily cases]]))</f>
        <v>0</v>
      </c>
      <c r="H133" s="157">
        <f>Tabella8[[#This Row],[Spain cum. fit]]</f>
        <v>253091.58077261291</v>
      </c>
      <c r="I133" s="157" t="e">
        <f>_xlfn.LOGNORM.INV(alpha*Tabella34[[#This Row],[Spain cumul. Fit]]/Kt,mu_t,sigma_t)-(Tabella34[[#This Row],[Day]]-pt)</f>
        <v>#NUM!</v>
      </c>
      <c r="J133" s="157" t="e">
        <f>Tabella34[[#This Row],[Spain fitted d.t.]]/Spain_dt_at_lockdown</f>
        <v>#NUM!</v>
      </c>
      <c r="K133" s="95">
        <f>Tabella34[[#This Row],[Spain cumul. Fit]]/Kf</f>
        <v>0.90389883923787284</v>
      </c>
      <c r="L133" s="160"/>
      <c r="M133" s="95"/>
      <c r="N133" s="157">
        <f>IFERROR(Kt*_xlfn.LOGNORM.DIST((Tabella34[[#This Row],[Day]]-pt),mu_t,sigma_t,FALSE),0)</f>
        <v>1937.6024190554631</v>
      </c>
      <c r="O133" s="157" t="e">
        <f>Kt*EXP(-0.5*Tabella34[[#This Row],[x_t]]^2)/(sigma_t*SQRTPI(2)*(Tabella34[[#This Row],[Day]]-D_bk))</f>
        <v>#NAME?</v>
      </c>
      <c r="P133" s="199">
        <f>Tabella34[[#This Row],[Spain fitted velocity]]/Tabella34[[#This Row],[Spain cumul. Fit]]</f>
        <v>7.6557363668145039E-3</v>
      </c>
      <c r="Q133" s="262">
        <f>(LN(Tabella34[[#This Row],[Day]]-pt)-mu_t)/sigma_t</f>
        <v>1.3040916911262539</v>
      </c>
      <c r="R133" s="262">
        <f>EXP(mu_t+sigma_t*Tabella34[[#This Row],[x_t_alpha©+plus]])-(Tabella34[[#This Row],[Day]]-pt)</f>
        <v>10.179738217666014</v>
      </c>
      <c r="S133" s="262">
        <f>EXP(mu_t+sigma_t*Tabella34[[#This Row],[x_t_alpha©-minus]])-(Tabella34[[#This Row],[Day]]-pt)</f>
        <v>-56.236565672001397</v>
      </c>
      <c r="T133" s="262">
        <f>-sigma_t+SQRT(sigma_t^2-2*Tabella34[[#This Row],[c_t]])</f>
        <v>1.6959762186683516</v>
      </c>
      <c r="U133" s="262">
        <f>-sigma_t-SQRT(sigma_t^2-2*Tabella34[[#This Row],[c_t]])</f>
        <v>-2.2334155685115187</v>
      </c>
      <c r="V133" s="262">
        <f>mu_t-LN(alpha*Kt/(Tabella34[[#This Row],[Spain fitted velocity]]*sigma_t*SQRTPI(2)))</f>
        <v>-1.8939098452995964</v>
      </c>
      <c r="W133" s="262">
        <f>Tabella34[[#This Row],[Spain fitted g.r.]]/Spain_gr_at_lockdown</f>
        <v>3.6945847717470476E-2</v>
      </c>
      <c r="X133" s="262">
        <f>Tabella34[[#This Row],[t_alpha_t+plus]]</f>
        <v>10.179738217666014</v>
      </c>
      <c r="Y133" s="262">
        <f>Tabella34[[#This Row],[Spain fitted h.t.]]/Spain_ht_at_lockdown</f>
        <v>0.16536133870164144</v>
      </c>
      <c r="Z133" s="90">
        <f>IFERROR(-Kf*_xlfn.LOGNORM.DIST((Tabella34[[#This Row],[Day]]-pf),mu_f,sigma_f,FALSE)*(1+(LN((Tabella34[[#This Row],[Day]]-pf))-mu_f)/sigma_f^2)/(Tabella34[[#This Row],[Day]]-pf),0)</f>
        <v>-123.71735050211919</v>
      </c>
      <c r="AA133" s="90">
        <f>Tabella34[[#This Row],[Spain acc. fit]]/Spain_acc_at_lockdown</f>
        <v>-0.42158783197477268</v>
      </c>
      <c r="AB133" s="95">
        <f>Tabella34[[#This Row],[Spain acc. fit]]/y_f_peak</f>
        <v>-1.8535362489361471E-2</v>
      </c>
      <c r="AC133" s="157">
        <f>Tabella34[[#This Row],[Colonna4]]*NOT(ISBLANK(Tabella34[[#This Row],[Spain daily cases]]))</f>
        <v>0</v>
      </c>
      <c r="AD133" s="157">
        <f>Tabella34[[#This Row],[Spain acc. fit]]*NOT(ISBLANK(Tabella34[[#This Row],[Spain daily cases]]))</f>
        <v>0</v>
      </c>
      <c r="AE133" s="95">
        <f>Tabella34[[#This Row],[Spain acc. fit]]+CIf</f>
        <v>2218.9710671789735</v>
      </c>
      <c r="AF133" s="95">
        <f>MAX(Tabella34[[#This Row],[Spain acc. fit]]-CIf,0)</f>
        <v>0</v>
      </c>
      <c r="AH133" s="10"/>
      <c r="AI133" s="10"/>
      <c r="AJ133" s="136">
        <f>Tabella34[[#This Row],[Lombardy data]]*NOT(ISBLANK(Tabella34[[#This Row],[Lombardy data]]))</f>
        <v>0</v>
      </c>
      <c r="AK133" s="95">
        <f>Tabella8[[#This Row],[Lombardy fit]]</f>
        <v>78162.063365355221</v>
      </c>
      <c r="AL133" s="157" t="e">
        <f>_xlfn.LOGNORM.INV(alpha*Tabella34[[#This Row],[Lombardy cumul. Fit]]/Kr,mu_r,sigma_r)-(Tabella34[[#This Row],[Day]]-pr)</f>
        <v>#NUM!</v>
      </c>
      <c r="AM133" s="95">
        <f>Tabella34[[#This Row],[Lombardy cumul. Fit]]/Kl</f>
        <v>0.89841452144086464</v>
      </c>
      <c r="AN133" s="95">
        <f>IFERROR(Kr*_xlfn.LOGNORM.DIST((Tabella34[[#This Row],[Day]]-pr),mu_r,sigma_r,FALSE),0)</f>
        <v>478.67761974325276</v>
      </c>
      <c r="AO133" s="202">
        <f>Tabella34[[#This Row],[Lombardy velocity]]/Tabella34[[#This Row],[Lombardy cumul. Fit]]</f>
        <v>6.1241681595041314E-3</v>
      </c>
      <c r="AP133" s="259">
        <f>(LN(Tabella34[[#This Row],[Day]]-pr)-mu_r)/sigma_r</f>
        <v>1.2725691906807328</v>
      </c>
      <c r="AQ133" s="262">
        <f>EXP(mu_r+sigma_r*Tabella34[[#This Row],[x_r_alpha©+plus]])-(Tabella34[[#This Row],[Day]]-pr)</f>
        <v>13.23655448547575</v>
      </c>
      <c r="AR133" s="262">
        <f>EXP(mu_r+sigma_r*Tabella34[[#This Row],[x_r_alpha©-minus]])-(Tabella34[[#This Row],[Day]]-pr)</f>
        <v>-67.045700053277486</v>
      </c>
      <c r="AS133" s="262">
        <f>-sigma_r+SQRT(sigma_r^2-2*Tabella34[[#This Row],[c_r]])</f>
        <v>1.6565834764220746</v>
      </c>
      <c r="AT133" s="262">
        <f>-sigma_r-SQRT(sigma_r^2-2*Tabella34[[#This Row],[c_r]])</f>
        <v>-2.3374380736158038</v>
      </c>
      <c r="AU133" s="262">
        <f>mu_r-LN(alpha*Kr/(Tabella34[[#This Row],[Lombardy velocity]]*sigma_r*SQRTPI(2)))</f>
        <v>-1.9360806449558927</v>
      </c>
      <c r="AV133" s="262">
        <f>Tabella34[[#This Row],[t_alpha_r+plus]]</f>
        <v>13.23655448547575</v>
      </c>
      <c r="AW133" s="90">
        <f>IFERROR(-Kl*_xlfn.LOGNORM.DIST((Tabella34[[#This Row],[Day]]-pl),mu_l,sigma_l,FALSE)*(1+(LN((Tabella34[[#This Row],[Day]]-pl))-mu_l)/sigma_l^2)/(Tabella34[[#This Row],[Day]]-pl),0)</f>
        <v>-23.930160693036999</v>
      </c>
      <c r="AX133" s="95">
        <f>Tabella34[[#This Row],[Lombardy acc. fit]]/y_l_peak</f>
        <v>-1.3612503095328098E-2</v>
      </c>
      <c r="AY133" s="157">
        <f>Tabella34[[#This Row],[Lombardy acc. fit]]*NOT(ISBLANK(Tabella34[[#This Row],[Lombardy data]]))</f>
        <v>0</v>
      </c>
      <c r="AZ133" s="95">
        <f>Tabella34[[#This Row],[Lombardy acc. fit]]+CIl</f>
        <v>2546.4521622233715</v>
      </c>
      <c r="BA133" s="95">
        <f>MAX(Tabella34[[#This Row],[Lombardy acc. fit]]-CIl,0)</f>
        <v>0</v>
      </c>
      <c r="BC133" s="10"/>
      <c r="BD133" s="10"/>
      <c r="BE133" s="95">
        <f>Tabella34[[#This Row],[rest of Italy data]]*NOT(ISBLANK(Tabella34[[#This Row],[rest of Italy data]]))</f>
        <v>0</v>
      </c>
      <c r="BF133" s="95">
        <f>Tabella8[[#This Row],[rest of Italy fit]]</f>
        <v>134857.15630708213</v>
      </c>
      <c r="BG133" s="157" t="e">
        <f>_xlfn.LOGNORM.INV(alpha*Tabella34[[#This Row],[rest of Italy cumul. Fit]]/Ko,mu_o,sigma_o)-(Tabella34[[#This Row],[Day]]-po)</f>
        <v>#NUM!</v>
      </c>
      <c r="BH133" s="95">
        <f>Tabella34[[#This Row],[rest of Italy cumul. Fit]]/Ka</f>
        <v>0.91119710814870625</v>
      </c>
      <c r="BI133" s="157">
        <f>IFERROR(Ko*_xlfn.LOGNORM.DIST((Tabella34[[#This Row],[Day]]-po),mu_o,sigma_o,FALSE),0)</f>
        <v>838.41545426304185</v>
      </c>
      <c r="BJ133" s="199">
        <f>Tabella34[[#This Row],[rest of Italy velocity]]/Tabella34[[#This Row],[rest of Italy cumul. Fit]]</f>
        <v>6.2170631297748325E-3</v>
      </c>
      <c r="BK133" s="254">
        <f>(LN(Tabella34[[#This Row],[Day]]-po)-mu_o)/sigma_o</f>
        <v>1.3481635549230682</v>
      </c>
      <c r="BL133" s="262">
        <f>EXP(mu_o+sigma_o*Tabella34[[#This Row],[x_o_alpha©+plus]])-(Tabella34[[#This Row],[Day]]-po)</f>
        <v>11.259814746925386</v>
      </c>
      <c r="BM133" s="262">
        <f>EXP(mu_o+sigma_o*Tabella34[[#This Row],[x_o_alpha©-minus]])-(Tabella34[[#This Row],[Day]]-po)</f>
        <v>-61.521123702437393</v>
      </c>
      <c r="BN133" s="262">
        <f>-sigma_o+SQRT(sigma_o^2-2*Tabella34[[#This Row],[c_o]])</f>
        <v>1.7215567570505019</v>
      </c>
      <c r="BO133" s="262">
        <f>-sigma_o-SQRT(sigma_o^2-2*Tabella34[[#This Row],[c_o]])</f>
        <v>-2.3645295343495283</v>
      </c>
      <c r="BP133" s="262">
        <f>mu_o-LN(alpha*Ko/(Tabella34[[#This Row],[rest of Italy velocity]]*sigma_o*SQRTPI(2)))</f>
        <v>-2.0353358985524537</v>
      </c>
      <c r="BQ133" s="262">
        <f>Tabella34[[#This Row],[t_alpha_o+plus]]</f>
        <v>11.259814746925386</v>
      </c>
      <c r="BR133" s="90">
        <f>IFERROR(-Ka*_xlfn.LOGNORM.DIST((Tabella34[[#This Row],[Day]]-pa),mu_a,sigma_a,FALSE)*(1+(LN((Tabella34[[#This Row],[Day]]-pa))-mu_a)/sigma_a^2)/(Tabella34[[#This Row],[Day]]-pa),0)</f>
        <v>-49.322731747385042</v>
      </c>
      <c r="BS133" s="95">
        <f>Tabella34[[#This Row],[rest of Italy acc. fit]]/y_a_peak</f>
        <v>-1.4596198680968668E-2</v>
      </c>
      <c r="BT133" s="136">
        <f>Tabella34[[#This Row],[rest of Italy acc. fit]]*NOT(ISBLANK(Tabella34[[#This Row],[rest of Italy data]]))</f>
        <v>0</v>
      </c>
      <c r="BU133" s="205"/>
      <c r="BV133" s="137"/>
    </row>
    <row r="134" spans="2:74" x14ac:dyDescent="0.3">
      <c r="B134" s="281">
        <v>43957</v>
      </c>
      <c r="C134" s="4">
        <v>127</v>
      </c>
      <c r="E134" s="10"/>
      <c r="F134" s="10"/>
      <c r="G134" s="136">
        <f>Tabella34[[#This Row],[Spain daily cases]]*NOT(ISBLANK(Tabella34[[#This Row],[Spain daily cases]]))</f>
        <v>0</v>
      </c>
      <c r="H134" s="157">
        <f>Tabella8[[#This Row],[Spain cum. fit]]</f>
        <v>254968.33039297836</v>
      </c>
      <c r="I134" s="157" t="e">
        <f>_xlfn.LOGNORM.INV(alpha*Tabella34[[#This Row],[Spain cumul. Fit]]/Kt,mu_t,sigma_t)-(Tabella34[[#This Row],[Day]]-pt)</f>
        <v>#NUM!</v>
      </c>
      <c r="J134" s="157" t="e">
        <f>Tabella34[[#This Row],[Spain fitted d.t.]]/Spain_dt_at_lockdown</f>
        <v>#NUM!</v>
      </c>
      <c r="K134" s="95">
        <f>Tabella34[[#This Row],[Spain cumul. Fit]]/Kf</f>
        <v>0.91060151894855257</v>
      </c>
      <c r="L134" s="160"/>
      <c r="M134" s="95"/>
      <c r="N134" s="157">
        <f>IFERROR(Kt*_xlfn.LOGNORM.DIST((Tabella34[[#This Row],[Day]]-pt),mu_t,sigma_t,FALSE),0)</f>
        <v>1816.8990434080113</v>
      </c>
      <c r="O134" s="157" t="e">
        <f>Kt*EXP(-0.5*Tabella34[[#This Row],[x_t]]^2)/(sigma_t*SQRTPI(2)*(Tabella34[[#This Row],[Day]]-D_bk))</f>
        <v>#NAME?</v>
      </c>
      <c r="P134" s="199">
        <f>Tabella34[[#This Row],[Spain fitted velocity]]/Tabella34[[#This Row],[Spain cumul. Fit]]</f>
        <v>7.1259792955762607E-3</v>
      </c>
      <c r="Q134" s="262">
        <f>(LN(Tabella34[[#This Row],[Day]]-pt)-mu_t)/sigma_t</f>
        <v>1.3444684190411225</v>
      </c>
      <c r="R134" s="262">
        <f>EXP(mu_t+sigma_t*Tabella34[[#This Row],[x_t_alpha©+plus]])-(Tabella34[[#This Row],[Day]]-pt)</f>
        <v>10.072259449888719</v>
      </c>
      <c r="S134" s="262">
        <f>EXP(mu_t+sigma_t*Tabella34[[#This Row],[x_t_alpha©-minus]])-(Tabella34[[#This Row],[Day]]-pt)</f>
        <v>-57.544356427518856</v>
      </c>
      <c r="T134" s="262">
        <f>-sigma_t+SQRT(sigma_t^2-2*Tabella34[[#This Row],[c_t]])</f>
        <v>1.7284458634409532</v>
      </c>
      <c r="U134" s="262">
        <f>-sigma_t-SQRT(sigma_t^2-2*Tabella34[[#This Row],[c_t]])</f>
        <v>-2.2658852132841205</v>
      </c>
      <c r="V134" s="262">
        <f>mu_t-LN(alpha*Kt/(Tabella34[[#This Row],[Spain fitted velocity]]*sigma_t*SQRTPI(2)))</f>
        <v>-1.95822996196648</v>
      </c>
      <c r="W134" s="262">
        <f>Tabella34[[#This Row],[Spain fitted g.r.]]/Spain_gr_at_lockdown</f>
        <v>3.4389291020186341E-2</v>
      </c>
      <c r="X134" s="262">
        <f>Tabella34[[#This Row],[t_alpha_t+plus]]</f>
        <v>10.072259449888719</v>
      </c>
      <c r="Y134" s="262">
        <f>Tabella34[[#This Row],[Spain fitted h.t.]]/Spain_ht_at_lockdown</f>
        <v>0.16361543595427874</v>
      </c>
      <c r="Z134" s="90">
        <f>IFERROR(-Kf*_xlfn.LOGNORM.DIST((Tabella34[[#This Row],[Day]]-pf),mu_f,sigma_f,FALSE)*(1+(LN((Tabella34[[#This Row],[Day]]-pf))-mu_f)/sigma_f^2)/(Tabella34[[#This Row],[Day]]-pf),0)</f>
        <v>-117.7044828978094</v>
      </c>
      <c r="AA134" s="90">
        <f>Tabella34[[#This Row],[Spain acc. fit]]/Spain_acc_at_lockdown</f>
        <v>-0.40109796691571709</v>
      </c>
      <c r="AB134" s="95">
        <f>Tabella34[[#This Row],[Spain acc. fit]]/y_f_peak</f>
        <v>-1.76345132536311E-2</v>
      </c>
      <c r="AC134" s="157">
        <f>Tabella34[[#This Row],[Colonna4]]*NOT(ISBLANK(Tabella34[[#This Row],[Spain daily cases]]))</f>
        <v>0</v>
      </c>
      <c r="AD134" s="157">
        <f>Tabella34[[#This Row],[Spain acc. fit]]*NOT(ISBLANK(Tabella34[[#This Row],[Spain daily cases]]))</f>
        <v>0</v>
      </c>
      <c r="AE134" s="95">
        <f>Tabella34[[#This Row],[Spain acc. fit]]+CIf</f>
        <v>2224.9839347832831</v>
      </c>
      <c r="AF134" s="95">
        <f>MAX(Tabella34[[#This Row],[Spain acc. fit]]-CIf,0)</f>
        <v>0</v>
      </c>
      <c r="AH134" s="10"/>
      <c r="AI134" s="10"/>
      <c r="AJ134" s="136">
        <f>Tabella34[[#This Row],[Lombardy data]]*NOT(ISBLANK(Tabella34[[#This Row],[Lombardy data]]))</f>
        <v>0</v>
      </c>
      <c r="AK134" s="95">
        <f>Tabella8[[#This Row],[Lombardy fit]]</f>
        <v>78628.939908572895</v>
      </c>
      <c r="AL134" s="157" t="e">
        <f>_xlfn.LOGNORM.INV(alpha*Tabella34[[#This Row],[Lombardy cumul. Fit]]/Kr,mu_r,sigma_r)-(Tabella34[[#This Row],[Day]]-pr)</f>
        <v>#NUM!</v>
      </c>
      <c r="AM134" s="95">
        <f>Tabella34[[#This Row],[Lombardy cumul. Fit]]/Kl</f>
        <v>0.90378091848934361</v>
      </c>
      <c r="AN134" s="95">
        <f>IFERROR(Kr*_xlfn.LOGNORM.DIST((Tabella34[[#This Row],[Day]]-pr),mu_r,sigma_r,FALSE),0)</f>
        <v>455.23862520672765</v>
      </c>
      <c r="AO134" s="202">
        <f>Tabella34[[#This Row],[Lombardy velocity]]/Tabella34[[#This Row],[Lombardy cumul. Fit]]</f>
        <v>5.7897082897984372E-3</v>
      </c>
      <c r="AP134" s="259">
        <f>(LN(Tabella34[[#This Row],[Day]]-pr)-mu_r)/sigma_r</f>
        <v>1.303400215397702</v>
      </c>
      <c r="AQ134" s="262">
        <f>EXP(mu_r+sigma_r*Tabella34[[#This Row],[x_r_alpha©+plus]])-(Tabella34[[#This Row],[Day]]-pr)</f>
        <v>13.159163359965447</v>
      </c>
      <c r="AR134" s="262">
        <f>EXP(mu_r+sigma_r*Tabella34[[#This Row],[x_r_alpha©-minus]])-(Tabella34[[#This Row],[Day]]-pr)</f>
        <v>-68.280568640654565</v>
      </c>
      <c r="AS134" s="262">
        <f>-sigma_r+SQRT(sigma_r^2-2*Tabella34[[#This Row],[c_r]])</f>
        <v>1.6815675720409047</v>
      </c>
      <c r="AT134" s="262">
        <f>-sigma_r-SQRT(sigma_r^2-2*Tabella34[[#This Row],[c_r]])</f>
        <v>-2.3624221692346339</v>
      </c>
      <c r="AU134" s="262">
        <f>mu_r-LN(alpha*Kr/(Tabella34[[#This Row],[Lombardy velocity]]*sigma_r*SQRTPI(2)))</f>
        <v>-1.9862862556277454</v>
      </c>
      <c r="AV134" s="262">
        <f>Tabella34[[#This Row],[t_alpha_r+plus]]</f>
        <v>13.159163359965447</v>
      </c>
      <c r="AW134" s="90">
        <f>IFERROR(-Kl*_xlfn.LOGNORM.DIST((Tabella34[[#This Row],[Day]]-pl),mu_l,sigma_l,FALSE)*(1+(LN((Tabella34[[#This Row],[Day]]-pl))-mu_l)/sigma_l^2)/(Tabella34[[#This Row],[Day]]-pl),0)</f>
        <v>-22.951241568968133</v>
      </c>
      <c r="AX134" s="95">
        <f>Tabella34[[#This Row],[Lombardy acc. fit]]/y_l_peak</f>
        <v>-1.3055651857369606E-2</v>
      </c>
      <c r="AY134" s="157">
        <f>Tabella34[[#This Row],[Lombardy acc. fit]]*NOT(ISBLANK(Tabella34[[#This Row],[Lombardy data]]))</f>
        <v>0</v>
      </c>
      <c r="AZ134" s="95">
        <f>Tabella34[[#This Row],[Lombardy acc. fit]]+CIl</f>
        <v>2547.4310813474403</v>
      </c>
      <c r="BA134" s="95">
        <f>MAX(Tabella34[[#This Row],[Lombardy acc. fit]]-CIl,0)</f>
        <v>0</v>
      </c>
      <c r="BC134" s="10"/>
      <c r="BD134" s="10"/>
      <c r="BE134" s="95">
        <f>Tabella34[[#This Row],[rest of Italy data]]*NOT(ISBLANK(Tabella34[[#This Row],[rest of Italy data]]))</f>
        <v>0</v>
      </c>
      <c r="BF134" s="95">
        <f>Tabella8[[#This Row],[rest of Italy fit]]</f>
        <v>135671.31096960977</v>
      </c>
      <c r="BG134" s="157" t="e">
        <f>_xlfn.LOGNORM.INV(alpha*Tabella34[[#This Row],[rest of Italy cumul. Fit]]/Ko,mu_o,sigma_o)-(Tabella34[[#This Row],[Day]]-po)</f>
        <v>#NUM!</v>
      </c>
      <c r="BH134" s="95">
        <f>Tabella34[[#This Row],[rest of Italy cumul. Fit]]/Ka</f>
        <v>0.91669815380616992</v>
      </c>
      <c r="BI134" s="157">
        <f>IFERROR(Ko*_xlfn.LOGNORM.DIST((Tabella34[[#This Row],[Day]]-po),mu_o,sigma_o,FALSE),0)</f>
        <v>790.29173720672065</v>
      </c>
      <c r="BJ134" s="199">
        <f>Tabella34[[#This Row],[rest of Italy velocity]]/Tabella34[[#This Row],[rest of Italy cumul. Fit]]</f>
        <v>5.8250468102555974E-3</v>
      </c>
      <c r="BK134" s="254">
        <f>(LN(Tabella34[[#This Row],[Day]]-po)-mu_o)/sigma_o</f>
        <v>1.3831995346694879</v>
      </c>
      <c r="BL134" s="262">
        <f>EXP(mu_o+sigma_o*Tabella34[[#This Row],[x_o_alpha©+plus]])-(Tabella34[[#This Row],[Day]]-po)</f>
        <v>11.183512565984785</v>
      </c>
      <c r="BM134" s="262">
        <f>EXP(mu_o+sigma_o*Tabella34[[#This Row],[x_o_alpha©-minus]])-(Tabella34[[#This Row],[Day]]-po)</f>
        <v>-62.767171841633811</v>
      </c>
      <c r="BN134" s="262">
        <f>-sigma_o+SQRT(sigma_o^2-2*Tabella34[[#This Row],[c_o]])</f>
        <v>1.7502878409136033</v>
      </c>
      <c r="BO134" s="262">
        <f>-sigma_o-SQRT(sigma_o^2-2*Tabella34[[#This Row],[c_o]])</f>
        <v>-2.3932606182126297</v>
      </c>
      <c r="BP134" s="262">
        <f>mu_o-LN(alpha*Ko/(Tabella34[[#This Row],[rest of Italy velocity]]*sigma_o*SQRTPI(2)))</f>
        <v>-2.0944474800974691</v>
      </c>
      <c r="BQ134" s="262">
        <f>Tabella34[[#This Row],[t_alpha_o+plus]]</f>
        <v>11.183512565984785</v>
      </c>
      <c r="BR134" s="90">
        <f>IFERROR(-Ka*_xlfn.LOGNORM.DIST((Tabella34[[#This Row],[Day]]-pa),mu_a,sigma_a,FALSE)*(1+(LN((Tabella34[[#This Row],[Day]]-pa))-mu_a)/sigma_a^2)/(Tabella34[[#This Row],[Day]]-pa),0)</f>
        <v>-46.93561587548848</v>
      </c>
      <c r="BS134" s="95">
        <f>Tabella34[[#This Row],[rest of Italy acc. fit]]/y_a_peak</f>
        <v>-1.3889773543789537E-2</v>
      </c>
      <c r="BT134" s="136">
        <f>Tabella34[[#This Row],[rest of Italy acc. fit]]*NOT(ISBLANK(Tabella34[[#This Row],[rest of Italy data]]))</f>
        <v>0</v>
      </c>
      <c r="BU134" s="205"/>
      <c r="BV134" s="137"/>
    </row>
    <row r="135" spans="2:74" x14ac:dyDescent="0.3">
      <c r="B135" s="281">
        <v>43958</v>
      </c>
      <c r="C135" s="4">
        <v>128</v>
      </c>
      <c r="E135" s="10"/>
      <c r="F135" s="10"/>
      <c r="G135" s="136">
        <f>Tabella34[[#This Row],[Spain daily cases]]*NOT(ISBLANK(Tabella34[[#This Row],[Spain daily cases]]))</f>
        <v>0</v>
      </c>
      <c r="H135" s="157">
        <f>Tabella8[[#This Row],[Spain cum. fit]]</f>
        <v>256727.36688079382</v>
      </c>
      <c r="I135" s="157" t="e">
        <f>_xlfn.LOGNORM.INV(alpha*Tabella34[[#This Row],[Spain cumul. Fit]]/Kt,mu_t,sigma_t)-(Tabella34[[#This Row],[Day]]-pt)</f>
        <v>#NUM!</v>
      </c>
      <c r="J135" s="157" t="e">
        <f>Tabella34[[#This Row],[Spain fitted d.t.]]/Spain_dt_at_lockdown</f>
        <v>#NUM!</v>
      </c>
      <c r="K135" s="95">
        <f>Tabella34[[#This Row],[Spain cumul. Fit]]/Kf</f>
        <v>0.91688379445791446</v>
      </c>
      <c r="L135" s="160"/>
      <c r="M135" s="95"/>
      <c r="N135" s="157">
        <f>IFERROR(Kt*_xlfn.LOGNORM.DIST((Tabella34[[#This Row],[Day]]-pt),mu_t,sigma_t,FALSE),0)</f>
        <v>1702.1588782887195</v>
      </c>
      <c r="O135" s="157" t="e">
        <f>Kt*EXP(-0.5*Tabella34[[#This Row],[x_t]]^2)/(sigma_t*SQRTPI(2)*(Tabella34[[#This Row],[Day]]-D_bk))</f>
        <v>#NAME?</v>
      </c>
      <c r="P135" s="199">
        <f>Tabella34[[#This Row],[Spain fitted velocity]]/Tabella34[[#This Row],[Spain cumul. Fit]]</f>
        <v>6.6302198280212277E-3</v>
      </c>
      <c r="Q135" s="262">
        <f>(LN(Tabella34[[#This Row],[Day]]-pt)-mu_t)/sigma_t</f>
        <v>1.3844117566897134</v>
      </c>
      <c r="R135" s="262">
        <f>EXP(mu_t+sigma_t*Tabella34[[#This Row],[x_t_alpha©+plus]])-(Tabella34[[#This Row],[Day]]-pt)</f>
        <v>9.9706737209396721</v>
      </c>
      <c r="S135" s="262">
        <f>EXP(mu_t+sigma_t*Tabella34[[#This Row],[x_t_alpha©-minus]])-(Tabella34[[#This Row],[Day]]-pt)</f>
        <v>-58.848825439565388</v>
      </c>
      <c r="T135" s="262">
        <f>-sigma_t+SQRT(sigma_t^2-2*Tabella34[[#This Row],[c_t]])</f>
        <v>1.7608462617508633</v>
      </c>
      <c r="U135" s="262">
        <f>-sigma_t-SQRT(sigma_t^2-2*Tabella34[[#This Row],[c_t]])</f>
        <v>-2.2982856115940304</v>
      </c>
      <c r="V135" s="262">
        <f>mu_t-LN(alpha*Kt/(Tabella34[[#This Row],[Spain fitted velocity]]*sigma_t*SQRTPI(2)))</f>
        <v>-2.0234638138055727</v>
      </c>
      <c r="W135" s="262">
        <f>Tabella34[[#This Row],[Spain fitted g.r.]]/Spain_gr_at_lockdown</f>
        <v>3.1996803489897502E-2</v>
      </c>
      <c r="X135" s="262">
        <f>Tabella34[[#This Row],[t_alpha_t+plus]]</f>
        <v>9.9706737209396721</v>
      </c>
      <c r="Y135" s="262">
        <f>Tabella34[[#This Row],[Spain fitted h.t.]]/Spain_ht_at_lockdown</f>
        <v>0.1619652606970364</v>
      </c>
      <c r="Z135" s="90">
        <f>IFERROR(-Kf*_xlfn.LOGNORM.DIST((Tabella34[[#This Row],[Day]]-pf),mu_f,sigma_f,FALSE)*(1+(LN((Tabella34[[#This Row],[Day]]-pf))-mu_f)/sigma_f^2)/(Tabella34[[#This Row],[Day]]-pf),0)</f>
        <v>-111.79519838194943</v>
      </c>
      <c r="AA135" s="90">
        <f>Tabella34[[#This Row],[Spain acc. fit]]/Spain_acc_at_lockdown</f>
        <v>-0.38096107877955526</v>
      </c>
      <c r="AB135" s="95">
        <f>Tabella34[[#This Row],[Spain acc. fit]]/y_f_peak</f>
        <v>-1.6749182860523796E-2</v>
      </c>
      <c r="AC135" s="157">
        <f>Tabella34[[#This Row],[Colonna4]]*NOT(ISBLANK(Tabella34[[#This Row],[Spain daily cases]]))</f>
        <v>0</v>
      </c>
      <c r="AD135" s="157">
        <f>Tabella34[[#This Row],[Spain acc. fit]]*NOT(ISBLANK(Tabella34[[#This Row],[Spain daily cases]]))</f>
        <v>0</v>
      </c>
      <c r="AE135" s="95">
        <f>Tabella34[[#This Row],[Spain acc. fit]]+CIf</f>
        <v>2230.8932192991433</v>
      </c>
      <c r="AF135" s="95">
        <f>MAX(Tabella34[[#This Row],[Spain acc. fit]]-CIf,0)</f>
        <v>0</v>
      </c>
      <c r="AH135" s="10"/>
      <c r="AI135" s="10"/>
      <c r="AJ135" s="136">
        <f>Tabella34[[#This Row],[Lombardy data]]*NOT(ISBLANK(Tabella34[[#This Row],[Lombardy data]]))</f>
        <v>0</v>
      </c>
      <c r="AK135" s="95">
        <f>Tabella8[[#This Row],[Lombardy fit]]</f>
        <v>79072.86342737946</v>
      </c>
      <c r="AL135" s="157" t="e">
        <f>_xlfn.LOGNORM.INV(alpha*Tabella34[[#This Row],[Lombardy cumul. Fit]]/Kr,mu_r,sigma_r)-(Tabella34[[#This Row],[Day]]-pr)</f>
        <v>#NUM!</v>
      </c>
      <c r="AM135" s="95">
        <f>Tabella34[[#This Row],[Lombardy cumul. Fit]]/Kl</f>
        <v>0.90888348767102822</v>
      </c>
      <c r="AN135" s="95">
        <f>IFERROR(Kr*_xlfn.LOGNORM.DIST((Tabella34[[#This Row],[Day]]-pr),mu_r,sigma_r,FALSE),0)</f>
        <v>432.76800702007944</v>
      </c>
      <c r="AO135" s="202">
        <f>Tabella34[[#This Row],[Lombardy velocity]]/Tabella34[[#This Row],[Lombardy cumul. Fit]]</f>
        <v>5.4730281447001559E-3</v>
      </c>
      <c r="AP135" s="259">
        <f>(LN(Tabella34[[#This Row],[Day]]-pr)-mu_r)/sigma_r</f>
        <v>1.3339110044317981</v>
      </c>
      <c r="AQ135" s="262">
        <f>EXP(mu_r+sigma_r*Tabella34[[#This Row],[x_r_alpha©+plus]])-(Tabella34[[#This Row],[Day]]-pr)</f>
        <v>13.085817703456797</v>
      </c>
      <c r="AR135" s="262">
        <f>EXP(mu_r+sigma_r*Tabella34[[#This Row],[x_r_alpha©-minus]])-(Tabella34[[#This Row],[Day]]-pr)</f>
        <v>-69.51249635680162</v>
      </c>
      <c r="AS135" s="262">
        <f>-sigma_r+SQRT(sigma_r^2-2*Tabella34[[#This Row],[c_r]])</f>
        <v>1.7064491300398994</v>
      </c>
      <c r="AT135" s="262">
        <f>-sigma_r-SQRT(sigma_r^2-2*Tabella34[[#This Row],[c_r]])</f>
        <v>-2.3873037272336286</v>
      </c>
      <c r="AU135" s="262">
        <f>mu_r-LN(alpha*Kr/(Tabella34[[#This Row],[Lombardy velocity]]*sigma_r*SQRTPI(2)))</f>
        <v>-2.0369061842394176</v>
      </c>
      <c r="AV135" s="262">
        <f>Tabella34[[#This Row],[t_alpha_r+plus]]</f>
        <v>13.085817703456797</v>
      </c>
      <c r="AW135" s="90">
        <f>IFERROR(-Kl*_xlfn.LOGNORM.DIST((Tabella34[[#This Row],[Day]]-pl),mu_l,sigma_l,FALSE)*(1+(LN((Tabella34[[#This Row],[Day]]-pl))-mu_l)/sigma_l^2)/(Tabella34[[#This Row],[Day]]-pl),0)</f>
        <v>-21.993700499707469</v>
      </c>
      <c r="AX135" s="95">
        <f>Tabella34[[#This Row],[Lombardy acc. fit]]/y_l_peak</f>
        <v>-1.2510961375077638E-2</v>
      </c>
      <c r="AY135" s="157">
        <f>Tabella34[[#This Row],[Lombardy acc. fit]]*NOT(ISBLANK(Tabella34[[#This Row],[Lombardy data]]))</f>
        <v>0</v>
      </c>
      <c r="AZ135" s="95">
        <f>Tabella34[[#This Row],[Lombardy acc. fit]]+CIl</f>
        <v>2548.3886224167013</v>
      </c>
      <c r="BA135" s="95">
        <f>MAX(Tabella34[[#This Row],[Lombardy acc. fit]]-CIl,0)</f>
        <v>0</v>
      </c>
      <c r="BC135" s="10"/>
      <c r="BD135" s="10"/>
      <c r="BE135" s="95">
        <f>Tabella34[[#This Row],[rest of Italy data]]*NOT(ISBLANK(Tabella34[[#This Row],[rest of Italy data]]))</f>
        <v>0</v>
      </c>
      <c r="BF135" s="95">
        <f>Tabella8[[#This Row],[rest of Italy fit]]</f>
        <v>136438.52436496739</v>
      </c>
      <c r="BG135" s="157" t="e">
        <f>_xlfn.LOGNORM.INV(alpha*Tabella34[[#This Row],[rest of Italy cumul. Fit]]/Ko,mu_o,sigma_o)-(Tabella34[[#This Row],[Day]]-po)</f>
        <v>#NUM!</v>
      </c>
      <c r="BH135" s="95">
        <f>Tabella34[[#This Row],[rest of Italy cumul. Fit]]/Ka</f>
        <v>0.92188202870258951</v>
      </c>
      <c r="BI135" s="157">
        <f>IFERROR(Ko*_xlfn.LOGNORM.DIST((Tabella34[[#This Row],[Day]]-po),mu_o,sigma_o,FALSE),0)</f>
        <v>744.52162315135365</v>
      </c>
      <c r="BJ135" s="199">
        <f>Tabella34[[#This Row],[rest of Italy velocity]]/Tabella34[[#This Row],[rest of Italy cumul. Fit]]</f>
        <v>5.4568284626106715E-3</v>
      </c>
      <c r="BK135" s="254">
        <f>(LN(Tabella34[[#This Row],[Day]]-po)-mu_o)/sigma_o</f>
        <v>1.4178452749020647</v>
      </c>
      <c r="BL135" s="262">
        <f>EXP(mu_o+sigma_o*Tabella34[[#This Row],[x_o_alpha©+plus]])-(Tabella34[[#This Row],[Day]]-po)</f>
        <v>11.111486218823885</v>
      </c>
      <c r="BM135" s="262">
        <f>EXP(mu_o+sigma_o*Tabella34[[#This Row],[x_o_alpha©-minus]])-(Tabella34[[#This Row],[Day]]-po)</f>
        <v>-64.009844784464292</v>
      </c>
      <c r="BN135" s="262">
        <f>-sigma_o+SQRT(sigma_o^2-2*Tabella34[[#This Row],[c_o]])</f>
        <v>1.7788871488320916</v>
      </c>
      <c r="BO135" s="262">
        <f>-sigma_o-SQRT(sigma_o^2-2*Tabella34[[#This Row],[c_o]])</f>
        <v>-2.421859926131118</v>
      </c>
      <c r="BP135" s="262">
        <f>mu_o-LN(alpha*Ko/(Tabella34[[#This Row],[rest of Italy velocity]]*sigma_o*SQRTPI(2)))</f>
        <v>-2.1541077494330425</v>
      </c>
      <c r="BQ135" s="262">
        <f>Tabella34[[#This Row],[t_alpha_o+plus]]</f>
        <v>11.111486218823885</v>
      </c>
      <c r="BR135" s="90">
        <f>IFERROR(-Ka*_xlfn.LOGNORM.DIST((Tabella34[[#This Row],[Day]]-pa),mu_a,sigma_a,FALSE)*(1+(LN((Tabella34[[#This Row],[Day]]-pa))-mu_a)/sigma_a^2)/(Tabella34[[#This Row],[Day]]-pa),0)</f>
        <v>-44.616263177858059</v>
      </c>
      <c r="BS135" s="95">
        <f>Tabella34[[#This Row],[rest of Italy acc. fit]]/y_a_peak</f>
        <v>-1.3203401731310819E-2</v>
      </c>
      <c r="BT135" s="136">
        <f>Tabella34[[#This Row],[rest of Italy acc. fit]]*NOT(ISBLANK(Tabella34[[#This Row],[rest of Italy data]]))</f>
        <v>0</v>
      </c>
      <c r="BU135" s="205"/>
      <c r="BV135" s="137"/>
    </row>
    <row r="136" spans="2:74" x14ac:dyDescent="0.3">
      <c r="B136" s="281">
        <v>43959</v>
      </c>
      <c r="C136" s="4">
        <v>129</v>
      </c>
      <c r="E136" s="10"/>
      <c r="F136" s="10"/>
      <c r="G136" s="136">
        <f>Tabella34[[#This Row],[Spain daily cases]]*NOT(ISBLANK(Tabella34[[#This Row],[Spain daily cases]]))</f>
        <v>0</v>
      </c>
      <c r="H136" s="157">
        <f>Tabella8[[#This Row],[Spain cum. fit]]</f>
        <v>258374.59755953186</v>
      </c>
      <c r="I136" s="157" t="e">
        <f>_xlfn.LOGNORM.INV(alpha*Tabella34[[#This Row],[Spain cumul. Fit]]/Kt,mu_t,sigma_t)-(Tabella34[[#This Row],[Day]]-pt)</f>
        <v>#NUM!</v>
      </c>
      <c r="J136" s="157" t="e">
        <f>Tabella34[[#This Row],[Spain fitted d.t.]]/Spain_dt_at_lockdown</f>
        <v>#NUM!</v>
      </c>
      <c r="K136" s="95">
        <f>Tabella34[[#This Row],[Spain cumul. Fit]]/Kf</f>
        <v>0.92276676335764263</v>
      </c>
      <c r="L136" s="160"/>
      <c r="M136" s="95"/>
      <c r="N136" s="157">
        <f>IFERROR(Kt*_xlfn.LOGNORM.DIST((Tabella34[[#This Row],[Day]]-pt),mu_t,sigma_t,FALSE),0)</f>
        <v>1593.2662255735843</v>
      </c>
      <c r="O136" s="157" t="e">
        <f>Kt*EXP(-0.5*Tabella34[[#This Row],[x_t]]^2)/(sigma_t*SQRTPI(2)*(Tabella34[[#This Row],[Day]]-D_bk))</f>
        <v>#NAME?</v>
      </c>
      <c r="P136" s="199">
        <f>Tabella34[[#This Row],[Spain fitted velocity]]/Tabella34[[#This Row],[Spain cumul. Fit]]</f>
        <v>6.166497173571722E-3</v>
      </c>
      <c r="Q136" s="262">
        <f>(LN(Tabella34[[#This Row],[Day]]-pt)-mu_t)/sigma_t</f>
        <v>1.4239309090876693</v>
      </c>
      <c r="R136" s="262">
        <f>EXP(mu_t+sigma_t*Tabella34[[#This Row],[x_t_alpha©+plus]])-(Tabella34[[#This Row],[Day]]-pt)</f>
        <v>9.8745954025768867</v>
      </c>
      <c r="S136" s="262">
        <f>EXP(mu_t+sigma_t*Tabella34[[#This Row],[x_t_alpha©-minus]])-(Tabella34[[#This Row],[Day]]-pt)</f>
        <v>-60.149879535006598</v>
      </c>
      <c r="T136" s="262">
        <f>-sigma_t+SQRT(sigma_t^2-2*Tabella34[[#This Row],[c_t]])</f>
        <v>1.7931630474141842</v>
      </c>
      <c r="U136" s="262">
        <f>-sigma_t-SQRT(sigma_t^2-2*Tabella34[[#This Row],[c_t]])</f>
        <v>-2.3306023972573513</v>
      </c>
      <c r="V136" s="262">
        <f>mu_t-LN(alpha*Kt/(Tabella34[[#This Row],[Spain fitted velocity]]*sigma_t*SQRTPI(2)))</f>
        <v>-2.0895750484883981</v>
      </c>
      <c r="W136" s="262">
        <f>Tabella34[[#This Row],[Spain fitted g.r.]]/Spain_gr_at_lockdown</f>
        <v>2.9758922539777827E-2</v>
      </c>
      <c r="X136" s="262">
        <f>Tabella34[[#This Row],[t_alpha_t+plus]]</f>
        <v>9.8745954025768867</v>
      </c>
      <c r="Y136" s="262">
        <f>Tabella34[[#This Row],[Spain fitted h.t.]]/Spain_ht_at_lockdown</f>
        <v>0.16040454872144738</v>
      </c>
      <c r="Z136" s="90">
        <f>IFERROR(-Kf*_xlfn.LOGNORM.DIST((Tabella34[[#This Row],[Day]]-pf),mu_f,sigma_f,FALSE)*(1+(LN((Tabella34[[#This Row],[Day]]-pf))-mu_f)/sigma_f^2)/(Tabella34[[#This Row],[Day]]-pf),0)</f>
        <v>-106.01304680550231</v>
      </c>
      <c r="AA136" s="90">
        <f>Tabella34[[#This Row],[Spain acc. fit]]/Spain_acc_at_lockdown</f>
        <v>-0.36125741767324904</v>
      </c>
      <c r="AB136" s="95">
        <f>Tabella34[[#This Row],[Spain acc. fit]]/y_f_peak</f>
        <v>-1.5882899554238113E-2</v>
      </c>
      <c r="AC136" s="157">
        <f>Tabella34[[#This Row],[Colonna4]]*NOT(ISBLANK(Tabella34[[#This Row],[Spain daily cases]]))</f>
        <v>0</v>
      </c>
      <c r="AD136" s="157">
        <f>Tabella34[[#This Row],[Spain acc. fit]]*NOT(ISBLANK(Tabella34[[#This Row],[Spain daily cases]]))</f>
        <v>0</v>
      </c>
      <c r="AE136" s="95">
        <f>Tabella34[[#This Row],[Spain acc. fit]]+CIf</f>
        <v>2236.6753708755905</v>
      </c>
      <c r="AF136" s="95">
        <f>MAX(Tabella34[[#This Row],[Spain acc. fit]]-CIf,0)</f>
        <v>0</v>
      </c>
      <c r="AH136" s="10"/>
      <c r="AI136" s="10"/>
      <c r="AJ136" s="136">
        <f>Tabella34[[#This Row],[Lombardy data]]*NOT(ISBLANK(Tabella34[[#This Row],[Lombardy data]]))</f>
        <v>0</v>
      </c>
      <c r="AK136" s="95">
        <f>Tabella8[[#This Row],[Lombardy fit]]</f>
        <v>79494.791329642132</v>
      </c>
      <c r="AL136" s="157" t="e">
        <f>_xlfn.LOGNORM.INV(alpha*Tabella34[[#This Row],[Lombardy cumul. Fit]]/Kr,mu_r,sigma_r)-(Tabella34[[#This Row],[Day]]-pr)</f>
        <v>#NUM!</v>
      </c>
      <c r="AM136" s="95">
        <f>Tabella34[[#This Row],[Lombardy cumul. Fit]]/Kl</f>
        <v>0.91373323367404746</v>
      </c>
      <c r="AN136" s="95">
        <f>IFERROR(Kr*_xlfn.LOGNORM.DIST((Tabella34[[#This Row],[Day]]-pr),mu_r,sigma_r,FALSE),0)</f>
        <v>411.24356165364134</v>
      </c>
      <c r="AO136" s="202">
        <f>Tabella34[[#This Row],[Lombardy velocity]]/Tabella34[[#This Row],[Lombardy cumul. Fit]]</f>
        <v>5.1732139272915641E-3</v>
      </c>
      <c r="AP136" s="259">
        <f>(LN(Tabella34[[#This Row],[Day]]-pr)-mu_r)/sigma_r</f>
        <v>1.3641081419015644</v>
      </c>
      <c r="AQ136" s="262">
        <f>EXP(mu_r+sigma_r*Tabella34[[#This Row],[x_r_alpha©+plus]])-(Tabella34[[#This Row],[Day]]-pr)</f>
        <v>13.016296973793317</v>
      </c>
      <c r="AR136" s="262">
        <f>EXP(mu_r+sigma_r*Tabella34[[#This Row],[x_r_alpha©-minus]])-(Tabella34[[#This Row],[Day]]-pr)</f>
        <v>-70.741477769117978</v>
      </c>
      <c r="AS136" s="262">
        <f>-sigma_r+SQRT(sigma_r^2-2*Tabella34[[#This Row],[c_r]])</f>
        <v>1.7312231132813229</v>
      </c>
      <c r="AT136" s="262">
        <f>-sigma_r-SQRT(sigma_r^2-2*Tabella34[[#This Row],[c_r]])</f>
        <v>-2.4120777104750522</v>
      </c>
      <c r="AU136" s="262">
        <f>mu_r-LN(alpha*Kr/(Tabella34[[#This Row],[Lombardy velocity]]*sigma_r*SQRTPI(2)))</f>
        <v>-2.0879223417025523</v>
      </c>
      <c r="AV136" s="262">
        <f>Tabella34[[#This Row],[t_alpha_r+plus]]</f>
        <v>13.016296973793317</v>
      </c>
      <c r="AW136" s="90">
        <f>IFERROR(-Kl*_xlfn.LOGNORM.DIST((Tabella34[[#This Row],[Day]]-pl),mu_l,sigma_l,FALSE)*(1+(LN((Tabella34[[#This Row],[Day]]-pl))-mu_l)/sigma_l^2)/(Tabella34[[#This Row],[Day]]-pl),0)</f>
        <v>-21.059137352968424</v>
      </c>
      <c r="AX136" s="95">
        <f>Tabella34[[#This Row],[Lombardy acc. fit]]/y_l_peak</f>
        <v>-1.1979341721914739E-2</v>
      </c>
      <c r="AY136" s="157">
        <f>Tabella34[[#This Row],[Lombardy acc. fit]]*NOT(ISBLANK(Tabella34[[#This Row],[Lombardy data]]))</f>
        <v>0</v>
      </c>
      <c r="AZ136" s="95">
        <f>Tabella34[[#This Row],[Lombardy acc. fit]]+CIl</f>
        <v>2549.3231855634403</v>
      </c>
      <c r="BA136" s="95">
        <f>MAX(Tabella34[[#This Row],[Lombardy acc. fit]]-CIl,0)</f>
        <v>0</v>
      </c>
      <c r="BC136" s="10"/>
      <c r="BD136" s="10"/>
      <c r="BE136" s="95">
        <f>Tabella34[[#This Row],[rest of Italy data]]*NOT(ISBLANK(Tabella34[[#This Row],[rest of Italy data]]))</f>
        <v>0</v>
      </c>
      <c r="BF136" s="95">
        <f>Tabella8[[#This Row],[rest of Italy fit]]</f>
        <v>137161.11551953363</v>
      </c>
      <c r="BG136" s="157" t="e">
        <f>_xlfn.LOGNORM.INV(alpha*Tabella34[[#This Row],[rest of Italy cumul. Fit]]/Ko,mu_o,sigma_o)-(Tabella34[[#This Row],[Day]]-po)</f>
        <v>#NUM!</v>
      </c>
      <c r="BH136" s="95">
        <f>Tabella34[[#This Row],[rest of Italy cumul. Fit]]/Ka</f>
        <v>0.92676440193694198</v>
      </c>
      <c r="BI136" s="157">
        <f>IFERROR(Ko*_xlfn.LOGNORM.DIST((Tabella34[[#This Row],[Day]]-po),mu_o,sigma_o,FALSE),0)</f>
        <v>701.03530560469312</v>
      </c>
      <c r="BJ136" s="199">
        <f>Tabella34[[#This Row],[rest of Italy velocity]]/Tabella34[[#This Row],[rest of Italy cumul. Fit]]</f>
        <v>5.1110353174756446E-3</v>
      </c>
      <c r="BK136" s="254">
        <f>(LN(Tabella34[[#This Row],[Day]]-po)-mu_o)/sigma_o</f>
        <v>1.4521093731184296</v>
      </c>
      <c r="BL136" s="262">
        <f>EXP(mu_o+sigma_o*Tabella34[[#This Row],[x_o_alpha©+plus]])-(Tabella34[[#This Row],[Day]]-po)</f>
        <v>11.043479783344637</v>
      </c>
      <c r="BM136" s="262">
        <f>EXP(mu_o+sigma_o*Tabella34[[#This Row],[x_o_alpha©-minus]])-(Tabella34[[#This Row],[Day]]-po)</f>
        <v>-65.249138825732388</v>
      </c>
      <c r="BN136" s="262">
        <f>-sigma_o+SQRT(sigma_o^2-2*Tabella34[[#This Row],[c_o]])</f>
        <v>1.8073481016951685</v>
      </c>
      <c r="BO136" s="262">
        <f>-sigma_o-SQRT(sigma_o^2-2*Tabella34[[#This Row],[c_o]])</f>
        <v>-2.4503208789941948</v>
      </c>
      <c r="BP136" s="262">
        <f>mu_o-LN(alpha*Ko/(Tabella34[[#This Row],[rest of Italy velocity]]*sigma_o*SQRTPI(2)))</f>
        <v>-2.2142913945970975</v>
      </c>
      <c r="BQ136" s="262">
        <f>Tabella34[[#This Row],[t_alpha_o+plus]]</f>
        <v>11.043479783344637</v>
      </c>
      <c r="BR136" s="90">
        <f>IFERROR(-Ka*_xlfn.LOGNORM.DIST((Tabella34[[#This Row],[Day]]-pa),mu_a,sigma_a,FALSE)*(1+(LN((Tabella34[[#This Row],[Day]]-pa))-mu_a)/sigma_a^2)/(Tabella34[[#This Row],[Day]]-pa),0)</f>
        <v>-42.368594969127678</v>
      </c>
      <c r="BS136" s="95">
        <f>Tabella34[[#This Row],[rest of Italy acc. fit]]/y_a_peak</f>
        <v>-1.2538243687925176E-2</v>
      </c>
      <c r="BT136" s="136">
        <f>Tabella34[[#This Row],[rest of Italy acc. fit]]*NOT(ISBLANK(Tabella34[[#This Row],[rest of Italy data]]))</f>
        <v>0</v>
      </c>
      <c r="BU136" s="205"/>
      <c r="BV136" s="137"/>
    </row>
    <row r="137" spans="2:74" x14ac:dyDescent="0.3">
      <c r="B137" s="281">
        <v>43960</v>
      </c>
      <c r="C137" s="4">
        <v>130</v>
      </c>
      <c r="E137" s="10"/>
      <c r="F137" s="10"/>
      <c r="G137" s="136">
        <f>Tabella34[[#This Row],[Spain daily cases]]*NOT(ISBLANK(Tabella34[[#This Row],[Spain daily cases]]))</f>
        <v>0</v>
      </c>
      <c r="H137" s="157">
        <f>Tabella8[[#This Row],[Spain cum. fit]]</f>
        <v>259915.80294543222</v>
      </c>
      <c r="I137" s="157" t="e">
        <f>_xlfn.LOGNORM.INV(alpha*Tabella34[[#This Row],[Spain cumul. Fit]]/Kt,mu_t,sigma_t)-(Tabella34[[#This Row],[Day]]-pt)</f>
        <v>#NUM!</v>
      </c>
      <c r="J137" s="157" t="e">
        <f>Tabella34[[#This Row],[Spain fitted d.t.]]/Spain_dt_at_lockdown</f>
        <v>#NUM!</v>
      </c>
      <c r="K137" s="95">
        <f>Tabella34[[#This Row],[Spain cumul. Fit]]/Kf</f>
        <v>0.92827107035627843</v>
      </c>
      <c r="L137" s="160"/>
      <c r="M137" s="95"/>
      <c r="N137" s="157">
        <f>IFERROR(Kt*_xlfn.LOGNORM.DIST((Tabella34[[#This Row],[Day]]-pt),mu_t,sigma_t,FALSE),0)</f>
        <v>1490.0838203600817</v>
      </c>
      <c r="O137" s="157" t="e">
        <f>Kt*EXP(-0.5*Tabella34[[#This Row],[x_t]]^2)/(sigma_t*SQRTPI(2)*(Tabella34[[#This Row],[Day]]-D_bk))</f>
        <v>#NAME?</v>
      </c>
      <c r="P137" s="199">
        <f>Tabella34[[#This Row],[Spain fitted velocity]]/Tabella34[[#This Row],[Spain cumul. Fit]]</f>
        <v>5.7329481450303192E-3</v>
      </c>
      <c r="Q137" s="262">
        <f>(LN(Tabella34[[#This Row],[Day]]-pt)-mu_t)/sigma_t</f>
        <v>1.463034791064018</v>
      </c>
      <c r="R137" s="262">
        <f>EXP(mu_t+sigma_t*Tabella34[[#This Row],[x_t_alpha©+plus]])-(Tabella34[[#This Row],[Day]]-pt)</f>
        <v>9.7836698213939144</v>
      </c>
      <c r="S137" s="262">
        <f>EXP(mu_t+sigma_t*Tabella34[[#This Row],[x_t_alpha©-minus]])-(Tabella34[[#This Row],[Day]]-pt)</f>
        <v>-61.447444268906835</v>
      </c>
      <c r="T137" s="262">
        <f>-sigma_t+SQRT(sigma_t^2-2*Tabella34[[#This Row],[c_t]])</f>
        <v>1.825383448513594</v>
      </c>
      <c r="U137" s="262">
        <f>-sigma_t-SQRT(sigma_t^2-2*Tabella34[[#This Row],[c_t]])</f>
        <v>-2.3628227983567611</v>
      </c>
      <c r="V137" s="262">
        <f>mu_t-LN(alpha*Kt/(Tabella34[[#This Row],[Spain fitted velocity]]*sigma_t*SQRTPI(2)))</f>
        <v>-2.1565288139455028</v>
      </c>
      <c r="W137" s="262">
        <f>Tabella34[[#This Row],[Spain fitted g.r.]]/Spain_gr_at_lockdown</f>
        <v>2.7666656607531148E-2</v>
      </c>
      <c r="X137" s="262">
        <f>Tabella34[[#This Row],[t_alpha_t+plus]]</f>
        <v>9.7836698213939144</v>
      </c>
      <c r="Y137" s="262">
        <f>Tabella34[[#This Row],[Spain fitted h.t.]]/Spain_ht_at_lockdown</f>
        <v>0.15892753865447451</v>
      </c>
      <c r="Z137" s="90">
        <f>IFERROR(-Kf*_xlfn.LOGNORM.DIST((Tabella34[[#This Row],[Day]]-pf),mu_f,sigma_f,FALSE)*(1+(LN((Tabella34[[#This Row],[Day]]-pf))-mu_f)/sigma_f^2)/(Tabella34[[#This Row],[Day]]-pf),0)</f>
        <v>-100.37766931175865</v>
      </c>
      <c r="AA137" s="90">
        <f>Tabella34[[#This Row],[Spain acc. fit]]/Spain_acc_at_lockdown</f>
        <v>-0.34205391412015507</v>
      </c>
      <c r="AB137" s="95">
        <f>Tabella34[[#This Row],[Spain acc. fit]]/y_f_peak</f>
        <v>-1.503860597547174E-2</v>
      </c>
      <c r="AC137" s="157">
        <f>Tabella34[[#This Row],[Colonna4]]*NOT(ISBLANK(Tabella34[[#This Row],[Spain daily cases]]))</f>
        <v>0</v>
      </c>
      <c r="AD137" s="157">
        <f>Tabella34[[#This Row],[Spain acc. fit]]*NOT(ISBLANK(Tabella34[[#This Row],[Spain daily cases]]))</f>
        <v>0</v>
      </c>
      <c r="AE137" s="95">
        <f>Tabella34[[#This Row],[Spain acc. fit]]+CIf</f>
        <v>2242.3107483693339</v>
      </c>
      <c r="AF137" s="95">
        <f>MAX(Tabella34[[#This Row],[Spain acc. fit]]-CIf,0)</f>
        <v>0</v>
      </c>
      <c r="AH137" s="10"/>
      <c r="AI137" s="10"/>
      <c r="AJ137" s="136">
        <f>Tabella34[[#This Row],[Lombardy data]]*NOT(ISBLANK(Tabella34[[#This Row],[Lombardy data]]))</f>
        <v>0</v>
      </c>
      <c r="AK137" s="95">
        <f>Tabella8[[#This Row],[Lombardy fit]]</f>
        <v>79895.658069660931</v>
      </c>
      <c r="AL137" s="157" t="e">
        <f>_xlfn.LOGNORM.INV(alpha*Tabella34[[#This Row],[Lombardy cumul. Fit]]/Kr,mu_r,sigma_r)-(Tabella34[[#This Row],[Day]]-pr)</f>
        <v>#NUM!</v>
      </c>
      <c r="AM137" s="95">
        <f>Tabella34[[#This Row],[Lombardy cumul. Fit]]/Kl</f>
        <v>0.91834089735242452</v>
      </c>
      <c r="AN137" s="95">
        <f>IFERROR(Kr*_xlfn.LOGNORM.DIST((Tabella34[[#This Row],[Day]]-pr),mu_r,sigma_r,FALSE),0)</f>
        <v>390.64163422160391</v>
      </c>
      <c r="AO137" s="202">
        <f>Tabella34[[#This Row],[Lombardy velocity]]/Tabella34[[#This Row],[Lombardy cumul. Fit]]</f>
        <v>4.8893975424922831E-3</v>
      </c>
      <c r="AP137" s="259">
        <f>(LN(Tabella34[[#This Row],[Day]]-pr)-mu_r)/sigma_r</f>
        <v>1.3939980109335559</v>
      </c>
      <c r="AQ137" s="262">
        <f>EXP(mu_r+sigma_r*Tabella34[[#This Row],[x_r_alpha©+plus]])-(Tabella34[[#This Row],[Day]]-pr)</f>
        <v>12.950395519447738</v>
      </c>
      <c r="AR137" s="262">
        <f>EXP(mu_r+sigma_r*Tabella34[[#This Row],[x_r_alpha©-minus]])-(Tabella34[[#This Row],[Day]]-pr)</f>
        <v>-71.96751362351398</v>
      </c>
      <c r="AS137" s="262">
        <f>-sigma_r+SQRT(sigma_r^2-2*Tabella34[[#This Row],[c_r]])</f>
        <v>1.7558850625410418</v>
      </c>
      <c r="AT137" s="262">
        <f>-sigma_r-SQRT(sigma_r^2-2*Tabella34[[#This Row],[c_r]])</f>
        <v>-2.436739659734771</v>
      </c>
      <c r="AU137" s="262">
        <f>mu_r-LN(alpha*Kr/(Tabella34[[#This Row],[Lombardy velocity]]*sigma_r*SQRTPI(2)))</f>
        <v>-2.139317384914813</v>
      </c>
      <c r="AV137" s="262">
        <f>Tabella34[[#This Row],[t_alpha_r+plus]]</f>
        <v>12.950395519447738</v>
      </c>
      <c r="AW137" s="90">
        <f>IFERROR(-Kl*_xlfn.LOGNORM.DIST((Tabella34[[#This Row],[Day]]-pl),mu_l,sigma_l,FALSE)*(1+(LN((Tabella34[[#This Row],[Day]]-pl))-mu_l)/sigma_l^2)/(Tabella34[[#This Row],[Day]]-pl),0)</f>
        <v>-20.148859655713835</v>
      </c>
      <c r="AX137" s="95">
        <f>Tabella34[[#This Row],[Lombardy acc. fit]]/y_l_peak</f>
        <v>-1.1461536675369786E-2</v>
      </c>
      <c r="AY137" s="157">
        <f>Tabella34[[#This Row],[Lombardy acc. fit]]*NOT(ISBLANK(Tabella34[[#This Row],[Lombardy data]]))</f>
        <v>0</v>
      </c>
      <c r="AZ137" s="95">
        <f>Tabella34[[#This Row],[Lombardy acc. fit]]+CIl</f>
        <v>2550.2334632606949</v>
      </c>
      <c r="BA137" s="95">
        <f>MAX(Tabella34[[#This Row],[Lombardy acc. fit]]-CIl,0)</f>
        <v>0</v>
      </c>
      <c r="BC137" s="10"/>
      <c r="BD137" s="10"/>
      <c r="BE137" s="95">
        <f>Tabella34[[#This Row],[rest of Italy data]]*NOT(ISBLANK(Tabella34[[#This Row],[rest of Italy data]]))</f>
        <v>0</v>
      </c>
      <c r="BF137" s="95">
        <f>Tabella8[[#This Row],[rest of Italy fit]]</f>
        <v>137841.33185336328</v>
      </c>
      <c r="BG137" s="157" t="e">
        <f>_xlfn.LOGNORM.INV(alpha*Tabella34[[#This Row],[rest of Italy cumul. Fit]]/Ko,mu_o,sigma_o)-(Tabella34[[#This Row],[Day]]-po)</f>
        <v>#NUM!</v>
      </c>
      <c r="BH137" s="95">
        <f>Tabella34[[#This Row],[rest of Italy cumul. Fit]]/Ka</f>
        <v>0.93136045878163576</v>
      </c>
      <c r="BI137" s="157">
        <f>IFERROR(Ko*_xlfn.LOGNORM.DIST((Tabella34[[#This Row],[Day]]-po),mu_o,sigma_o,FALSE),0)</f>
        <v>659.75953478016152</v>
      </c>
      <c r="BJ137" s="199">
        <f>Tabella34[[#This Row],[rest of Italy velocity]]/Tabella34[[#This Row],[rest of Italy cumul. Fit]]</f>
        <v>4.7863694140885043E-3</v>
      </c>
      <c r="BK137" s="254">
        <f>(LN(Tabella34[[#This Row],[Day]]-po)-mu_o)/sigma_o</f>
        <v>1.4860001457875807</v>
      </c>
      <c r="BL137" s="262">
        <f>EXP(mu_o+sigma_o*Tabella34[[#This Row],[x_o_alpha©+plus]])-(Tabella34[[#This Row],[Day]]-po)</f>
        <v>10.979256326603078</v>
      </c>
      <c r="BM137" s="262">
        <f>EXP(mu_o+sigma_o*Tabella34[[#This Row],[x_o_alpha©-minus]])-(Tabella34[[#This Row],[Day]]-po)</f>
        <v>-66.485058315915822</v>
      </c>
      <c r="BN137" s="262">
        <f>-sigma_o+SQRT(sigma_o^2-2*Tabella34[[#This Row],[c_o]])</f>
        <v>1.8356649582177633</v>
      </c>
      <c r="BO137" s="262">
        <f>-sigma_o-SQRT(sigma_o^2-2*Tabella34[[#This Row],[c_o]])</f>
        <v>-2.4786377355167897</v>
      </c>
      <c r="BP137" s="262">
        <f>mu_o-LN(alpha*Ko/(Tabella34[[#This Row],[rest of Italy velocity]]*sigma_o*SQRTPI(2)))</f>
        <v>-2.2749742176021996</v>
      </c>
      <c r="BQ137" s="262">
        <f>Tabella34[[#This Row],[t_alpha_o+plus]]</f>
        <v>10.979256326603078</v>
      </c>
      <c r="BR137" s="90">
        <f>IFERROR(-Ka*_xlfn.LOGNORM.DIST((Tabella34[[#This Row],[Day]]-pa),mu_a,sigma_a,FALSE)*(1+(LN((Tabella34[[#This Row],[Day]]-pa))-mu_a)/sigma_a^2)/(Tabella34[[#This Row],[Day]]-pa),0)</f>
        <v>-40.195594235449271</v>
      </c>
      <c r="BS137" s="95">
        <f>Tabella34[[#This Row],[rest of Italy acc. fit]]/y_a_peak</f>
        <v>-1.18951821761438E-2</v>
      </c>
      <c r="BT137" s="136">
        <f>Tabella34[[#This Row],[rest of Italy acc. fit]]*NOT(ISBLANK(Tabella34[[#This Row],[rest of Italy data]]))</f>
        <v>0</v>
      </c>
      <c r="BU137" s="205"/>
      <c r="BV137" s="137"/>
    </row>
    <row r="138" spans="2:74" x14ac:dyDescent="0.3">
      <c r="B138" s="281">
        <v>43961</v>
      </c>
      <c r="C138" s="4">
        <v>131</v>
      </c>
      <c r="E138" s="10"/>
      <c r="F138" s="10"/>
      <c r="G138" s="136">
        <f>Tabella34[[#This Row],[Spain daily cases]]*NOT(ISBLANK(Tabella34[[#This Row],[Spain daily cases]]))</f>
        <v>0</v>
      </c>
      <c r="H138" s="157">
        <f>Tabella8[[#This Row],[Spain cum. fit]]</f>
        <v>261356.61707787789</v>
      </c>
      <c r="I138" s="157" t="e">
        <f>_xlfn.LOGNORM.INV(alpha*Tabella34[[#This Row],[Spain cumul. Fit]]/Kt,mu_t,sigma_t)-(Tabella34[[#This Row],[Day]]-pt)</f>
        <v>#NUM!</v>
      </c>
      <c r="J138" s="157" t="e">
        <f>Tabella34[[#This Row],[Spain fitted d.t.]]/Spain_dt_at_lockdown</f>
        <v>#NUM!</v>
      </c>
      <c r="K138" s="95">
        <f>Tabella34[[#This Row],[Spain cumul. Fit]]/Kf</f>
        <v>0.93341683703053713</v>
      </c>
      <c r="L138" s="160"/>
      <c r="M138" s="95"/>
      <c r="N138" s="157">
        <f>IFERROR(Kt*_xlfn.LOGNORM.DIST((Tabella34[[#This Row],[Day]]-pt),mu_t,sigma_t,FALSE),0)</f>
        <v>1392.4565683377853</v>
      </c>
      <c r="O138" s="157" t="e">
        <f>Kt*EXP(-0.5*Tabella34[[#This Row],[x_t]]^2)/(sigma_t*SQRTPI(2)*(Tabella34[[#This Row],[Day]]-D_bk))</f>
        <v>#NAME?</v>
      </c>
      <c r="P138" s="199">
        <f>Tabella34[[#This Row],[Spain fitted velocity]]/Tabella34[[#This Row],[Spain cumul. Fit]]</f>
        <v>5.3278029992363547E-3</v>
      </c>
      <c r="Q138" s="262">
        <f>(LN(Tabella34[[#This Row],[Day]]-pt)-mu_t)/sigma_t</f>
        <v>1.5017320393318905</v>
      </c>
      <c r="R138" s="262">
        <f>EXP(mu_t+sigma_t*Tabella34[[#This Row],[x_t_alpha©+plus]])-(Tabella34[[#This Row],[Day]]-pt)</f>
        <v>9.6975704052360214</v>
      </c>
      <c r="S138" s="262">
        <f>EXP(mu_t+sigma_t*Tabella34[[#This Row],[x_t_alpha©-minus]])-(Tabella34[[#This Row],[Day]]-pt)</f>
        <v>-62.741461703115277</v>
      </c>
      <c r="T138" s="262">
        <f>-sigma_t+SQRT(sigma_t^2-2*Tabella34[[#This Row],[c_t]])</f>
        <v>1.8574961263608156</v>
      </c>
      <c r="U138" s="262">
        <f>-sigma_t-SQRT(sigma_t^2-2*Tabella34[[#This Row],[c_t]])</f>
        <v>-2.3949354762039827</v>
      </c>
      <c r="V138" s="262">
        <f>mu_t-LN(alpha*Kt/(Tabella34[[#This Row],[Spain fitted velocity]]*sigma_t*SQRTPI(2)))</f>
        <v>-2.2242916849664969</v>
      </c>
      <c r="W138" s="262">
        <f>Tabella34[[#This Row],[Spain fitted g.r.]]/Spain_gr_at_lockdown</f>
        <v>2.5711465082799423E-2</v>
      </c>
      <c r="X138" s="262">
        <f>Tabella34[[#This Row],[t_alpha_t+plus]]</f>
        <v>9.6975704052360214</v>
      </c>
      <c r="Y138" s="262">
        <f>Tabella34[[#This Row],[Spain fitted h.t.]]/Spain_ht_at_lockdown</f>
        <v>0.15752892560442663</v>
      </c>
      <c r="Z138" s="90">
        <f>IFERROR(-Kf*_xlfn.LOGNORM.DIST((Tabella34[[#This Row],[Day]]-pf),mu_f,sigma_f,FALSE)*(1+(LN((Tabella34[[#This Row],[Day]]-pf))-mu_f)/sigma_f^2)/(Tabella34[[#This Row],[Day]]-pf),0)</f>
        <v>-94.905139895665002</v>
      </c>
      <c r="AA138" s="90">
        <f>Tabella34[[#This Row],[Spain acc. fit]]/Spain_acc_at_lockdown</f>
        <v>-0.3234053429813028</v>
      </c>
      <c r="AB138" s="95">
        <f>Tabella34[[#This Row],[Spain acc. fit]]/y_f_peak</f>
        <v>-1.4218710333920219E-2</v>
      </c>
      <c r="AC138" s="157">
        <f>Tabella34[[#This Row],[Colonna4]]*NOT(ISBLANK(Tabella34[[#This Row],[Spain daily cases]]))</f>
        <v>0</v>
      </c>
      <c r="AD138" s="157">
        <f>Tabella34[[#This Row],[Spain acc. fit]]*NOT(ISBLANK(Tabella34[[#This Row],[Spain daily cases]]))</f>
        <v>0</v>
      </c>
      <c r="AE138" s="95">
        <f>Tabella34[[#This Row],[Spain acc. fit]]+CIf</f>
        <v>2247.7832777854278</v>
      </c>
      <c r="AF138" s="95">
        <f>MAX(Tabella34[[#This Row],[Spain acc. fit]]-CIf,0)</f>
        <v>0</v>
      </c>
      <c r="AH138" s="10"/>
      <c r="AI138" s="10"/>
      <c r="AJ138" s="136">
        <f>Tabella34[[#This Row],[Lombardy data]]*NOT(ISBLANK(Tabella34[[#This Row],[Lombardy data]]))</f>
        <v>0</v>
      </c>
      <c r="AK138" s="95">
        <f>Tabella8[[#This Row],[Lombardy fit]]</f>
        <v>80276.373838365733</v>
      </c>
      <c r="AL138" s="157" t="e">
        <f>_xlfn.LOGNORM.INV(alpha*Tabella34[[#This Row],[Lombardy cumul. Fit]]/Kr,mu_r,sigma_r)-(Tabella34[[#This Row],[Day]]-pr)</f>
        <v>#NUM!</v>
      </c>
      <c r="AM138" s="95">
        <f>Tabella34[[#This Row],[Lombardy cumul. Fit]]/Kl</f>
        <v>0.92271694067087051</v>
      </c>
      <c r="AN138" s="95">
        <f>IFERROR(Kr*_xlfn.LOGNORM.DIST((Tabella34[[#This Row],[Day]]-pr),mu_r,sigma_r,FALSE),0)</f>
        <v>370.93739703769523</v>
      </c>
      <c r="AO138" s="202">
        <f>Tabella34[[#This Row],[Lombardy velocity]]/Tabella34[[#This Row],[Lombardy cumul. Fit]]</f>
        <v>4.6207542680560968E-3</v>
      </c>
      <c r="AP138" s="259">
        <f>(LN(Tabella34[[#This Row],[Day]]-pr)-mu_r)/sigma_r</f>
        <v>1.4235868017608413</v>
      </c>
      <c r="AQ138" s="262">
        <f>EXP(mu_r+sigma_r*Tabella34[[#This Row],[x_r_alpha©+plus]])-(Tabella34[[#This Row],[Day]]-pr)</f>
        <v>12.887921405748017</v>
      </c>
      <c r="AR138" s="262">
        <f>EXP(mu_r+sigma_r*Tabella34[[#This Row],[x_r_alpha©-minus]])-(Tabella34[[#This Row],[Day]]-pr)</f>
        <v>-73.190610107004531</v>
      </c>
      <c r="AS138" s="262">
        <f>-sigma_r+SQRT(sigma_r^2-2*Tabella34[[#This Row],[c_r]])</f>
        <v>1.7804310435327313</v>
      </c>
      <c r="AT138" s="262">
        <f>-sigma_r-SQRT(sigma_r^2-2*Tabella34[[#This Row],[c_r]])</f>
        <v>-2.4612856407264605</v>
      </c>
      <c r="AU138" s="262">
        <f>mu_r-LN(alpha*Kr/(Tabella34[[#This Row],[Lombardy velocity]]*sigma_r*SQRTPI(2)))</f>
        <v>-2.1910746808753698</v>
      </c>
      <c r="AV138" s="262">
        <f>Tabella34[[#This Row],[t_alpha_r+plus]]</f>
        <v>12.887921405748017</v>
      </c>
      <c r="AW138" s="90">
        <f>IFERROR(-Kl*_xlfn.LOGNORM.DIST((Tabella34[[#This Row],[Day]]-pl),mu_l,sigma_l,FALSE)*(1+(LN((Tabella34[[#This Row],[Day]]-pl))-mu_l)/sigma_l^2)/(Tabella34[[#This Row],[Day]]-pl),0)</f>
        <v>-19.263909901126588</v>
      </c>
      <c r="AX138" s="95">
        <f>Tabella34[[#This Row],[Lombardy acc. fit]]/y_l_peak</f>
        <v>-1.0958139250335616E-2</v>
      </c>
      <c r="AY138" s="157">
        <f>Tabella34[[#This Row],[Lombardy acc. fit]]*NOT(ISBLANK(Tabella34[[#This Row],[Lombardy data]]))</f>
        <v>0</v>
      </c>
      <c r="AZ138" s="95">
        <f>Tabella34[[#This Row],[Lombardy acc. fit]]+CIl</f>
        <v>2551.1184130152819</v>
      </c>
      <c r="BA138" s="95">
        <f>MAX(Tabella34[[#This Row],[Lombardy acc. fit]]-CIl,0)</f>
        <v>0</v>
      </c>
      <c r="BC138" s="10"/>
      <c r="BD138" s="10"/>
      <c r="BE138" s="95">
        <f>Tabella34[[#This Row],[rest of Italy data]]*NOT(ISBLANK(Tabella34[[#This Row],[rest of Italy data]]))</f>
        <v>0</v>
      </c>
      <c r="BF138" s="95">
        <f>Tabella8[[#This Row],[rest of Italy fit]]</f>
        <v>138481.34618863615</v>
      </c>
      <c r="BG138" s="157" t="e">
        <f>_xlfn.LOGNORM.INV(alpha*Tabella34[[#This Row],[rest of Italy cumul. Fit]]/Ko,mu_o,sigma_o)-(Tabella34[[#This Row],[Day]]-po)</f>
        <v>#NUM!</v>
      </c>
      <c r="BH138" s="95">
        <f>Tabella34[[#This Row],[rest of Italy cumul. Fit]]/Ka</f>
        <v>0.9356848804693243</v>
      </c>
      <c r="BI138" s="157">
        <f>IFERROR(Ko*_xlfn.LOGNORM.DIST((Tabella34[[#This Row],[Day]]-po),mu_o,sigma_o,FALSE),0)</f>
        <v>620.61850395336728</v>
      </c>
      <c r="BJ138" s="199">
        <f>Tabella34[[#This Row],[rest of Italy velocity]]/Tabella34[[#This Row],[rest of Italy cumul. Fit]]</f>
        <v>4.4816036313510043E-3</v>
      </c>
      <c r="BK138" s="254">
        <f>(LN(Tabella34[[#This Row],[Day]]-po)-mu_o)/sigma_o</f>
        <v>1.5195256404660813</v>
      </c>
      <c r="BL138" s="262">
        <f>EXP(mu_o+sigma_o*Tabella34[[#This Row],[x_o_alpha©+plus]])-(Tabella34[[#This Row],[Day]]-po)</f>
        <v>10.918596258498482</v>
      </c>
      <c r="BM138" s="262">
        <f>EXP(mu_o+sigma_o*Tabella34[[#This Row],[x_o_alpha©-minus]])-(Tabella34[[#This Row],[Day]]-po)</f>
        <v>-67.717614600639294</v>
      </c>
      <c r="BN138" s="262">
        <f>-sigma_o+SQRT(sigma_o^2-2*Tabella34[[#This Row],[c_o]])</f>
        <v>1.863832730488058</v>
      </c>
      <c r="BO138" s="262">
        <f>-sigma_o-SQRT(sigma_o^2-2*Tabella34[[#This Row],[c_o]])</f>
        <v>-2.5068055077870843</v>
      </c>
      <c r="BP138" s="262">
        <f>mu_o-LN(alpha*Ko/(Tabella34[[#This Row],[rest of Italy velocity]]*sigma_o*SQRTPI(2)))</f>
        <v>-2.3361330771906523</v>
      </c>
      <c r="BQ138" s="262">
        <f>Tabella34[[#This Row],[t_alpha_o+plus]]</f>
        <v>10.918596258498482</v>
      </c>
      <c r="BR138" s="90">
        <f>IFERROR(-Ka*_xlfn.LOGNORM.DIST((Tabella34[[#This Row],[Day]]-pa),mu_a,sigma_a,FALSE)*(1+(LN((Tabella34[[#This Row],[Day]]-pa))-mu_a)/sigma_a^2)/(Tabella34[[#This Row],[Day]]-pa),0)</f>
        <v>-38.099408410592588</v>
      </c>
      <c r="BS138" s="95">
        <f>Tabella34[[#This Row],[rest of Italy acc. fit]]/y_a_peak</f>
        <v>-1.1274852691383246E-2</v>
      </c>
      <c r="BT138" s="136">
        <f>Tabella34[[#This Row],[rest of Italy acc. fit]]*NOT(ISBLANK(Tabella34[[#This Row],[rest of Italy data]]))</f>
        <v>0</v>
      </c>
      <c r="BU138" s="205"/>
      <c r="BV138" s="137"/>
    </row>
    <row r="139" spans="2:74" x14ac:dyDescent="0.3">
      <c r="B139" s="281">
        <v>43962</v>
      </c>
      <c r="C139" s="4">
        <v>132</v>
      </c>
      <c r="E139" s="10"/>
      <c r="F139" s="10"/>
      <c r="G139" s="136">
        <f>Tabella34[[#This Row],[Spain daily cases]]*NOT(ISBLANK(Tabella34[[#This Row],[Spain daily cases]]))</f>
        <v>0</v>
      </c>
      <c r="H139" s="157">
        <f>Tabella8[[#This Row],[Spain cum. fit]]</f>
        <v>262702.51141764194</v>
      </c>
      <c r="I139" s="157" t="e">
        <f>_xlfn.LOGNORM.INV(alpha*Tabella34[[#This Row],[Spain cumul. Fit]]/Kt,mu_t,sigma_t)-(Tabella34[[#This Row],[Day]]-pt)</f>
        <v>#NUM!</v>
      </c>
      <c r="J139" s="157" t="e">
        <f>Tabella34[[#This Row],[Spain fitted d.t.]]/Spain_dt_at_lockdown</f>
        <v>#NUM!</v>
      </c>
      <c r="K139" s="95">
        <f>Tabella34[[#This Row],[Spain cumul. Fit]]/Kf</f>
        <v>0.93822360431902529</v>
      </c>
      <c r="L139" s="160"/>
      <c r="M139" s="95"/>
      <c r="N139" s="157">
        <f>IFERROR(Kt*_xlfn.LOGNORM.DIST((Tabella34[[#This Row],[Day]]-pt),mu_t,sigma_t,FALSE),0)</f>
        <v>1300.2149455988288</v>
      </c>
      <c r="O139" s="157" t="e">
        <f>Kt*EXP(-0.5*Tabella34[[#This Row],[x_t]]^2)/(sigma_t*SQRTPI(2)*(Tabella34[[#This Row],[Day]]-D_bk))</f>
        <v>#NAME?</v>
      </c>
      <c r="P139" s="199">
        <f>Tabella34[[#This Row],[Spain fitted velocity]]/Tabella34[[#This Row],[Spain cumul. Fit]]</f>
        <v>4.949381483193206E-3</v>
      </c>
      <c r="Q139" s="262">
        <f>(LN(Tabella34[[#This Row],[Day]]-pt)-mu_t)/sigma_t</f>
        <v>1.5400310239380728</v>
      </c>
      <c r="R139" s="262">
        <f>EXP(mu_t+sigma_t*Tabella34[[#This Row],[x_t_alpha©+plus]])-(Tabella34[[#This Row],[Day]]-pt)</f>
        <v>9.615996116131285</v>
      </c>
      <c r="S139" s="262">
        <f>EXP(mu_t+sigma_t*Tabella34[[#This Row],[x_t_alpha©-minus]])-(Tabella34[[#This Row],[Day]]-pt)</f>
        <v>-64.031888432545713</v>
      </c>
      <c r="T139" s="262">
        <f>-sigma_t+SQRT(sigma_t^2-2*Tabella34[[#This Row],[c_t]])</f>
        <v>1.8894910311368369</v>
      </c>
      <c r="U139" s="262">
        <f>-sigma_t-SQRT(sigma_t^2-2*Tabella34[[#This Row],[c_t]])</f>
        <v>-2.426930380980004</v>
      </c>
      <c r="V139" s="262">
        <f>mu_t-LN(alpha*Kt/(Tabella34[[#This Row],[Spain fitted velocity]]*sigma_t*SQRTPI(2)))</f>
        <v>-2.2928315940276125</v>
      </c>
      <c r="W139" s="262">
        <f>Tabella34[[#This Row],[Spain fitted g.r.]]/Spain_gr_at_lockdown</f>
        <v>2.3885239226153064E-2</v>
      </c>
      <c r="X139" s="262">
        <f>Tabella34[[#This Row],[t_alpha_t+plus]]</f>
        <v>9.615996116131285</v>
      </c>
      <c r="Y139" s="262">
        <f>Tabella34[[#This Row],[Spain fitted h.t.]]/Spain_ht_at_lockdown</f>
        <v>0.15620381946106976</v>
      </c>
      <c r="Z139" s="90">
        <f>IFERROR(-Kf*_xlfn.LOGNORM.DIST((Tabella34[[#This Row],[Day]]-pf),mu_f,sigma_f,FALSE)*(1+(LN((Tabella34[[#This Row],[Day]]-pf))-mu_f)/sigma_f^2)/(Tabella34[[#This Row],[Day]]-pf),0)</f>
        <v>-89.608298339897416</v>
      </c>
      <c r="AA139" s="90">
        <f>Tabella34[[#This Row],[Spain acc. fit]]/Spain_acc_at_lockdown</f>
        <v>-0.30535545799147118</v>
      </c>
      <c r="AB139" s="95">
        <f>Tabella34[[#This Row],[Spain acc. fit]]/y_f_peak</f>
        <v>-1.3425136288837642E-2</v>
      </c>
      <c r="AC139" s="157">
        <f>Tabella34[[#This Row],[Colonna4]]*NOT(ISBLANK(Tabella34[[#This Row],[Spain daily cases]]))</f>
        <v>0</v>
      </c>
      <c r="AD139" s="157">
        <f>Tabella34[[#This Row],[Spain acc. fit]]*NOT(ISBLANK(Tabella34[[#This Row],[Spain daily cases]]))</f>
        <v>0</v>
      </c>
      <c r="AE139" s="95">
        <f>Tabella34[[#This Row],[Spain acc. fit]]+CIf</f>
        <v>2253.0801193411953</v>
      </c>
      <c r="AF139" s="95">
        <f>MAX(Tabella34[[#This Row],[Spain acc. fit]]-CIf,0)</f>
        <v>0</v>
      </c>
      <c r="AH139" s="10"/>
      <c r="AI139" s="10"/>
      <c r="AJ139" s="136">
        <f>Tabella34[[#This Row],[Lombardy data]]*NOT(ISBLANK(Tabella34[[#This Row],[Lombardy data]]))</f>
        <v>0</v>
      </c>
      <c r="AK139" s="95">
        <f>Tabella8[[#This Row],[Lombardy fit]]</f>
        <v>80637.823518680394</v>
      </c>
      <c r="AL139" s="157" t="e">
        <f>_xlfn.LOGNORM.INV(alpha*Tabella34[[#This Row],[Lombardy cumul. Fit]]/Kr,mu_r,sigma_r)-(Tabella34[[#This Row],[Day]]-pr)</f>
        <v>#NUM!</v>
      </c>
      <c r="AM139" s="95">
        <f>Tabella34[[#This Row],[Lombardy cumul. Fit]]/Kl</f>
        <v>0.92687153469747574</v>
      </c>
      <c r="AN139" s="95">
        <f>IFERROR(Kr*_xlfn.LOGNORM.DIST((Tabella34[[#This Row],[Day]]-pr),mu_r,sigma_r,FALSE),0)</f>
        <v>352.10510165754272</v>
      </c>
      <c r="AO139" s="202">
        <f>Tabella34[[#This Row],[Lombardy velocity]]/Tabella34[[#This Row],[Lombardy cumul. Fit]]</f>
        <v>4.3665005613150601E-3</v>
      </c>
      <c r="AP139" s="259">
        <f>(LN(Tabella34[[#This Row],[Day]]-pr)-mu_r)/sigma_r</f>
        <v>1.4528805194177059</v>
      </c>
      <c r="AQ139" s="262">
        <f>EXP(mu_r+sigma_r*Tabella34[[#This Row],[x_r_alpha©+plus]])-(Tabella34[[#This Row],[Day]]-pr)</f>
        <v>12.828695344257341</v>
      </c>
      <c r="AR139" s="262">
        <f>EXP(mu_r+sigma_r*Tabella34[[#This Row],[x_r_alpha©-minus]])-(Tabella34[[#This Row],[Day]]-pr)</f>
        <v>-74.410778187491616</v>
      </c>
      <c r="AS139" s="262">
        <f>-sigma_r+SQRT(sigma_r^2-2*Tabella34[[#This Row],[c_r]])</f>
        <v>1.8048575988636273</v>
      </c>
      <c r="AT139" s="262">
        <f>-sigma_r-SQRT(sigma_r^2-2*Tabella34[[#This Row],[c_r]])</f>
        <v>-2.4857121960573565</v>
      </c>
      <c r="AU139" s="262">
        <f>mu_r-LN(alpha*Kr/(Tabella34[[#This Row],[Lombardy velocity]]*sigma_r*SQRTPI(2)))</f>
        <v>-2.2431782728210568</v>
      </c>
      <c r="AV139" s="262">
        <f>Tabella34[[#This Row],[t_alpha_r+plus]]</f>
        <v>12.828695344257341</v>
      </c>
      <c r="AW139" s="90">
        <f>IFERROR(-Kl*_xlfn.LOGNORM.DIST((Tabella34[[#This Row],[Day]]-pl),mu_l,sigma_l,FALSE)*(1+(LN((Tabella34[[#This Row],[Day]]-pl))-mu_l)/sigma_l^2)/(Tabella34[[#This Row],[Day]]-pl),0)</f>
        <v>-18.40509126492115</v>
      </c>
      <c r="AX139" s="95">
        <f>Tabella34[[#This Row],[Lombardy acc. fit]]/y_l_peak</f>
        <v>-1.0469606327651412E-2</v>
      </c>
      <c r="AY139" s="157">
        <f>Tabella34[[#This Row],[Lombardy acc. fit]]*NOT(ISBLANK(Tabella34[[#This Row],[Lombardy data]]))</f>
        <v>0</v>
      </c>
      <c r="AZ139" s="95">
        <f>Tabella34[[#This Row],[Lombardy acc. fit]]+CIl</f>
        <v>2551.9772316514873</v>
      </c>
      <c r="BA139" s="95">
        <f>MAX(Tabella34[[#This Row],[Lombardy acc. fit]]-CIl,0)</f>
        <v>0</v>
      </c>
      <c r="BC139" s="10"/>
      <c r="BD139" s="10"/>
      <c r="BE139" s="95">
        <f>Tabella34[[#This Row],[rest of Italy data]]*NOT(ISBLANK(Tabella34[[#This Row],[rest of Italy data]]))</f>
        <v>0</v>
      </c>
      <c r="BF139" s="95">
        <f>Tabella8[[#This Row],[rest of Italy fit]]</f>
        <v>139083.25459424485</v>
      </c>
      <c r="BG139" s="157" t="e">
        <f>_xlfn.LOGNORM.INV(alpha*Tabella34[[#This Row],[rest of Italy cumul. Fit]]/Ko,mu_o,sigma_o)-(Tabella34[[#This Row],[Day]]-po)</f>
        <v>#NUM!</v>
      </c>
      <c r="BH139" s="95">
        <f>Tabella34[[#This Row],[rest of Italy cumul. Fit]]/Ka</f>
        <v>0.93975182962930925</v>
      </c>
      <c r="BI139" s="157">
        <f>IFERROR(Ko*_xlfn.LOGNORM.DIST((Tabella34[[#This Row],[Day]]-po),mu_o,sigma_o,FALSE),0)</f>
        <v>583.53463655676308</v>
      </c>
      <c r="BJ139" s="199">
        <f>Tabella34[[#This Row],[rest of Italy velocity]]/Tabella34[[#This Row],[rest of Italy cumul. Fit]]</f>
        <v>4.1955779526380828E-3</v>
      </c>
      <c r="BK139" s="254">
        <f>(LN(Tabella34[[#This Row],[Day]]-po)-mu_o)/sigma_o</f>
        <v>1.552693647268208</v>
      </c>
      <c r="BL139" s="262">
        <f>EXP(mu_o+sigma_o*Tabella34[[#This Row],[x_o_alpha©+plus]])-(Tabella34[[#This Row],[Day]]-po)</f>
        <v>10.861295844844605</v>
      </c>
      <c r="BM139" s="262">
        <f>EXP(mu_o+sigma_o*Tabella34[[#This Row],[x_o_alpha©-minus]])-(Tabella34[[#This Row],[Day]]-po)</f>
        <v>-68.946825082271971</v>
      </c>
      <c r="BN139" s="262">
        <f>-sigma_o+SQRT(sigma_o^2-2*Tabella34[[#This Row],[c_o]])</f>
        <v>1.8918471081720662</v>
      </c>
      <c r="BO139" s="262">
        <f>-sigma_o-SQRT(sigma_o^2-2*Tabella34[[#This Row],[c_o]])</f>
        <v>-2.5348198854710926</v>
      </c>
      <c r="BP139" s="262">
        <f>mu_o-LN(alpha*Ko/(Tabella34[[#This Row],[rest of Italy velocity]]*sigma_o*SQRTPI(2)))</f>
        <v>-2.3977458350327669</v>
      </c>
      <c r="BQ139" s="262">
        <f>Tabella34[[#This Row],[t_alpha_o+plus]]</f>
        <v>10.861295844844605</v>
      </c>
      <c r="BR139" s="90">
        <f>IFERROR(-Ka*_xlfn.LOGNORM.DIST((Tabella34[[#This Row],[Day]]-pa),mu_a,sigma_a,FALSE)*(1+(LN((Tabella34[[#This Row],[Day]]-pa))-mu_a)/sigma_a^2)/(Tabella34[[#This Row],[Day]]-pa),0)</f>
        <v>-36.081445116758061</v>
      </c>
      <c r="BS139" s="95">
        <f>Tabella34[[#This Row],[rest of Italy acc. fit]]/y_a_peak</f>
        <v>-1.0677671794782313E-2</v>
      </c>
      <c r="BT139" s="136">
        <f>Tabella34[[#This Row],[rest of Italy acc. fit]]*NOT(ISBLANK(Tabella34[[#This Row],[rest of Italy data]]))</f>
        <v>0</v>
      </c>
      <c r="BU139" s="205"/>
      <c r="BV139" s="137"/>
    </row>
    <row r="140" spans="2:74" x14ac:dyDescent="0.3">
      <c r="B140" s="281">
        <v>43963</v>
      </c>
      <c r="C140" s="4">
        <v>133</v>
      </c>
      <c r="E140" s="10"/>
      <c r="F140" s="10"/>
      <c r="G140" s="136">
        <f>Tabella34[[#This Row],[Spain daily cases]]*NOT(ISBLANK(Tabella34[[#This Row],[Spain daily cases]]))</f>
        <v>0</v>
      </c>
      <c r="H140" s="157">
        <f>Tabella8[[#This Row],[Spain cum. fit]]</f>
        <v>263958.78198034462</v>
      </c>
      <c r="I140" s="157" t="e">
        <f>_xlfn.LOGNORM.INV(alpha*Tabella34[[#This Row],[Spain cumul. Fit]]/Kt,mu_t,sigma_t)-(Tabella34[[#This Row],[Day]]-pt)</f>
        <v>#NUM!</v>
      </c>
      <c r="J140" s="157" t="e">
        <f>Tabella34[[#This Row],[Spain fitted d.t.]]/Spain_dt_at_lockdown</f>
        <v>#NUM!</v>
      </c>
      <c r="K140" s="95">
        <f>Tabella34[[#This Row],[Spain cumul. Fit]]/Kf</f>
        <v>0.94271028657028455</v>
      </c>
      <c r="L140" s="160"/>
      <c r="M140" s="95"/>
      <c r="N140" s="157">
        <f>IFERROR(Kt*_xlfn.LOGNORM.DIST((Tabella34[[#This Row],[Day]]-pt),mu_t,sigma_t,FALSE),0)</f>
        <v>1213.178071241771</v>
      </c>
      <c r="O140" s="157" t="e">
        <f>Kt*EXP(-0.5*Tabella34[[#This Row],[x_t]]^2)/(sigma_t*SQRTPI(2)*(Tabella34[[#This Row],[Day]]-D_bk))</f>
        <v>#NAME?</v>
      </c>
      <c r="P140" s="199">
        <f>Tabella34[[#This Row],[Spain fitted velocity]]/Tabella34[[#This Row],[Spain cumul. Fit]]</f>
        <v>4.5960890641331608E-3</v>
      </c>
      <c r="Q140" s="262">
        <f>(LN(Tabella34[[#This Row],[Day]]-pt)-mu_t)/sigma_t</f>
        <v>1.5779398591293432</v>
      </c>
      <c r="R140" s="262">
        <f>EXP(mu_t+sigma_t*Tabella34[[#This Row],[x_t_alpha©+plus]])-(Tabella34[[#This Row],[Day]]-pt)</f>
        <v>9.5386691401049859</v>
      </c>
      <c r="S140" s="262">
        <f>EXP(mu_t+sigma_t*Tabella34[[#This Row],[x_t_alpha©-minus]])-(Tabella34[[#This Row],[Day]]-pt)</f>
        <v>-65.318693832273183</v>
      </c>
      <c r="T140" s="262">
        <f>-sigma_t+SQRT(sigma_t^2-2*Tabella34[[#This Row],[c_t]])</f>
        <v>1.9213592724730255</v>
      </c>
      <c r="U140" s="262">
        <f>-sigma_t-SQRT(sigma_t^2-2*Tabella34[[#This Row],[c_t]])</f>
        <v>-2.4587986223161926</v>
      </c>
      <c r="V140" s="262">
        <f>mu_t-LN(alpha*Kt/(Tabella34[[#This Row],[Spain fitted velocity]]*sigma_t*SQRTPI(2)))</f>
        <v>-2.362117766065559</v>
      </c>
      <c r="W140" s="262">
        <f>Tabella34[[#This Row],[Spain fitted g.r.]]/Spain_gr_at_lockdown</f>
        <v>2.2180283975746458E-2</v>
      </c>
      <c r="X140" s="262">
        <f>Tabella34[[#This Row],[t_alpha_t+plus]]</f>
        <v>9.5386691401049859</v>
      </c>
      <c r="Y140" s="262">
        <f>Tabella34[[#This Row],[Spain fitted h.t.]]/Spain_ht_at_lockdown</f>
        <v>0.15494770736859295</v>
      </c>
      <c r="Z140" s="90">
        <f>IFERROR(-Kf*_xlfn.LOGNORM.DIST((Tabella34[[#This Row],[Day]]-pf),mu_f,sigma_f,FALSE)*(1+(LN((Tabella34[[#This Row],[Day]]-pf))-mu_f)/sigma_f^2)/(Tabella34[[#This Row],[Day]]-pf),0)</f>
        <v>-84.497071207948906</v>
      </c>
      <c r="AA140" s="90">
        <f>Tabella34[[#This Row],[Spain acc. fit]]/Spain_acc_at_lockdown</f>
        <v>-0.28793808559751666</v>
      </c>
      <c r="AB140" s="95">
        <f>Tabella34[[#This Row],[Spain acc. fit]]/y_f_peak</f>
        <v>-1.2659371040296354E-2</v>
      </c>
      <c r="AC140" s="157">
        <f>Tabella34[[#This Row],[Colonna4]]*NOT(ISBLANK(Tabella34[[#This Row],[Spain daily cases]]))</f>
        <v>0</v>
      </c>
      <c r="AD140" s="157">
        <f>Tabella34[[#This Row],[Spain acc. fit]]*NOT(ISBLANK(Tabella34[[#This Row],[Spain daily cases]]))</f>
        <v>0</v>
      </c>
      <c r="AE140" s="95">
        <f>Tabella34[[#This Row],[Spain acc. fit]]+CIf</f>
        <v>2258.1913464731438</v>
      </c>
      <c r="AF140" s="95">
        <f>MAX(Tabella34[[#This Row],[Spain acc. fit]]-CIf,0)</f>
        <v>0</v>
      </c>
      <c r="AH140" s="10"/>
      <c r="AI140" s="10"/>
      <c r="AJ140" s="136">
        <f>Tabella34[[#This Row],[Lombardy data]]*NOT(ISBLANK(Tabella34[[#This Row],[Lombardy data]]))</f>
        <v>0</v>
      </c>
      <c r="AK140" s="95">
        <f>Tabella8[[#This Row],[Lombardy fit]]</f>
        <v>80980.86588033702</v>
      </c>
      <c r="AL140" s="157" t="e">
        <f>_xlfn.LOGNORM.INV(alpha*Tabella34[[#This Row],[Lombardy cumul. Fit]]/Kr,mu_r,sigma_r)-(Tabella34[[#This Row],[Day]]-pr)</f>
        <v>#NUM!</v>
      </c>
      <c r="AM140" s="95">
        <f>Tabella34[[#This Row],[Lombardy cumul. Fit]]/Kl</f>
        <v>0.93081455034870142</v>
      </c>
      <c r="AN140" s="95">
        <f>IFERROR(Kr*_xlfn.LOGNORM.DIST((Tabella34[[#This Row],[Day]]-pr),mu_r,sigma_r,FALSE),0)</f>
        <v>334.1183060046618</v>
      </c>
      <c r="AO140" s="202">
        <f>Tabella34[[#This Row],[Lombardy velocity]]/Tabella34[[#This Row],[Lombardy cumul. Fit]]</f>
        <v>4.125891991552404E-3</v>
      </c>
      <c r="AP140" s="259">
        <f>(LN(Tabella34[[#This Row],[Day]]-pr)-mu_r)/sigma_r</f>
        <v>1.4818849910544318</v>
      </c>
      <c r="AQ140" s="262">
        <f>EXP(mu_r+sigma_r*Tabella34[[#This Row],[x_r_alpha©+plus]])-(Tabella34[[#This Row],[Day]]-pr)</f>
        <v>12.77254971560518</v>
      </c>
      <c r="AR140" s="262">
        <f>EXP(mu_r+sigma_r*Tabella34[[#This Row],[x_r_alpha©-minus]])-(Tabella34[[#This Row],[Day]]-pr)</f>
        <v>-75.628033022818798</v>
      </c>
      <c r="AS140" s="262">
        <f>-sigma_r+SQRT(sigma_r^2-2*Tabella34[[#This Row],[c_r]])</f>
        <v>1.8291617044481923</v>
      </c>
      <c r="AT140" s="262">
        <f>-sigma_r-SQRT(sigma_r^2-2*Tabella34[[#This Row],[c_r]])</f>
        <v>-2.5100163016419215</v>
      </c>
      <c r="AU140" s="262">
        <f>mu_r-LN(alpha*Kr/(Tabella34[[#This Row],[Lombardy velocity]]*sigma_r*SQRTPI(2)))</f>
        <v>-2.2956128482520421</v>
      </c>
      <c r="AV140" s="262">
        <f>Tabella34[[#This Row],[t_alpha_r+plus]]</f>
        <v>12.77254971560518</v>
      </c>
      <c r="AW140" s="90">
        <f>IFERROR(-Kl*_xlfn.LOGNORM.DIST((Tabella34[[#This Row],[Day]]-pl),mu_l,sigma_l,FALSE)*(1+(LN((Tabella34[[#This Row],[Day]]-pl))-mu_l)/sigma_l^2)/(Tabella34[[#This Row],[Day]]-pl),0)</f>
        <v>-17.572991722059733</v>
      </c>
      <c r="AX140" s="95">
        <f>Tabella34[[#This Row],[Lombardy acc. fit]]/y_l_peak</f>
        <v>-9.9962723727265741E-3</v>
      </c>
      <c r="AY140" s="157">
        <f>Tabella34[[#This Row],[Lombardy acc. fit]]*NOT(ISBLANK(Tabella34[[#This Row],[Lombardy data]]))</f>
        <v>0</v>
      </c>
      <c r="AZ140" s="95">
        <f>Tabella34[[#This Row],[Lombardy acc. fit]]+CIl</f>
        <v>2552.8093311943489</v>
      </c>
      <c r="BA140" s="95">
        <f>MAX(Tabella34[[#This Row],[Lombardy acc. fit]]-CIl,0)</f>
        <v>0</v>
      </c>
      <c r="BC140" s="10"/>
      <c r="BD140" s="10"/>
      <c r="BE140" s="95">
        <f>Tabella34[[#This Row],[rest of Italy data]]*NOT(ISBLANK(Tabella34[[#This Row],[rest of Italy data]]))</f>
        <v>0</v>
      </c>
      <c r="BF140" s="95">
        <f>Tabella8[[#This Row],[rest of Italy fit]]</f>
        <v>139649.07497077979</v>
      </c>
      <c r="BG140" s="157" t="e">
        <f>_xlfn.LOGNORM.INV(alpha*Tabella34[[#This Row],[rest of Italy cumul. Fit]]/Ko,mu_o,sigma_o)-(Tabella34[[#This Row],[Day]]-po)</f>
        <v>#NUM!</v>
      </c>
      <c r="BH140" s="95">
        <f>Tabella34[[#This Row],[rest of Italy cumul. Fit]]/Ka</f>
        <v>0.94357494072662651</v>
      </c>
      <c r="BI140" s="157">
        <f>IFERROR(Ko*_xlfn.LOGNORM.DIST((Tabella34[[#This Row],[Day]]-po),mu_o,sigma_o,FALSE),0)</f>
        <v>548.42928104988653</v>
      </c>
      <c r="BJ140" s="199">
        <f>Tabella34[[#This Row],[rest of Italy velocity]]/Tabella34[[#This Row],[rest of Italy cumul. Fit]]</f>
        <v>3.9271959457278178E-3</v>
      </c>
      <c r="BK140" s="254">
        <f>(LN(Tabella34[[#This Row],[Day]]-po)-mu_o)/sigma_o</f>
        <v>1.5855117097310152</v>
      </c>
      <c r="BL140" s="262">
        <f>EXP(mu_o+sigma_o*Tabella34[[#This Row],[x_o_alpha©+plus]])-(Tabella34[[#This Row],[Day]]-po)</f>
        <v>10.807165863258049</v>
      </c>
      <c r="BM140" s="262">
        <f>EXP(mu_o+sigma_o*Tabella34[[#This Row],[x_o_alpha©-minus]])-(Tabella34[[#This Row],[Day]]-po)</f>
        <v>-70.172712389818955</v>
      </c>
      <c r="BN140" s="262">
        <f>-sigma_o+SQRT(sigma_o^2-2*Tabella34[[#This Row],[c_o]])</f>
        <v>1.9197043904558364</v>
      </c>
      <c r="BO140" s="262">
        <f>-sigma_o-SQRT(sigma_o^2-2*Tabella34[[#This Row],[c_o]])</f>
        <v>-2.5626771677548628</v>
      </c>
      <c r="BP140" s="262">
        <f>mu_o-LN(alpha*Ko/(Tabella34[[#This Row],[rest of Italy velocity]]*sigma_o*SQRTPI(2)))</f>
        <v>-2.4597913051299685</v>
      </c>
      <c r="BQ140" s="262">
        <f>Tabella34[[#This Row],[t_alpha_o+plus]]</f>
        <v>10.807165863258049</v>
      </c>
      <c r="BR140" s="90">
        <f>IFERROR(-Ka*_xlfn.LOGNORM.DIST((Tabella34[[#This Row],[Day]]-pa),mu_a,sigma_a,FALSE)*(1+(LN((Tabella34[[#This Row],[Day]]-pa))-mu_a)/sigma_a^2)/(Tabella34[[#This Row],[Day]]-pa),0)</f>
        <v>-34.142460883304153</v>
      </c>
      <c r="BS140" s="95">
        <f>Tabella34[[#This Row],[rest of Italy acc. fit]]/y_a_peak</f>
        <v>-1.0103863367955681E-2</v>
      </c>
      <c r="BT140" s="136">
        <f>Tabella34[[#This Row],[rest of Italy acc. fit]]*NOT(ISBLANK(Tabella34[[#This Row],[rest of Italy data]]))</f>
        <v>0</v>
      </c>
      <c r="BU140" s="205"/>
      <c r="BV140" s="137"/>
    </row>
    <row r="141" spans="2:74" x14ac:dyDescent="0.3">
      <c r="B141" s="281">
        <v>43964</v>
      </c>
      <c r="C141" s="4">
        <v>134</v>
      </c>
      <c r="E141" s="10"/>
      <c r="F141" s="10"/>
      <c r="G141" s="136">
        <f>Tabella34[[#This Row],[Spain daily cases]]*NOT(ISBLANK(Tabella34[[#This Row],[Spain daily cases]]))</f>
        <v>0</v>
      </c>
      <c r="H141" s="157">
        <f>Tabella8[[#This Row],[Spain cum. fit]]</f>
        <v>265130.539384339</v>
      </c>
      <c r="I141" s="157" t="e">
        <f>_xlfn.LOGNORM.INV(alpha*Tabella34[[#This Row],[Spain cumul. Fit]]/Kt,mu_t,sigma_t)-(Tabella34[[#This Row],[Day]]-pt)</f>
        <v>#NUM!</v>
      </c>
      <c r="J141" s="157" t="e">
        <f>Tabella34[[#This Row],[Spain fitted d.t.]]/Spain_dt_at_lockdown</f>
        <v>#NUM!</v>
      </c>
      <c r="K141" s="95">
        <f>Tabella34[[#This Row],[Spain cumul. Fit]]/Kf</f>
        <v>0.94689513599951347</v>
      </c>
      <c r="L141" s="160"/>
      <c r="M141" s="95"/>
      <c r="N141" s="157">
        <f>IFERROR(Kt*_xlfn.LOGNORM.DIST((Tabella34[[#This Row],[Day]]-pt),mu_t,sigma_t,FALSE),0)</f>
        <v>1131.1564660377999</v>
      </c>
      <c r="O141" s="157" t="e">
        <f>Kt*EXP(-0.5*Tabella34[[#This Row],[x_t]]^2)/(sigma_t*SQRTPI(2)*(Tabella34[[#This Row],[Day]]-D_bk))</f>
        <v>#NAME?</v>
      </c>
      <c r="P141" s="199">
        <f>Tabella34[[#This Row],[Spain fitted velocity]]/Tabella34[[#This Row],[Spain cumul. Fit]]</f>
        <v>4.2664133247888539E-3</v>
      </c>
      <c r="Q141" s="262">
        <f>(LN(Tabella34[[#This Row],[Day]]-pt)-mu_t)/sigma_t</f>
        <v>1.6154664136709096</v>
      </c>
      <c r="R141" s="262">
        <f>EXP(mu_t+sigma_t*Tabella34[[#This Row],[x_t_alpha©+plus]])-(Tabella34[[#This Row],[Day]]-pt)</f>
        <v>9.465332807131503</v>
      </c>
      <c r="S141" s="262">
        <f>EXP(mu_t+sigma_t*Tabella34[[#This Row],[x_t_alpha©-minus]])-(Tabella34[[#This Row],[Day]]-pt)</f>
        <v>-66.601858501232442</v>
      </c>
      <c r="T141" s="262">
        <f>-sigma_t+SQRT(sigma_t^2-2*Tabella34[[#This Row],[c_t]])</f>
        <v>1.9530930034033396</v>
      </c>
      <c r="U141" s="262">
        <f>-sigma_t-SQRT(sigma_t^2-2*Tabella34[[#This Row],[c_t]])</f>
        <v>-2.4905323532465067</v>
      </c>
      <c r="V141" s="262">
        <f>mu_t-LN(alpha*Kt/(Tabella34[[#This Row],[Spain fitted velocity]]*sigma_t*SQRTPI(2)))</f>
        <v>-2.4321206569377036</v>
      </c>
      <c r="W141" s="262">
        <f>Tabella34[[#This Row],[Spain fitted g.r.]]/Spain_gr_at_lockdown</f>
        <v>2.058930055124443E-2</v>
      </c>
      <c r="X141" s="262">
        <f>Tabella34[[#This Row],[t_alpha_t+plus]]</f>
        <v>9.465332807131503</v>
      </c>
      <c r="Y141" s="262">
        <f>Tabella34[[#This Row],[Spain fitted h.t.]]/Spain_ht_at_lockdown</f>
        <v>0.15375641993696537</v>
      </c>
      <c r="Z141" s="90">
        <f>IFERROR(-Kf*_xlfn.LOGNORM.DIST((Tabella34[[#This Row],[Day]]-pf),mu_f,sigma_f,FALSE)*(1+(LN((Tabella34[[#This Row],[Day]]-pf))-mu_f)/sigma_f^2)/(Tabella34[[#This Row],[Day]]-pf),0)</f>
        <v>-79.578778364986164</v>
      </c>
      <c r="AA141" s="90">
        <f>Tabella34[[#This Row],[Spain acc. fit]]/Spain_acc_at_lockdown</f>
        <v>-0.27117816948012302</v>
      </c>
      <c r="AB141" s="95">
        <f>Tabella34[[#This Row],[Spain acc. fit]]/y_f_peak</f>
        <v>-1.1922511252213637E-2</v>
      </c>
      <c r="AC141" s="157">
        <f>Tabella34[[#This Row],[Colonna4]]*NOT(ISBLANK(Tabella34[[#This Row],[Spain daily cases]]))</f>
        <v>0</v>
      </c>
      <c r="AD141" s="157">
        <f>Tabella34[[#This Row],[Spain acc. fit]]*NOT(ISBLANK(Tabella34[[#This Row],[Spain daily cases]]))</f>
        <v>0</v>
      </c>
      <c r="AE141" s="95">
        <f>Tabella34[[#This Row],[Spain acc. fit]]+CIf</f>
        <v>2263.1096393161065</v>
      </c>
      <c r="AF141" s="95">
        <f>MAX(Tabella34[[#This Row],[Spain acc. fit]]-CIf,0)</f>
        <v>0</v>
      </c>
      <c r="AH141" s="10"/>
      <c r="AI141" s="10"/>
      <c r="AJ141" s="136">
        <f>Tabella34[[#This Row],[Lombardy data]]*NOT(ISBLANK(Tabella34[[#This Row],[Lombardy data]]))</f>
        <v>0</v>
      </c>
      <c r="AK141" s="95">
        <f>Tabella8[[#This Row],[Lombardy fit]]</f>
        <v>81306.332990023977</v>
      </c>
      <c r="AL141" s="157" t="e">
        <f>_xlfn.LOGNORM.INV(alpha*Tabella34[[#This Row],[Lombardy cumul. Fit]]/Kr,mu_r,sigma_r)-(Tabella34[[#This Row],[Day]]-pr)</f>
        <v>#NUM!</v>
      </c>
      <c r="AM141" s="95">
        <f>Tabella34[[#This Row],[Lombardy cumul. Fit]]/Kl</f>
        <v>0.93455555160947101</v>
      </c>
      <c r="AN141" s="95">
        <f>IFERROR(Kr*_xlfn.LOGNORM.DIST((Tabella34[[#This Row],[Day]]-pr),mu_r,sigma_r,FALSE),0)</f>
        <v>316.95007817583087</v>
      </c>
      <c r="AO141" s="202">
        <f>Tabella34[[#This Row],[Lombardy velocity]]/Tabella34[[#This Row],[Lombardy cumul. Fit]]</f>
        <v>3.8982212887982491E-3</v>
      </c>
      <c r="AP141" s="259">
        <f>(LN(Tabella34[[#This Row],[Day]]-pr)-mu_r)/sigma_r</f>
        <v>1.5106058728944847</v>
      </c>
      <c r="AQ141" s="262">
        <f>EXP(mu_r+sigma_r*Tabella34[[#This Row],[x_r_alpha©+plus]])-(Tabella34[[#This Row],[Day]]-pr)</f>
        <v>12.719327677001672</v>
      </c>
      <c r="AR141" s="262">
        <f>EXP(mu_r+sigma_r*Tabella34[[#This Row],[x_r_alpha©-minus]])-(Tabella34[[#This Row],[Day]]-pr)</f>
        <v>-76.842393431973846</v>
      </c>
      <c r="AS141" s="262">
        <f>-sigma_r+SQRT(sigma_r^2-2*Tabella34[[#This Row],[c_r]])</f>
        <v>1.8533407299515532</v>
      </c>
      <c r="AT141" s="262">
        <f>-sigma_r-SQRT(sigma_r^2-2*Tabella34[[#This Row],[c_r]])</f>
        <v>-2.5341953271452824</v>
      </c>
      <c r="AU141" s="262">
        <f>mu_r-LN(alpha*Kr/(Tabella34[[#This Row],[Lombardy velocity]]*sigma_r*SQRTPI(2)))</f>
        <v>-2.3483637087256266</v>
      </c>
      <c r="AV141" s="262">
        <f>Tabella34[[#This Row],[t_alpha_r+plus]]</f>
        <v>12.719327677001672</v>
      </c>
      <c r="AW141" s="90">
        <f>IFERROR(-Kl*_xlfn.LOGNORM.DIST((Tabella34[[#This Row],[Day]]-pl),mu_l,sigma_l,FALSE)*(1+(LN((Tabella34[[#This Row],[Day]]-pl))-mu_l)/sigma_l^2)/(Tabella34[[#This Row],[Day]]-pl),0)</f>
        <v>-16.768006574426934</v>
      </c>
      <c r="AX141" s="95">
        <f>Tabella34[[#This Row],[Lombardy acc. fit]]/y_l_peak</f>
        <v>-9.5383622502494998E-3</v>
      </c>
      <c r="AY141" s="157">
        <f>Tabella34[[#This Row],[Lombardy acc. fit]]*NOT(ISBLANK(Tabella34[[#This Row],[Lombardy data]]))</f>
        <v>0</v>
      </c>
      <c r="AZ141" s="95">
        <f>Tabella34[[#This Row],[Lombardy acc. fit]]+CIl</f>
        <v>2553.6143163419815</v>
      </c>
      <c r="BA141" s="95">
        <f>MAX(Tabella34[[#This Row],[Lombardy acc. fit]]-CIl,0)</f>
        <v>0</v>
      </c>
      <c r="BC141" s="10"/>
      <c r="BD141" s="10"/>
      <c r="BE141" s="95">
        <f>Tabella34[[#This Row],[rest of Italy data]]*NOT(ISBLANK(Tabella34[[#This Row],[rest of Italy data]]))</f>
        <v>0</v>
      </c>
      <c r="BF141" s="95">
        <f>Tabella8[[#This Row],[rest of Italy fit]]</f>
        <v>140180.74628718375</v>
      </c>
      <c r="BG141" s="157" t="e">
        <f>_xlfn.LOGNORM.INV(alpha*Tabella34[[#This Row],[rest of Italy cumul. Fit]]/Ko,mu_o,sigma_o)-(Tabella34[[#This Row],[Day]]-po)</f>
        <v>#NUM!</v>
      </c>
      <c r="BH141" s="95">
        <f>Tabella34[[#This Row],[rest of Italy cumul. Fit]]/Ka</f>
        <v>0.94716731490430628</v>
      </c>
      <c r="BI141" s="157">
        <f>IFERROR(Ko*_xlfn.LOGNORM.DIST((Tabella34[[#This Row],[Day]]-po),mu_o,sigma_o,FALSE),0)</f>
        <v>515.22332054014612</v>
      </c>
      <c r="BJ141" s="199">
        <f>Tabella34[[#This Row],[rest of Italy velocity]]/Tabella34[[#This Row],[rest of Italy cumul. Fit]]</f>
        <v>3.6754214411487355E-3</v>
      </c>
      <c r="BK141" s="254">
        <f>(LN(Tabella34[[#This Row],[Day]]-po)-mu_o)/sigma_o</f>
        <v>1.6179871351121868</v>
      </c>
      <c r="BL141" s="262">
        <f>EXP(mu_o+sigma_o*Tabella34[[#This Row],[x_o_alpha©+plus]])-(Tabella34[[#This Row],[Day]]-po)</f>
        <v>10.756030387066431</v>
      </c>
      <c r="BM141" s="262">
        <f>EXP(mu_o+sigma_o*Tabella34[[#This Row],[x_o_alpha©-minus]])-(Tabella34[[#This Row],[Day]]-po)</f>
        <v>-71.395303644818185</v>
      </c>
      <c r="BN141" s="262">
        <f>-sigma_o+SQRT(sigma_o^2-2*Tabella34[[#This Row],[c_o]])</f>
        <v>1.9474014249041933</v>
      </c>
      <c r="BO141" s="262">
        <f>-sigma_o-SQRT(sigma_o^2-2*Tabella34[[#This Row],[c_o]])</f>
        <v>-2.5903742022032197</v>
      </c>
      <c r="BP141" s="262">
        <f>mu_o-LN(alpha*Ko/(Tabella34[[#This Row],[rest of Italy velocity]]*sigma_o*SQRTPI(2)))</f>
        <v>-2.5222492062028063</v>
      </c>
      <c r="BQ141" s="262">
        <f>Tabella34[[#This Row],[t_alpha_o+plus]]</f>
        <v>10.756030387066431</v>
      </c>
      <c r="BR141" s="90">
        <f>IFERROR(-Ka*_xlfn.LOGNORM.DIST((Tabella34[[#This Row],[Day]]-pa),mu_a,sigma_a,FALSE)*(1+(LN((Tabella34[[#This Row],[Day]]-pa))-mu_a)/sigma_a^2)/(Tabella34[[#This Row],[Day]]-pa),0)</f>
        <v>-32.282642951907164</v>
      </c>
      <c r="BS141" s="95">
        <f>Tabella34[[#This Row],[rest of Italy acc. fit]]/y_a_peak</f>
        <v>-9.5534828217983241E-3</v>
      </c>
      <c r="BT141" s="136">
        <f>Tabella34[[#This Row],[rest of Italy acc. fit]]*NOT(ISBLANK(Tabella34[[#This Row],[rest of Italy data]]))</f>
        <v>0</v>
      </c>
      <c r="BU141" s="205"/>
      <c r="BV141" s="137"/>
    </row>
    <row r="142" spans="2:74" x14ac:dyDescent="0.3">
      <c r="B142" s="281">
        <v>43965</v>
      </c>
      <c r="C142" s="4">
        <v>135</v>
      </c>
      <c r="E142" s="10"/>
      <c r="F142" s="10"/>
      <c r="G142" s="136">
        <f>Tabella34[[#This Row],[Spain daily cases]]*NOT(ISBLANK(Tabella34[[#This Row],[Spain daily cases]]))</f>
        <v>0</v>
      </c>
      <c r="H142" s="157">
        <f>Tabella8[[#This Row],[Spain cum. fit]]</f>
        <v>266222.70150665665</v>
      </c>
      <c r="I142" s="157" t="e">
        <f>_xlfn.LOGNORM.INV(alpha*Tabella34[[#This Row],[Spain cumul. Fit]]/Kt,mu_t,sigma_t)-(Tabella34[[#This Row],[Day]]-pt)</f>
        <v>#NUM!</v>
      </c>
      <c r="J142" s="157" t="e">
        <f>Tabella34[[#This Row],[Spain fitted d.t.]]/Spain_dt_at_lockdown</f>
        <v>#NUM!</v>
      </c>
      <c r="K142" s="95">
        <f>Tabella34[[#This Row],[Spain cumul. Fit]]/Kf</f>
        <v>0.95079571645979133</v>
      </c>
      <c r="L142" s="160"/>
      <c r="M142" s="95"/>
      <c r="N142" s="157">
        <f>IFERROR(Kt*_xlfn.LOGNORM.DIST((Tabella34[[#This Row],[Day]]-pt),mu_t,sigma_t,FALSE),0)</f>
        <v>1053.954512606248</v>
      </c>
      <c r="O142" s="157" t="e">
        <f>Kt*EXP(-0.5*Tabella34[[#This Row],[x_t]]^2)/(sigma_t*SQRTPI(2)*(Tabella34[[#This Row],[Day]]-D_bk))</f>
        <v>#NAME?</v>
      </c>
      <c r="P142" s="199">
        <f>Tabella34[[#This Row],[Spain fitted velocity]]/Tabella34[[#This Row],[Spain cumul. Fit]]</f>
        <v>3.9589205076859119E-3</v>
      </c>
      <c r="Q142" s="262">
        <f>(LN(Tabella34[[#This Row],[Day]]-pt)-mu_t)/sigma_t</f>
        <v>1.6526183206497553</v>
      </c>
      <c r="R142" s="262">
        <f>EXP(mu_t+sigma_t*Tabella34[[#This Row],[x_t_alpha©+plus]])-(Tabella34[[#This Row],[Day]]-pt)</f>
        <v>9.3957497171598447</v>
      </c>
      <c r="S142" s="262">
        <f>EXP(mu_t+sigma_t*Tabella34[[#This Row],[x_t_alpha©-minus]])-(Tabella34[[#This Row],[Day]]-pt)</f>
        <v>-67.881372880786188</v>
      </c>
      <c r="T142" s="262">
        <f>-sigma_t+SQRT(sigma_t^2-2*Tabella34[[#This Row],[c_t]])</f>
        <v>1.9846853162741802</v>
      </c>
      <c r="U142" s="262">
        <f>-sigma_t-SQRT(sigma_t^2-2*Tabella34[[#This Row],[c_t]])</f>
        <v>-2.5221246661173473</v>
      </c>
      <c r="V142" s="262">
        <f>mu_t-LN(alpha*Kt/(Tabella34[[#This Row],[Spain fitted velocity]]*sigma_t*SQRTPI(2)))</f>
        <v>-2.5028118953280094</v>
      </c>
      <c r="W142" s="262">
        <f>Tabella34[[#This Row],[Spain fitted g.r.]]/Spain_gr_at_lockdown</f>
        <v>1.9105369776910783E-2</v>
      </c>
      <c r="X142" s="262">
        <f>Tabella34[[#This Row],[t_alpha_t+plus]]</f>
        <v>9.3957497171598447</v>
      </c>
      <c r="Y142" s="262">
        <f>Tabella34[[#This Row],[Spain fitted h.t.]]/Spain_ht_at_lockdown</f>
        <v>0.1526261008007874</v>
      </c>
      <c r="Z142" s="90">
        <f>IFERROR(-Kf*_xlfn.LOGNORM.DIST((Tabella34[[#This Row],[Day]]-pf),mu_f,sigma_f,FALSE)*(1+(LN((Tabella34[[#This Row],[Day]]-pf))-mu_f)/sigma_f^2)/(Tabella34[[#This Row],[Day]]-pf),0)</f>
        <v>-74.858423183015844</v>
      </c>
      <c r="AA142" s="90">
        <f>Tabella34[[#This Row],[Spain acc. fit]]/Spain_acc_at_lockdown</f>
        <v>-0.25509275947707205</v>
      </c>
      <c r="AB142" s="95">
        <f>Tabella34[[#This Row],[Spain acc. fit]]/y_f_peak</f>
        <v>-1.1215306530957852E-2</v>
      </c>
      <c r="AC142" s="157">
        <f>Tabella34[[#This Row],[Colonna4]]*NOT(ISBLANK(Tabella34[[#This Row],[Spain daily cases]]))</f>
        <v>0</v>
      </c>
      <c r="AD142" s="157">
        <f>Tabella34[[#This Row],[Spain acc. fit]]*NOT(ISBLANK(Tabella34[[#This Row],[Spain daily cases]]))</f>
        <v>0</v>
      </c>
      <c r="AE142" s="95">
        <f>Tabella34[[#This Row],[Spain acc. fit]]+CIf</f>
        <v>2267.8299944980768</v>
      </c>
      <c r="AF142" s="95">
        <f>MAX(Tabella34[[#This Row],[Spain acc. fit]]-CIf,0)</f>
        <v>0</v>
      </c>
      <c r="AH142" s="10"/>
      <c r="AI142" s="10"/>
      <c r="AJ142" s="136">
        <f>Tabella34[[#This Row],[Lombardy data]]*NOT(ISBLANK(Tabella34[[#This Row],[Lombardy data]]))</f>
        <v>0</v>
      </c>
      <c r="AK142" s="95">
        <f>Tabella8[[#This Row],[Lombardy fit]]</f>
        <v>81615.02981433706</v>
      </c>
      <c r="AL142" s="157" t="e">
        <f>_xlfn.LOGNORM.INV(alpha*Tabella34[[#This Row],[Lombardy cumul. Fit]]/Kr,mu_r,sigma_r)-(Tabella34[[#This Row],[Day]]-pr)</f>
        <v>#NUM!</v>
      </c>
      <c r="AM142" s="95">
        <f>Tabella34[[#This Row],[Lombardy cumul. Fit]]/Kl</f>
        <v>0.93810379096939145</v>
      </c>
      <c r="AN142" s="95">
        <f>IFERROR(Kr*_xlfn.LOGNORM.DIST((Tabella34[[#This Row],[Day]]-pr),mu_r,sigma_r,FALSE),0)</f>
        <v>300.57317850286819</v>
      </c>
      <c r="AO142" s="202">
        <f>Tabella34[[#This Row],[Lombardy velocity]]/Tabella34[[#This Row],[Lombardy cumul. Fit]]</f>
        <v>3.6828165006694323E-3</v>
      </c>
      <c r="AP142" s="259">
        <f>(LN(Tabella34[[#This Row],[Day]]-pr)-mu_r)/sigma_r</f>
        <v>1.5390486568548551</v>
      </c>
      <c r="AQ142" s="262">
        <f>EXP(mu_r+sigma_r*Tabella34[[#This Row],[x_r_alpha©+plus]])-(Tabella34[[#This Row],[Day]]-pr)</f>
        <v>12.668882346508923</v>
      </c>
      <c r="AR142" s="262">
        <f>EXP(mu_r+sigma_r*Tabella34[[#This Row],[x_r_alpha©-minus]])-(Tabella34[[#This Row],[Day]]-pr)</f>
        <v>-78.053881422035204</v>
      </c>
      <c r="AS142" s="262">
        <f>-sigma_r+SQRT(sigma_r^2-2*Tabella34[[#This Row],[c_r]])</f>
        <v>1.8773924028759685</v>
      </c>
      <c r="AT142" s="262">
        <f>-sigma_r-SQRT(sigma_r^2-2*Tabella34[[#This Row],[c_r]])</f>
        <v>-2.5582470000696977</v>
      </c>
      <c r="AU142" s="262">
        <f>mu_r-LN(alpha*Kr/(Tabella34[[#This Row],[Lombardy velocity]]*sigma_r*SQRTPI(2)))</f>
        <v>-2.4014167413055443</v>
      </c>
      <c r="AV142" s="262">
        <f>Tabella34[[#This Row],[t_alpha_r+plus]]</f>
        <v>12.668882346508923</v>
      </c>
      <c r="AW142" s="90">
        <f>IFERROR(-Kl*_xlfn.LOGNORM.DIST((Tabella34[[#This Row],[Day]]-pl),mu_l,sigma_l,FALSE)*(1+(LN((Tabella34[[#This Row],[Day]]-pl))-mu_l)/sigma_l^2)/(Tabella34[[#This Row],[Day]]-pl),0)</f>
        <v>-15.990359415924694</v>
      </c>
      <c r="AX142" s="95">
        <f>Tabella34[[#This Row],[Lombardy acc. fit]]/y_l_peak</f>
        <v>-9.0960031500339714E-3</v>
      </c>
      <c r="AY142" s="157">
        <f>Tabella34[[#This Row],[Lombardy acc. fit]]*NOT(ISBLANK(Tabella34[[#This Row],[Lombardy data]]))</f>
        <v>0</v>
      </c>
      <c r="AZ142" s="95">
        <f>Tabella34[[#This Row],[Lombardy acc. fit]]+CIl</f>
        <v>2554.3919635004841</v>
      </c>
      <c r="BA142" s="95">
        <f>MAX(Tabella34[[#This Row],[Lombardy acc. fit]]-CIl,0)</f>
        <v>0</v>
      </c>
      <c r="BC142" s="10"/>
      <c r="BD142" s="10"/>
      <c r="BE142" s="95">
        <f>Tabella34[[#This Row],[rest of Italy data]]*NOT(ISBLANK(Tabella34[[#This Row],[rest of Italy data]]))</f>
        <v>0</v>
      </c>
      <c r="BF142" s="95">
        <f>Tabella8[[#This Row],[rest of Italy fit]]</f>
        <v>140680.12838725458</v>
      </c>
      <c r="BG142" s="157" t="e">
        <f>_xlfn.LOGNORM.INV(alpha*Tabella34[[#This Row],[rest of Italy cumul. Fit]]/Ko,mu_o,sigma_o)-(Tabella34[[#This Row],[Day]]-po)</f>
        <v>#NUM!</v>
      </c>
      <c r="BH142" s="95">
        <f>Tabella34[[#This Row],[rest of Italy cumul. Fit]]/Ka</f>
        <v>0.95054151867595937</v>
      </c>
      <c r="BI142" s="157">
        <f>IFERROR(Ko*_xlfn.LOGNORM.DIST((Tabella34[[#This Row],[Day]]-po),mu_o,sigma_o,FALSE),0)</f>
        <v>483.83770398131725</v>
      </c>
      <c r="BJ142" s="199">
        <f>Tabella34[[#This Row],[rest of Italy velocity]]/Tabella34[[#This Row],[rest of Italy cumul. Fit]]</f>
        <v>3.4392753939592813E-3</v>
      </c>
      <c r="BK142" s="254">
        <f>(LN(Tabella34[[#This Row],[Day]]-po)-mu_o)/sigma_o</f>
        <v>1.6501270041558471</v>
      </c>
      <c r="BL142" s="262">
        <f>EXP(mu_o+sigma_o*Tabella34[[#This Row],[x_o_alpha©+plus]])-(Tabella34[[#This Row],[Day]]-po)</f>
        <v>10.707725684026244</v>
      </c>
      <c r="BM142" s="262">
        <f>EXP(mu_o+sigma_o*Tabella34[[#This Row],[x_o_alpha©-minus]])-(Tabella34[[#This Row],[Day]]-po)</f>
        <v>-72.614629812336318</v>
      </c>
      <c r="BN142" s="262">
        <f>-sigma_o+SQRT(sigma_o^2-2*Tabella34[[#This Row],[c_o]])</f>
        <v>1.9749355525035837</v>
      </c>
      <c r="BO142" s="262">
        <f>-sigma_o-SQRT(sigma_o^2-2*Tabella34[[#This Row],[c_o]])</f>
        <v>-2.61790832980261</v>
      </c>
      <c r="BP142" s="262">
        <f>mu_o-LN(alpha*Ko/(Tabella34[[#This Row],[rest of Italy velocity]]*sigma_o*SQRTPI(2)))</f>
        <v>-2.5851001168612253</v>
      </c>
      <c r="BQ142" s="262">
        <f>Tabella34[[#This Row],[t_alpha_o+plus]]</f>
        <v>10.707725684026244</v>
      </c>
      <c r="BR142" s="90">
        <f>IFERROR(-Ka*_xlfn.LOGNORM.DIST((Tabella34[[#This Row],[Day]]-pa),mu_a,sigma_a,FALSE)*(1+(LN((Tabella34[[#This Row],[Day]]-pa))-mu_a)/sigma_a^2)/(Tabella34[[#This Row],[Day]]-pa),0)</f>
        <v>-30.501684351905325</v>
      </c>
      <c r="BS142" s="95">
        <f>Tabella34[[#This Row],[rest of Italy acc. fit]]/y_a_peak</f>
        <v>-9.0264393137188103E-3</v>
      </c>
      <c r="BT142" s="136">
        <f>Tabella34[[#This Row],[rest of Italy acc. fit]]*NOT(ISBLANK(Tabella34[[#This Row],[rest of Italy data]]))</f>
        <v>0</v>
      </c>
      <c r="BU142" s="205"/>
      <c r="BV142" s="137"/>
    </row>
    <row r="143" spans="2:74" x14ac:dyDescent="0.3">
      <c r="B143" s="281">
        <v>43966</v>
      </c>
      <c r="C143" s="4">
        <v>136</v>
      </c>
      <c r="E143" s="10"/>
      <c r="F143" s="10"/>
      <c r="G143" s="136">
        <f>Tabella34[[#This Row],[Spain daily cases]]*NOT(ISBLANK(Tabella34[[#This Row],[Spain daily cases]]))</f>
        <v>0</v>
      </c>
      <c r="H143" s="157">
        <f>Tabella8[[#This Row],[Spain cum. fit]]</f>
        <v>267239.9884569131</v>
      </c>
      <c r="I143" s="157" t="e">
        <f>_xlfn.LOGNORM.INV(alpha*Tabella34[[#This Row],[Spain cumul. Fit]]/Kt,mu_t,sigma_t)-(Tabella34[[#This Row],[Day]]-pt)</f>
        <v>#NUM!</v>
      </c>
      <c r="J143" s="157" t="e">
        <f>Tabella34[[#This Row],[Spain fitted d.t.]]/Spain_dt_at_lockdown</f>
        <v>#NUM!</v>
      </c>
      <c r="K143" s="95">
        <f>Tabella34[[#This Row],[Spain cumul. Fit]]/Kf</f>
        <v>0.95442888549173466</v>
      </c>
      <c r="L143" s="160"/>
      <c r="M143" s="95"/>
      <c r="N143" s="157">
        <f>IFERROR(Kt*_xlfn.LOGNORM.DIST((Tabella34[[#This Row],[Day]]-pt),mu_t,sigma_t,FALSE),0)</f>
        <v>981.37263408792944</v>
      </c>
      <c r="O143" s="157" t="e">
        <f>Kt*EXP(-0.5*Tabella34[[#This Row],[x_t]]^2)/(sigma_t*SQRTPI(2)*(Tabella34[[#This Row],[Day]]-D_bk))</f>
        <v>#NAME?</v>
      </c>
      <c r="P143" s="199">
        <f>Tabella34[[#This Row],[Spain fitted velocity]]/Tabella34[[#This Row],[Spain cumul. Fit]]</f>
        <v>3.6722521945706317E-3</v>
      </c>
      <c r="Q143" s="262">
        <f>(LN(Tabella34[[#This Row],[Day]]-pt)-mu_t)/sigma_t</f>
        <v>1.6894029867934353</v>
      </c>
      <c r="R143" s="262">
        <f>EXP(mu_t+sigma_t*Tabella34[[#This Row],[x_t_alpha©+plus]])-(Tabella34[[#This Row],[Day]]-pt)</f>
        <v>9.3297000506214687</v>
      </c>
      <c r="S143" s="262">
        <f>EXP(mu_t+sigma_t*Tabella34[[#This Row],[x_t_alpha©-minus]])-(Tabella34[[#This Row],[Day]]-pt)</f>
        <v>-69.157236028719979</v>
      </c>
      <c r="T143" s="262">
        <f>-sigma_t+SQRT(sigma_t^2-2*Tabella34[[#This Row],[c_t]])</f>
        <v>2.0161301493429789</v>
      </c>
      <c r="U143" s="262">
        <f>-sigma_t-SQRT(sigma_t^2-2*Tabella34[[#This Row],[c_t]])</f>
        <v>-2.5535694991861457</v>
      </c>
      <c r="V143" s="262">
        <f>mu_t-LN(alpha*Kt/(Tabella34[[#This Row],[Spain fitted velocity]]*sigma_t*SQRTPI(2)))</f>
        <v>-2.5741642278759196</v>
      </c>
      <c r="W143" s="262">
        <f>Tabella34[[#This Row],[Spain fitted g.r.]]/Spain_gr_at_lockdown</f>
        <v>1.7721936056845498E-2</v>
      </c>
      <c r="X143" s="262">
        <f>Tabella34[[#This Row],[t_alpha_t+plus]]</f>
        <v>9.3297000506214687</v>
      </c>
      <c r="Y143" s="262">
        <f>Tabella34[[#This Row],[Spain fitted h.t.]]/Spain_ht_at_lockdown</f>
        <v>0.1515531791749023</v>
      </c>
      <c r="Z143" s="90">
        <f>IFERROR(-Kf*_xlfn.LOGNORM.DIST((Tabella34[[#This Row],[Day]]-pf),mu_f,sigma_f,FALSE)*(1+(LN((Tabella34[[#This Row],[Day]]-pf))-mu_f)/sigma_f^2)/(Tabella34[[#This Row],[Day]]-pf),0)</f>
        <v>-70.338965175100583</v>
      </c>
      <c r="AA143" s="90">
        <f>Tabella34[[#This Row],[Spain acc. fit]]/Spain_acc_at_lockdown</f>
        <v>-0.2396919406305241</v>
      </c>
      <c r="AB143" s="95">
        <f>Tabella34[[#This Row],[Spain acc. fit]]/y_f_peak</f>
        <v>-1.0538200271470651E-2</v>
      </c>
      <c r="AC143" s="157">
        <f>Tabella34[[#This Row],[Colonna4]]*NOT(ISBLANK(Tabella34[[#This Row],[Spain daily cases]]))</f>
        <v>0</v>
      </c>
      <c r="AD143" s="157">
        <f>Tabella34[[#This Row],[Spain acc. fit]]*NOT(ISBLANK(Tabella34[[#This Row],[Spain daily cases]]))</f>
        <v>0</v>
      </c>
      <c r="AE143" s="95">
        <f>Tabella34[[#This Row],[Spain acc. fit]]+CIf</f>
        <v>2272.3494525059923</v>
      </c>
      <c r="AF143" s="95">
        <f>MAX(Tabella34[[#This Row],[Spain acc. fit]]-CIf,0)</f>
        <v>0</v>
      </c>
      <c r="AH143" s="10"/>
      <c r="AI143" s="10"/>
      <c r="AJ143" s="136">
        <f>Tabella34[[#This Row],[Lombardy data]]*NOT(ISBLANK(Tabella34[[#This Row],[Lombardy data]]))</f>
        <v>0</v>
      </c>
      <c r="AK143" s="95">
        <f>Tabella8[[#This Row],[Lombardy fit]]</f>
        <v>81907.733994565613</v>
      </c>
      <c r="AL143" s="157" t="e">
        <f>_xlfn.LOGNORM.INV(alpha*Tabella34[[#This Row],[Lombardy cumul. Fit]]/Kr,mu_r,sigma_r)-(Tabella34[[#This Row],[Day]]-pr)</f>
        <v>#NUM!</v>
      </c>
      <c r="AM143" s="95">
        <f>Tabella34[[#This Row],[Lombardy cumul. Fit]]/Kl</f>
        <v>0.9414682068340875</v>
      </c>
      <c r="AN143" s="95">
        <f>IFERROR(Kr*_xlfn.LOGNORM.DIST((Tabella34[[#This Row],[Day]]-pr),mu_r,sigma_r,FALSE),0)</f>
        <v>284.96022141471974</v>
      </c>
      <c r="AO143" s="202">
        <f>Tabella34[[#This Row],[Lombardy velocity]]/Tabella34[[#This Row],[Lombardy cumul. Fit]]</f>
        <v>3.4790392496223395E-3</v>
      </c>
      <c r="AP143" s="259">
        <f>(LN(Tabella34[[#This Row],[Day]]-pr)-mu_r)/sigma_r</f>
        <v>1.5672186768489498</v>
      </c>
      <c r="AQ143" s="262">
        <f>EXP(mu_r+sigma_r*Tabella34[[#This Row],[x_r_alpha©+plus]])-(Tabella34[[#This Row],[Day]]-pr)</f>
        <v>12.621076056917317</v>
      </c>
      <c r="AR143" s="262">
        <f>EXP(mu_r+sigma_r*Tabella34[[#This Row],[x_r_alpha©-minus]])-(Tabella34[[#This Row],[Day]]-pr)</f>
        <v>-79.262521765110762</v>
      </c>
      <c r="AS143" s="262">
        <f>-sigma_r+SQRT(sigma_r^2-2*Tabella34[[#This Row],[c_r]])</f>
        <v>1.9013147759412625</v>
      </c>
      <c r="AT143" s="262">
        <f>-sigma_r-SQRT(sigma_r^2-2*Tabella34[[#This Row],[c_r]])</f>
        <v>-2.5821693731349917</v>
      </c>
      <c r="AU143" s="262">
        <f>mu_r-LN(alpha*Kr/(Tabella34[[#This Row],[Lombardy velocity]]*sigma_r*SQRTPI(2)))</f>
        <v>-2.4547583915622733</v>
      </c>
      <c r="AV143" s="262">
        <f>Tabella34[[#This Row],[t_alpha_r+plus]]</f>
        <v>12.621076056917317</v>
      </c>
      <c r="AW143" s="90">
        <f>IFERROR(-Kl*_xlfn.LOGNORM.DIST((Tabella34[[#This Row],[Day]]-pl),mu_l,sigma_l,FALSE)*(1+(LN((Tabella34[[#This Row],[Day]]-pl))-mu_l)/sigma_l^2)/(Tabella34[[#This Row],[Day]]-pl),0)</f>
        <v>-15.240121574217195</v>
      </c>
      <c r="AX143" s="95">
        <f>Tabella34[[#This Row],[Lombardy acc. fit]]/y_l_peak</f>
        <v>-8.6692356463185793E-3</v>
      </c>
      <c r="AY143" s="157">
        <f>Tabella34[[#This Row],[Lombardy acc. fit]]*NOT(ISBLANK(Tabella34[[#This Row],[Lombardy data]]))</f>
        <v>0</v>
      </c>
      <c r="AZ143" s="95">
        <f>Tabella34[[#This Row],[Lombardy acc. fit]]+CIl</f>
        <v>2555.1422013421916</v>
      </c>
      <c r="BA143" s="95">
        <f>MAX(Tabella34[[#This Row],[Lombardy acc. fit]]-CIl,0)</f>
        <v>0</v>
      </c>
      <c r="BC143" s="10"/>
      <c r="BD143" s="10"/>
      <c r="BE143" s="95">
        <f>Tabella34[[#This Row],[rest of Italy data]]*NOT(ISBLANK(Tabella34[[#This Row],[rest of Italy data]]))</f>
        <v>0</v>
      </c>
      <c r="BF143" s="95">
        <f>Tabella8[[#This Row],[rest of Italy fit]]</f>
        <v>141149.00229090173</v>
      </c>
      <c r="BG143" s="157" t="e">
        <f>_xlfn.LOGNORM.INV(alpha*Tabella34[[#This Row],[rest of Italy cumul. Fit]]/Ko,mu_o,sigma_o)-(Tabella34[[#This Row],[Day]]-po)</f>
        <v>#NUM!</v>
      </c>
      <c r="BH143" s="95">
        <f>Tabella34[[#This Row],[rest of Italy cumul. Fit]]/Ka</f>
        <v>0.95370958596129374</v>
      </c>
      <c r="BI143" s="157">
        <f>IFERROR(Ko*_xlfn.LOGNORM.DIST((Tabella34[[#This Row],[Day]]-po),mu_o,sigma_o,FALSE),0)</f>
        <v>454.19390556290517</v>
      </c>
      <c r="BJ143" s="199">
        <f>Tabella34[[#This Row],[rest of Italy velocity]]/Tabella34[[#This Row],[rest of Italy cumul. Fit]]</f>
        <v>3.2178329155089034E-3</v>
      </c>
      <c r="BK143" s="254">
        <f>(LN(Tabella34[[#This Row],[Day]]-po)-mu_o)/sigma_o</f>
        <v>1.6819381803589759</v>
      </c>
      <c r="BL143" s="262">
        <f>EXP(mu_o+sigma_o*Tabella34[[#This Row],[x_o_alpha©+plus]])-(Tabella34[[#This Row],[Day]]-po)</f>
        <v>10.662099218066629</v>
      </c>
      <c r="BM143" s="262">
        <f>EXP(mu_o+sigma_o*Tabella34[[#This Row],[x_o_alpha©-minus]])-(Tabella34[[#This Row],[Day]]-po)</f>
        <v>-73.830725127393094</v>
      </c>
      <c r="BN143" s="262">
        <f>-sigma_o+SQRT(sigma_o^2-2*Tabella34[[#This Row],[c_o]])</f>
        <v>2.0023045582359291</v>
      </c>
      <c r="BO143" s="262">
        <f>-sigma_o-SQRT(sigma_o^2-2*Tabella34[[#This Row],[c_o]])</f>
        <v>-2.6452773355349555</v>
      </c>
      <c r="BP143" s="262">
        <f>mu_o-LN(alpha*Ko/(Tabella34[[#This Row],[rest of Italy velocity]]*sigma_o*SQRTPI(2)))</f>
        <v>-2.6483254333699167</v>
      </c>
      <c r="BQ143" s="262">
        <f>Tabella34[[#This Row],[t_alpha_o+plus]]</f>
        <v>10.662099218066629</v>
      </c>
      <c r="BR143" s="90">
        <f>IFERROR(-Ka*_xlfn.LOGNORM.DIST((Tabella34[[#This Row],[Day]]-pa),mu_a,sigma_a,FALSE)*(1+(LN((Tabella34[[#This Row],[Day]]-pa))-mu_a)/sigma_a^2)/(Tabella34[[#This Row],[Day]]-pa),0)</f>
        <v>-28.798852487534759</v>
      </c>
      <c r="BS143" s="95">
        <f>Tabella34[[#This Row],[rest of Italy acc. fit]]/y_a_peak</f>
        <v>-8.5225160448306296E-3</v>
      </c>
      <c r="BT143" s="136">
        <f>Tabella34[[#This Row],[rest of Italy acc. fit]]*NOT(ISBLANK(Tabella34[[#This Row],[rest of Italy data]]))</f>
        <v>0</v>
      </c>
      <c r="BU143" s="205"/>
      <c r="BV143" s="137"/>
    </row>
    <row r="144" spans="2:74" x14ac:dyDescent="0.3">
      <c r="B144" s="281">
        <v>43967</v>
      </c>
      <c r="C144" s="4">
        <v>137</v>
      </c>
      <c r="E144" s="10"/>
      <c r="F144" s="10"/>
      <c r="G144" s="136">
        <f>Tabella34[[#This Row],[Spain daily cases]]*NOT(ISBLANK(Tabella34[[#This Row],[Spain daily cases]]))</f>
        <v>0</v>
      </c>
      <c r="H144" s="157">
        <f>Tabella8[[#This Row],[Spain cum. fit]]</f>
        <v>268186.91959660163</v>
      </c>
      <c r="I144" s="157" t="e">
        <f>_xlfn.LOGNORM.INV(alpha*Tabella34[[#This Row],[Spain cumul. Fit]]/Kt,mu_t,sigma_t)-(Tabella34[[#This Row],[Day]]-pt)</f>
        <v>#NUM!</v>
      </c>
      <c r="J144" s="157" t="e">
        <f>Tabella34[[#This Row],[Spain fitted d.t.]]/Spain_dt_at_lockdown</f>
        <v>#NUM!</v>
      </c>
      <c r="K144" s="95">
        <f>Tabella34[[#This Row],[Spain cumul. Fit]]/Kf</f>
        <v>0.95781078367811356</v>
      </c>
      <c r="L144" s="160"/>
      <c r="M144" s="95"/>
      <c r="N144" s="157">
        <f>IFERROR(Kt*_xlfn.LOGNORM.DIST((Tabella34[[#This Row],[Day]]-pt),mu_t,sigma_t,FALSE),0)</f>
        <v>913.20920930354146</v>
      </c>
      <c r="O144" s="157" t="e">
        <f>Kt*EXP(-0.5*Tabella34[[#This Row],[x_t]]^2)/(sigma_t*SQRTPI(2)*(Tabella34[[#This Row],[Day]]-D_bk))</f>
        <v>#NAME?</v>
      </c>
      <c r="P144" s="199">
        <f>Tabella34[[#This Row],[Spain fitted velocity]]/Tabella34[[#This Row],[Spain cumul. Fit]]</f>
        <v>3.4051221091511929E-3</v>
      </c>
      <c r="Q144" s="262">
        <f>(LN(Tabella34[[#This Row],[Day]]-pt)-mu_t)/sigma_t</f>
        <v>1.7258276013328222</v>
      </c>
      <c r="R144" s="262">
        <f>EXP(mu_t+sigma_t*Tabella34[[#This Row],[x_t_alpha©+plus]])-(Tabella34[[#This Row],[Day]]-pt)</f>
        <v>9.2669800440909995</v>
      </c>
      <c r="S144" s="262">
        <f>EXP(mu_t+sigma_t*Tabella34[[#This Row],[x_t_alpha©-minus]])-(Tabella34[[#This Row],[Day]]-pt)</f>
        <v>-70.429454531312302</v>
      </c>
      <c r="T144" s="262">
        <f>-sigma_t+SQRT(sigma_t^2-2*Tabella34[[#This Row],[c_t]])</f>
        <v>2.0474222029291149</v>
      </c>
      <c r="U144" s="262">
        <f>-sigma_t-SQRT(sigma_t^2-2*Tabella34[[#This Row],[c_t]])</f>
        <v>-2.5848615527722818</v>
      </c>
      <c r="V144" s="262">
        <f>mu_t-LN(alpha*Kt/(Tabella34[[#This Row],[Spain fitted velocity]]*sigma_t*SQRTPI(2)))</f>
        <v>-2.6461514673218991</v>
      </c>
      <c r="W144" s="262">
        <f>Tabella34[[#This Row],[Spain fitted g.r.]]/Spain_gr_at_lockdown</f>
        <v>1.6432791945321185E-2</v>
      </c>
      <c r="X144" s="262">
        <f>Tabella34[[#This Row],[t_alpha_t+plus]]</f>
        <v>9.2669800440909995</v>
      </c>
      <c r="Y144" s="262">
        <f>Tabella34[[#This Row],[Spain fitted h.t.]]/Spain_ht_at_lockdown</f>
        <v>0.15053434509277872</v>
      </c>
      <c r="Z144" s="90">
        <f>IFERROR(-Kf*_xlfn.LOGNORM.DIST((Tabella34[[#This Row],[Day]]-pf),mu_f,sigma_f,FALSE)*(1+(LN((Tabella34[[#This Row],[Day]]-pf))-mu_f)/sigma_f^2)/(Tabella34[[#This Row],[Day]]-pf),0)</f>
        <v>-66.021574301827854</v>
      </c>
      <c r="AA144" s="90">
        <f>Tabella34[[#This Row],[Spain acc. fit]]/Spain_acc_at_lockdown</f>
        <v>-0.22497969977939511</v>
      </c>
      <c r="AB144" s="95">
        <f>Tabella34[[#This Row],[Spain acc. fit]]/y_f_peak</f>
        <v>-9.8913677575218489E-3</v>
      </c>
      <c r="AC144" s="157">
        <f>Tabella34[[#This Row],[Colonna4]]*NOT(ISBLANK(Tabella34[[#This Row],[Spain daily cases]]))</f>
        <v>0</v>
      </c>
      <c r="AD144" s="157">
        <f>Tabella34[[#This Row],[Spain acc. fit]]*NOT(ISBLANK(Tabella34[[#This Row],[Spain daily cases]]))</f>
        <v>0</v>
      </c>
      <c r="AE144" s="95">
        <f>Tabella34[[#This Row],[Spain acc. fit]]+CIf</f>
        <v>2276.6668433792647</v>
      </c>
      <c r="AF144" s="95">
        <f>MAX(Tabella34[[#This Row],[Spain acc. fit]]-CIf,0)</f>
        <v>0</v>
      </c>
      <c r="AH144" s="10"/>
      <c r="AI144" s="10"/>
      <c r="AJ144" s="136">
        <f>Tabella34[[#This Row],[Lombardy data]]*NOT(ISBLANK(Tabella34[[#This Row],[Lombardy data]]))</f>
        <v>0</v>
      </c>
      <c r="AK144" s="95">
        <f>Tabella8[[#This Row],[Lombardy fit]]</f>
        <v>82185.195773867905</v>
      </c>
      <c r="AL144" s="157" t="e">
        <f>_xlfn.LOGNORM.INV(alpha*Tabella34[[#This Row],[Lombardy cumul. Fit]]/Kr,mu_r,sigma_r)-(Tabella34[[#This Row],[Day]]-pr)</f>
        <v>#NUM!</v>
      </c>
      <c r="AM144" s="95">
        <f>Tabella34[[#This Row],[Lombardy cumul. Fit]]/Kl</f>
        <v>0.94465742268813679</v>
      </c>
      <c r="AN144" s="95">
        <f>IFERROR(Kr*_xlfn.LOGNORM.DIST((Tabella34[[#This Row],[Day]]-pr),mu_r,sigma_r,FALSE),0)</f>
        <v>270.08381859928841</v>
      </c>
      <c r="AO144" s="202">
        <f>Tabella34[[#This Row],[Lombardy velocity]]/Tabella34[[#This Row],[Lombardy cumul. Fit]]</f>
        <v>3.286283083664149E-3</v>
      </c>
      <c r="AP144" s="259">
        <f>(LN(Tabella34[[#This Row],[Day]]-pr)-mu_r)/sigma_r</f>
        <v>1.5951211147901325</v>
      </c>
      <c r="AQ144" s="262">
        <f>EXP(mu_r+sigma_r*Tabella34[[#This Row],[x_r_alpha©+plus]])-(Tabella34[[#This Row],[Day]]-pr)</f>
        <v>12.575779672767084</v>
      </c>
      <c r="AR144" s="262">
        <f>EXP(mu_r+sigma_r*Tabella34[[#This Row],[x_r_alpha©-minus]])-(Tabella34[[#This Row],[Day]]-pr)</f>
        <v>-80.468341620107495</v>
      </c>
      <c r="AS144" s="262">
        <f>-sigma_r+SQRT(sigma_r^2-2*Tabella34[[#This Row],[c_r]])</f>
        <v>1.9251061974443684</v>
      </c>
      <c r="AT144" s="262">
        <f>-sigma_r-SQRT(sigma_r^2-2*Tabella34[[#This Row],[c_r]])</f>
        <v>-2.6059607946380976</v>
      </c>
      <c r="AU144" s="262">
        <f>mu_r-LN(alpha*Kr/(Tabella34[[#This Row],[Lombardy velocity]]*sigma_r*SQRTPI(2)))</f>
        <v>-2.5083756380274265</v>
      </c>
      <c r="AV144" s="262">
        <f>Tabella34[[#This Row],[t_alpha_r+plus]]</f>
        <v>12.575779672767084</v>
      </c>
      <c r="AW144" s="90">
        <f>IFERROR(-Kl*_xlfn.LOGNORM.DIST((Tabella34[[#This Row],[Day]]-pl),mu_l,sigma_l,FALSE)*(1+(LN((Tabella34[[#This Row],[Day]]-pl))-mu_l)/sigma_l^2)/(Tabella34[[#This Row],[Day]]-pl),0)</f>
        <v>-14.517230078392585</v>
      </c>
      <c r="AX144" s="95">
        <f>Tabella34[[#This Row],[Lombardy acc. fit]]/y_l_peak</f>
        <v>-8.2580239185443428E-3</v>
      </c>
      <c r="AY144" s="157">
        <f>Tabella34[[#This Row],[Lombardy acc. fit]]*NOT(ISBLANK(Tabella34[[#This Row],[Lombardy data]]))</f>
        <v>0</v>
      </c>
      <c r="AZ144" s="95">
        <f>Tabella34[[#This Row],[Lombardy acc. fit]]+CIl</f>
        <v>2555.8650928380162</v>
      </c>
      <c r="BA144" s="95">
        <f>MAX(Tabella34[[#This Row],[Lombardy acc. fit]]-CIl,0)</f>
        <v>0</v>
      </c>
      <c r="BC144" s="10"/>
      <c r="BD144" s="10"/>
      <c r="BE144" s="95">
        <f>Tabella34[[#This Row],[rest of Italy data]]*NOT(ISBLANK(Tabella34[[#This Row],[rest of Italy data]]))</f>
        <v>0</v>
      </c>
      <c r="BF144" s="95">
        <f>Tabella8[[#This Row],[rest of Italy fit]]</f>
        <v>141589.07092154451</v>
      </c>
      <c r="BG144" s="157" t="e">
        <f>_xlfn.LOGNORM.INV(alpha*Tabella34[[#This Row],[rest of Italy cumul. Fit]]/Ko,mu_o,sigma_o)-(Tabella34[[#This Row],[Day]]-po)</f>
        <v>#NUM!</v>
      </c>
      <c r="BH144" s="95">
        <f>Tabella34[[#This Row],[rest of Italy cumul. Fit]]/Ka</f>
        <v>0.9566830230009683</v>
      </c>
      <c r="BI144" s="157">
        <f>IFERROR(Ko*_xlfn.LOGNORM.DIST((Tabella34[[#This Row],[Day]]-po),mu_o,sigma_o,FALSE),0)</f>
        <v>426.21431863905917</v>
      </c>
      <c r="BJ144" s="199">
        <f>Tabella34[[#This Row],[rest of Italy velocity]]/Tabella34[[#This Row],[rest of Italy cumul. Fit]]</f>
        <v>3.0102204630979429E-3</v>
      </c>
      <c r="BK144" s="254">
        <f>(LN(Tabella34[[#This Row],[Day]]-po)-mu_o)/sigma_o</f>
        <v>1.7134273187687841</v>
      </c>
      <c r="BL144" s="262">
        <f>EXP(mu_o+sigma_o*Tabella34[[#This Row],[x_o_alpha©+plus]])-(Tabella34[[#This Row],[Day]]-po)</f>
        <v>10.619008743541272</v>
      </c>
      <c r="BM144" s="262">
        <f>EXP(mu_o+sigma_o*Tabella34[[#This Row],[x_o_alpha©-minus]])-(Tabella34[[#This Row],[Day]]-po)</f>
        <v>-75.04362658824266</v>
      </c>
      <c r="BN144" s="262">
        <f>-sigma_o+SQRT(sigma_o^2-2*Tabella34[[#This Row],[c_o]])</f>
        <v>2.0295066266014405</v>
      </c>
      <c r="BO144" s="262">
        <f>-sigma_o-SQRT(sigma_o^2-2*Tabella34[[#This Row],[c_o]])</f>
        <v>-2.6724794039004669</v>
      </c>
      <c r="BP144" s="262">
        <f>mu_o-LN(alpha*Ko/(Tabella34[[#This Row],[rest of Italy velocity]]*sigma_o*SQRTPI(2)))</f>
        <v>-2.7119073298359329</v>
      </c>
      <c r="BQ144" s="262">
        <f>Tabella34[[#This Row],[t_alpha_o+plus]]</f>
        <v>10.619008743541272</v>
      </c>
      <c r="BR144" s="90">
        <f>IFERROR(-Ka*_xlfn.LOGNORM.DIST((Tabella34[[#This Row],[Day]]-pa),mu_a,sigma_a,FALSE)*(1+(LN((Tabella34[[#This Row],[Day]]-pa))-mu_a)/sigma_a^2)/(Tabella34[[#This Row],[Day]]-pa),0)</f>
        <v>-27.173051521945727</v>
      </c>
      <c r="BS144" s="95">
        <f>Tabella34[[#This Row],[rest of Italy acc. fit]]/y_a_peak</f>
        <v>-8.0413887214092882E-3</v>
      </c>
      <c r="BT144" s="136">
        <f>Tabella34[[#This Row],[rest of Italy acc. fit]]*NOT(ISBLANK(Tabella34[[#This Row],[rest of Italy data]]))</f>
        <v>0</v>
      </c>
      <c r="BU144" s="205"/>
      <c r="BV144" s="137"/>
    </row>
    <row r="145" spans="2:74" x14ac:dyDescent="0.3">
      <c r="B145" s="281">
        <v>43968</v>
      </c>
      <c r="C145" s="4">
        <v>138</v>
      </c>
      <c r="E145" s="10"/>
      <c r="F145" s="10"/>
      <c r="G145" s="136">
        <f>Tabella34[[#This Row],[Spain daily cases]]*NOT(ISBLANK(Tabella34[[#This Row],[Spain daily cases]]))</f>
        <v>0</v>
      </c>
      <c r="H145" s="157">
        <f>Tabella8[[#This Row],[Spain cum. fit]]</f>
        <v>269067.81234949542</v>
      </c>
      <c r="I145" s="157" t="e">
        <f>_xlfn.LOGNORM.INV(alpha*Tabella34[[#This Row],[Spain cumul. Fit]]/Kt,mu_t,sigma_t)-(Tabella34[[#This Row],[Day]]-pt)</f>
        <v>#NUM!</v>
      </c>
      <c r="J145" s="157" t="e">
        <f>Tabella34[[#This Row],[Spain fitted d.t.]]/Spain_dt_at_lockdown</f>
        <v>#NUM!</v>
      </c>
      <c r="K145" s="95">
        <f>Tabella34[[#This Row],[Spain cumul. Fit]]/Kf</f>
        <v>0.96095683039528634</v>
      </c>
      <c r="L145" s="160"/>
      <c r="M145" s="95"/>
      <c r="N145" s="157">
        <f>IFERROR(Kt*_xlfn.LOGNORM.DIST((Tabella34[[#This Row],[Day]]-pt),mu_t,sigma_t,FALSE),0)</f>
        <v>849.26224292655047</v>
      </c>
      <c r="O145" s="157" t="e">
        <f>Kt*EXP(-0.5*Tabella34[[#This Row],[x_t]]^2)/(sigma_t*SQRTPI(2)*(Tabella34[[#This Row],[Day]]-D_bk))</f>
        <v>#NAME?</v>
      </c>
      <c r="P145" s="199">
        <f>Tabella34[[#This Row],[Spain fitted velocity]]/Tabella34[[#This Row],[Spain cumul. Fit]]</f>
        <v>3.1563130331748249E-3</v>
      </c>
      <c r="Q145" s="262">
        <f>(LN(Tabella34[[#This Row],[Day]]-pt)-mu_t)/sigma_t</f>
        <v>1.761899144435251</v>
      </c>
      <c r="R145" s="262">
        <f>EXP(mu_t+sigma_t*Tabella34[[#This Row],[x_t_alpha©+plus]])-(Tabella34[[#This Row],[Day]]-pt)</f>
        <v>9.207400613811572</v>
      </c>
      <c r="S145" s="262">
        <f>EXP(mu_t+sigma_t*Tabella34[[#This Row],[x_t_alpha©-minus]])-(Tabella34[[#This Row],[Day]]-pt)</f>
        <v>-71.698041538022522</v>
      </c>
      <c r="T145" s="262">
        <f>-sigma_t+SQRT(sigma_t^2-2*Tabella34[[#This Row],[c_t]])</f>
        <v>2.0785568641010417</v>
      </c>
      <c r="U145" s="262">
        <f>-sigma_t-SQRT(sigma_t^2-2*Tabella34[[#This Row],[c_t]])</f>
        <v>-2.6159962139442086</v>
      </c>
      <c r="V145" s="262">
        <f>mu_t-LN(alpha*Kt/(Tabella34[[#This Row],[Spain fitted velocity]]*sigma_t*SQRTPI(2)))</f>
        <v>-2.7187484434780362</v>
      </c>
      <c r="W145" s="262">
        <f>Tabella34[[#This Row],[Spain fitted g.r.]]/Spain_gr_at_lockdown</f>
        <v>1.5232063264067973E-2</v>
      </c>
      <c r="X145" s="262">
        <f>Tabella34[[#This Row],[t_alpha_t+plus]]</f>
        <v>9.207400613811572</v>
      </c>
      <c r="Y145" s="262">
        <f>Tabella34[[#This Row],[Spain fitted h.t.]]/Spain_ht_at_lockdown</f>
        <v>0.14956652704683038</v>
      </c>
      <c r="Z145" s="90">
        <f>IFERROR(-Kf*_xlfn.LOGNORM.DIST((Tabella34[[#This Row],[Day]]-pf),mu_f,sigma_f,FALSE)*(1+(LN((Tabella34[[#This Row],[Day]]-pf))-mu_f)/sigma_f^2)/(Tabella34[[#This Row],[Day]]-pf),0)</f>
        <v>-61.905866610181043</v>
      </c>
      <c r="AA145" s="90">
        <f>Tabella34[[#This Row],[Spain acc. fit]]/Spain_acc_at_lockdown</f>
        <v>-0.21095472853873187</v>
      </c>
      <c r="AB145" s="95">
        <f>Tabella34[[#This Row],[Spain acc. fit]]/y_f_peak</f>
        <v>-9.2747514651803781E-3</v>
      </c>
      <c r="AC145" s="157">
        <f>Tabella34[[#This Row],[Colonna4]]*NOT(ISBLANK(Tabella34[[#This Row],[Spain daily cases]]))</f>
        <v>0</v>
      </c>
      <c r="AD145" s="157">
        <f>Tabella34[[#This Row],[Spain acc. fit]]*NOT(ISBLANK(Tabella34[[#This Row],[Spain daily cases]]))</f>
        <v>0</v>
      </c>
      <c r="AE145" s="95">
        <f>Tabella34[[#This Row],[Spain acc. fit]]+CIf</f>
        <v>2280.7825510709117</v>
      </c>
      <c r="AF145" s="95">
        <f>MAX(Tabella34[[#This Row],[Spain acc. fit]]-CIf,0)</f>
        <v>0</v>
      </c>
      <c r="AH145" s="10"/>
      <c r="AI145" s="10"/>
      <c r="AJ145" s="136">
        <f>Tabella34[[#This Row],[Lombardy data]]*NOT(ISBLANK(Tabella34[[#This Row],[Lombardy data]]))</f>
        <v>0</v>
      </c>
      <c r="AK145" s="95">
        <f>Tabella8[[#This Row],[Lombardy fit]]</f>
        <v>82448.138058862911</v>
      </c>
      <c r="AL145" s="157" t="e">
        <f>_xlfn.LOGNORM.INV(alpha*Tabella34[[#This Row],[Lombardy cumul. Fit]]/Kr,mu_r,sigma_r)-(Tabella34[[#This Row],[Day]]-pr)</f>
        <v>#NUM!</v>
      </c>
      <c r="AM145" s="95">
        <f>Tabella34[[#This Row],[Lombardy cumul. Fit]]/Kl</f>
        <v>0.947679747803022</v>
      </c>
      <c r="AN145" s="95">
        <f>IFERROR(Kr*_xlfn.LOGNORM.DIST((Tabella34[[#This Row],[Day]]-pr),mu_r,sigma_r,FALSE),0)</f>
        <v>255.91670491119669</v>
      </c>
      <c r="AO145" s="202">
        <f>Tabella34[[#This Row],[Lombardy velocity]]/Tabella34[[#This Row],[Lombardy cumul. Fit]]</f>
        <v>3.1039719141806193E-3</v>
      </c>
      <c r="AP145" s="259">
        <f>(LN(Tabella34[[#This Row],[Day]]-pr)-mu_r)/sigma_r</f>
        <v>1.622761006312784</v>
      </c>
      <c r="AQ145" s="262">
        <f>EXP(mu_r+sigma_r*Tabella34[[#This Row],[x_r_alpha©+plus]])-(Tabella34[[#This Row],[Day]]-pr)</f>
        <v>12.532871964684489</v>
      </c>
      <c r="AR145" s="262">
        <f>EXP(mu_r+sigma_r*Tabella34[[#This Row],[x_r_alpha©-minus]])-(Tabella34[[#This Row],[Day]]-pr)</f>
        <v>-81.671370194701353</v>
      </c>
      <c r="AS145" s="262">
        <f>-sigma_r+SQRT(sigma_r^2-2*Tabella34[[#This Row],[c_r]])</f>
        <v>1.9487652843139558</v>
      </c>
      <c r="AT145" s="262">
        <f>-sigma_r-SQRT(sigma_r^2-2*Tabella34[[#This Row],[c_r]])</f>
        <v>-2.629619881507685</v>
      </c>
      <c r="AU145" s="262">
        <f>mu_r-LN(alpha*Kr/(Tabella34[[#This Row],[Lombardy velocity]]*sigma_r*SQRTPI(2)))</f>
        <v>-2.5622559680119767</v>
      </c>
      <c r="AV145" s="262">
        <f>Tabella34[[#This Row],[t_alpha_r+plus]]</f>
        <v>12.532871964684489</v>
      </c>
      <c r="AW145" s="90">
        <f>IFERROR(-Kl*_xlfn.LOGNORM.DIST((Tabella34[[#This Row],[Day]]-pl),mu_l,sigma_l,FALSE)*(1+(LN((Tabella34[[#This Row],[Day]]-pl))-mu_l)/sigma_l^2)/(Tabella34[[#This Row],[Day]]-pl),0)</f>
        <v>-13.82150420948942</v>
      </c>
      <c r="AX145" s="95">
        <f>Tabella34[[#This Row],[Lombardy acc. fit]]/y_l_peak</f>
        <v>-7.8622651660049253E-3</v>
      </c>
      <c r="AY145" s="157">
        <f>Tabella34[[#This Row],[Lombardy acc. fit]]*NOT(ISBLANK(Tabella34[[#This Row],[Lombardy data]]))</f>
        <v>0</v>
      </c>
      <c r="AZ145" s="95">
        <f>Tabella34[[#This Row],[Lombardy acc. fit]]+CIl</f>
        <v>2556.5608187069192</v>
      </c>
      <c r="BA145" s="95">
        <f>MAX(Tabella34[[#This Row],[Lombardy acc. fit]]-CIl,0)</f>
        <v>0</v>
      </c>
      <c r="BC145" s="10"/>
      <c r="BD145" s="10"/>
      <c r="BE145" s="95">
        <f>Tabella34[[#This Row],[rest of Italy data]]*NOT(ISBLANK(Tabella34[[#This Row],[rest of Italy data]]))</f>
        <v>0</v>
      </c>
      <c r="BF145" s="95">
        <f>Tabella8[[#This Row],[rest of Italy fit]]</f>
        <v>142001.96019724241</v>
      </c>
      <c r="BG145" s="157" t="e">
        <f>_xlfn.LOGNORM.INV(alpha*Tabella34[[#This Row],[rest of Italy cumul. Fit]]/Ko,mu_o,sigma_o)-(Tabella34[[#This Row],[Day]]-po)</f>
        <v>#NUM!</v>
      </c>
      <c r="BH145" s="95">
        <f>Tabella34[[#This Row],[rest of Italy cumul. Fit]]/Ka</f>
        <v>0.95947281572909648</v>
      </c>
      <c r="BI145" s="157">
        <f>IFERROR(Ko*_xlfn.LOGNORM.DIST((Tabella34[[#This Row],[Day]]-po),mu_o,sigma_o,FALSE),0)</f>
        <v>399.82259024460336</v>
      </c>
      <c r="BJ145" s="199">
        <f>Tabella34[[#This Row],[rest of Italy velocity]]/Tabella34[[#This Row],[rest of Italy cumul. Fit]]</f>
        <v>2.8156131766719629E-3</v>
      </c>
      <c r="BK145" s="254">
        <f>(LN(Tabella34[[#This Row],[Day]]-po)-mu_o)/sigma_o</f>
        <v>1.7446008743392243</v>
      </c>
      <c r="BL145" s="262">
        <f>EXP(mu_o+sigma_o*Tabella34[[#This Row],[x_o_alpha©+plus]])-(Tabella34[[#This Row],[Day]]-po)</f>
        <v>10.578321482606583</v>
      </c>
      <c r="BM145" s="262">
        <f>EXP(mu_o+sigma_o*Tabella34[[#This Row],[x_o_alpha©-minus]])-(Tabella34[[#This Row],[Day]]-po)</f>
        <v>-76.2533735089185</v>
      </c>
      <c r="BN145" s="262">
        <f>-sigma_o+SQRT(sigma_o^2-2*Tabella34[[#This Row],[c_o]])</f>
        <v>2.0565403015716424</v>
      </c>
      <c r="BO145" s="262">
        <f>-sigma_o-SQRT(sigma_o^2-2*Tabella34[[#This Row],[c_o]])</f>
        <v>-2.6995130788706687</v>
      </c>
      <c r="BP145" s="262">
        <f>mu_o-LN(alpha*Ko/(Tabella34[[#This Row],[rest of Italy velocity]]*sigma_o*SQRTPI(2)))</f>
        <v>-2.7758287206586392</v>
      </c>
      <c r="BQ145" s="262">
        <f>Tabella34[[#This Row],[t_alpha_o+plus]]</f>
        <v>10.578321482606583</v>
      </c>
      <c r="BR145" s="90">
        <f>IFERROR(-Ka*_xlfn.LOGNORM.DIST((Tabella34[[#This Row],[Day]]-pa),mu_a,sigma_a,FALSE)*(1+(LN((Tabella34[[#This Row],[Day]]-pa))-mu_a)/sigma_a^2)/(Tabella34[[#This Row],[Day]]-pa),0)</f>
        <v>-25.622878873565956</v>
      </c>
      <c r="BS145" s="95">
        <f>Tabella34[[#This Row],[rest of Italy acc. fit]]/y_a_peak</f>
        <v>-7.5826422740016153E-3</v>
      </c>
      <c r="BT145" s="136">
        <f>Tabella34[[#This Row],[rest of Italy acc. fit]]*NOT(ISBLANK(Tabella34[[#This Row],[rest of Italy data]]))</f>
        <v>0</v>
      </c>
      <c r="BU145" s="205"/>
      <c r="BV145" s="137"/>
    </row>
    <row r="146" spans="2:74" x14ac:dyDescent="0.3">
      <c r="B146" s="281">
        <v>43969</v>
      </c>
      <c r="C146" s="4">
        <v>139</v>
      </c>
      <c r="E146" s="10"/>
      <c r="F146" s="10"/>
      <c r="G146" s="136">
        <f>Tabella34[[#This Row],[Spain daily cases]]*NOT(ISBLANK(Tabella34[[#This Row],[Spain daily cases]]))</f>
        <v>0</v>
      </c>
      <c r="H146" s="157">
        <f>Tabella8[[#This Row],[Spain cum. fit]]</f>
        <v>269886.78256752086</v>
      </c>
      <c r="I146" s="157" t="e">
        <f>_xlfn.LOGNORM.INV(alpha*Tabella34[[#This Row],[Spain cumul. Fit]]/Kt,mu_t,sigma_t)-(Tabella34[[#This Row],[Day]]-pt)</f>
        <v>#NUM!</v>
      </c>
      <c r="J146" s="157" t="e">
        <f>Tabella34[[#This Row],[Spain fitted d.t.]]/Spain_dt_at_lockdown</f>
        <v>#NUM!</v>
      </c>
      <c r="K146" s="95">
        <f>Tabella34[[#This Row],[Spain cumul. Fit]]/Kf</f>
        <v>0.96388172511989068</v>
      </c>
      <c r="L146" s="160"/>
      <c r="M146" s="95"/>
      <c r="N146" s="157">
        <f>IFERROR(Kt*_xlfn.LOGNORM.DIST((Tabella34[[#This Row],[Day]]-pt),mu_t,sigma_t,FALSE),0)</f>
        <v>789.33080936189947</v>
      </c>
      <c r="O146" s="157" t="e">
        <f>Kt*EXP(-0.5*Tabella34[[#This Row],[x_t]]^2)/(sigma_t*SQRTPI(2)*(Tabella34[[#This Row],[Day]]-D_bk))</f>
        <v>#NAME?</v>
      </c>
      <c r="P146" s="199">
        <f>Tabella34[[#This Row],[Spain fitted velocity]]/Tabella34[[#This Row],[Spain cumul. Fit]]</f>
        <v>2.9246738274943977E-3</v>
      </c>
      <c r="Q146" s="262">
        <f>(LN(Tabella34[[#This Row],[Day]]-pt)-mu_t)/sigma_t</f>
        <v>1.797624395232885</v>
      </c>
      <c r="R146" s="262">
        <f>EXP(mu_t+sigma_t*Tabella34[[#This Row],[x_t_alpha©+plus]])-(Tabella34[[#This Row],[Day]]-pt)</f>
        <v>9.1507861116532609</v>
      </c>
      <c r="S146" s="262">
        <f>EXP(mu_t+sigma_t*Tabella34[[#This Row],[x_t_alpha©-minus]])-(Tabella34[[#This Row],[Day]]-pt)</f>
        <v>-72.96301590505044</v>
      </c>
      <c r="T146" s="262">
        <f>-sigma_t+SQRT(sigma_t^2-2*Tabella34[[#This Row],[c_t]])</f>
        <v>2.1095301389925112</v>
      </c>
      <c r="U146" s="262">
        <f>-sigma_t-SQRT(sigma_t^2-2*Tabella34[[#This Row],[c_t]])</f>
        <v>-2.6469694888356781</v>
      </c>
      <c r="V146" s="262">
        <f>mu_t-LN(alpha*Kt/(Tabella34[[#This Row],[Spain fitted velocity]]*sigma_t*SQRTPI(2)))</f>
        <v>-2.7919309568462323</v>
      </c>
      <c r="W146" s="262">
        <f>Tabella34[[#This Row],[Spain fitted g.r.]]/Spain_gr_at_lockdown</f>
        <v>1.4114194726227262E-2</v>
      </c>
      <c r="X146" s="262">
        <f>Tabella34[[#This Row],[t_alpha_t+plus]]</f>
        <v>9.1507861116532609</v>
      </c>
      <c r="Y146" s="262">
        <f>Tabella34[[#This Row],[Spain fitted h.t.]]/Spain_ht_at_lockdown</f>
        <v>0.14864687178000055</v>
      </c>
      <c r="Z146" s="90">
        <f>IFERROR(-Kf*_xlfn.LOGNORM.DIST((Tabella34[[#This Row],[Day]]-pf),mu_f,sigma_f,FALSE)*(1+(LN((Tabella34[[#This Row],[Day]]-pf))-mu_f)/sigma_f^2)/(Tabella34[[#This Row],[Day]]-pf),0)</f>
        <v>-57.990121208584931</v>
      </c>
      <c r="AA146" s="90">
        <f>Tabella34[[#This Row],[Spain acc. fit]]/Spain_acc_at_lockdown</f>
        <v>-0.19761116267893913</v>
      </c>
      <c r="AB146" s="95">
        <f>Tabella34[[#This Row],[Spain acc. fit]]/y_f_peak</f>
        <v>-8.68809357006654E-3</v>
      </c>
      <c r="AC146" s="157">
        <f>Tabella34[[#This Row],[Colonna4]]*NOT(ISBLANK(Tabella34[[#This Row],[Spain daily cases]]))</f>
        <v>0</v>
      </c>
      <c r="AD146" s="157">
        <f>Tabella34[[#This Row],[Spain acc. fit]]*NOT(ISBLANK(Tabella34[[#This Row],[Spain daily cases]]))</f>
        <v>0</v>
      </c>
      <c r="AE146" s="95">
        <f>Tabella34[[#This Row],[Spain acc. fit]]+CIf</f>
        <v>2284.6982964725075</v>
      </c>
      <c r="AF146" s="95">
        <f>MAX(Tabella34[[#This Row],[Spain acc. fit]]-CIf,0)</f>
        <v>0</v>
      </c>
      <c r="AH146" s="10"/>
      <c r="AI146" s="10"/>
      <c r="AJ146" s="136">
        <f>Tabella34[[#This Row],[Lombardy data]]*NOT(ISBLANK(Tabella34[[#This Row],[Lombardy data]]))</f>
        <v>0</v>
      </c>
      <c r="AK146" s="95">
        <f>Tabella8[[#This Row],[Lombardy fit]]</f>
        <v>82697.256599083383</v>
      </c>
      <c r="AL146" s="157" t="e">
        <f>_xlfn.LOGNORM.INV(alpha*Tabella34[[#This Row],[Lombardy cumul. Fit]]/Kr,mu_r,sigma_r)-(Tabella34[[#This Row],[Day]]-pr)</f>
        <v>#NUM!</v>
      </c>
      <c r="AM146" s="95">
        <f>Tabella34[[#This Row],[Lombardy cumul. Fit]]/Kl</f>
        <v>0.95054317929980903</v>
      </c>
      <c r="AN146" s="95">
        <f>IFERROR(Kr*_xlfn.LOGNORM.DIST((Tabella34[[#This Row],[Day]]-pr),mu_r,sigma_r,FALSE),0)</f>
        <v>242.43184841168704</v>
      </c>
      <c r="AO146" s="202">
        <f>Tabella34[[#This Row],[Lombardy velocity]]/Tabella34[[#This Row],[Lombardy cumul. Fit]]</f>
        <v>2.9315585350914069E-3</v>
      </c>
      <c r="AP146" s="259">
        <f>(LN(Tabella34[[#This Row],[Day]]-pr)-mu_r)/sigma_r</f>
        <v>1.6501432462267225</v>
      </c>
      <c r="AQ146" s="262">
        <f>EXP(mu_r+sigma_r*Tabella34[[#This Row],[x_r_alpha©+plus]])-(Tabella34[[#This Row],[Day]]-pr)</f>
        <v>12.492239035770481</v>
      </c>
      <c r="AR146" s="262">
        <f>EXP(mu_r+sigma_r*Tabella34[[#This Row],[x_r_alpha©-minus]])-(Tabella34[[#This Row],[Day]]-pr)</f>
        <v>-82.871638443356105</v>
      </c>
      <c r="AS146" s="262">
        <f>-sigma_r+SQRT(sigma_r^2-2*Tabella34[[#This Row],[c_r]])</f>
        <v>1.9722908976041262</v>
      </c>
      <c r="AT146" s="262">
        <f>-sigma_r-SQRT(sigma_r^2-2*Tabella34[[#This Row],[c_r]])</f>
        <v>-2.6531454947978554</v>
      </c>
      <c r="AU146" s="262">
        <f>mu_r-LN(alpha*Kr/(Tabella34[[#This Row],[Lombardy velocity]]*sigma_r*SQRTPI(2)))</f>
        <v>-2.616387354704603</v>
      </c>
      <c r="AV146" s="262">
        <f>Tabella34[[#This Row],[t_alpha_r+plus]]</f>
        <v>12.492239035770481</v>
      </c>
      <c r="AW146" s="90">
        <f>IFERROR(-Kl*_xlfn.LOGNORM.DIST((Tabella34[[#This Row],[Day]]-pl),mu_l,sigma_l,FALSE)*(1+(LN((Tabella34[[#This Row],[Day]]-pl))-mu_l)/sigma_l^2)/(Tabella34[[#This Row],[Day]]-pl),0)</f>
        <v>-13.152660696485565</v>
      </c>
      <c r="AX146" s="95">
        <f>Tabella34[[#This Row],[Lombardy acc. fit]]/y_l_peak</f>
        <v>-7.4817982519777117E-3</v>
      </c>
      <c r="AY146" s="157">
        <f>Tabella34[[#This Row],[Lombardy acc. fit]]*NOT(ISBLANK(Tabella34[[#This Row],[Lombardy data]]))</f>
        <v>0</v>
      </c>
      <c r="AZ146" s="95">
        <f>Tabella34[[#This Row],[Lombardy acc. fit]]+CIl</f>
        <v>2557.2296622199228</v>
      </c>
      <c r="BA146" s="95">
        <f>MAX(Tabella34[[#This Row],[Lombardy acc. fit]]-CIl,0)</f>
        <v>0</v>
      </c>
      <c r="BC146" s="10"/>
      <c r="BD146" s="10"/>
      <c r="BE146" s="95">
        <f>Tabella34[[#This Row],[rest of Italy data]]*NOT(ISBLANK(Tabella34[[#This Row],[rest of Italy data]]))</f>
        <v>0</v>
      </c>
      <c r="BF146" s="95">
        <f>Tabella8[[#This Row],[rest of Italy fit]]</f>
        <v>142389.22042903272</v>
      </c>
      <c r="BG146" s="157" t="e">
        <f>_xlfn.LOGNORM.INV(alpha*Tabella34[[#This Row],[rest of Italy cumul. Fit]]/Ko,mu_o,sigma_o)-(Tabella34[[#This Row],[Day]]-po)</f>
        <v>#NUM!</v>
      </c>
      <c r="BH146" s="95">
        <f>Tabella34[[#This Row],[rest of Italy cumul. Fit]]/Ka</f>
        <v>0.96208943922147394</v>
      </c>
      <c r="BI146" s="157">
        <f>IFERROR(Ko*_xlfn.LOGNORM.DIST((Tabella34[[#This Row],[Day]]-po),mu_o,sigma_o,FALSE),0)</f>
        <v>374.94390191921877</v>
      </c>
      <c r="BJ146" s="199">
        <f>Tabella34[[#This Row],[rest of Italy velocity]]/Tabella34[[#This Row],[rest of Italy cumul. Fit]]</f>
        <v>2.6332323527685306E-3</v>
      </c>
      <c r="BK146" s="254">
        <f>(LN(Tabella34[[#This Row],[Day]]-po)-mu_o)/sigma_o</f>
        <v>1.7754651098729042</v>
      </c>
      <c r="BL146" s="262">
        <f>EXP(mu_o+sigma_o*Tabella34[[#This Row],[x_o_alpha©+plus]])-(Tabella34[[#This Row],[Day]]-po)</f>
        <v>10.539913377352519</v>
      </c>
      <c r="BM146" s="262">
        <f>EXP(mu_o+sigma_o*Tabella34[[#This Row],[x_o_alpha©-minus]])-(Tabella34[[#This Row],[Day]]-po)</f>
        <v>-77.460007124317201</v>
      </c>
      <c r="BN146" s="262">
        <f>-sigma_o+SQRT(sigma_o^2-2*Tabella34[[#This Row],[c_o]])</f>
        <v>2.0834044505104066</v>
      </c>
      <c r="BO146" s="262">
        <f>-sigma_o-SQRT(sigma_o^2-2*Tabella34[[#This Row],[c_o]])</f>
        <v>-2.7263772278094329</v>
      </c>
      <c r="BP146" s="262">
        <f>mu_o-LN(alpha*Ko/(Tabella34[[#This Row],[rest of Italy velocity]]*sigma_o*SQRTPI(2)))</f>
        <v>-2.8400732250941987</v>
      </c>
      <c r="BQ146" s="262">
        <f>Tabella34[[#This Row],[t_alpha_o+plus]]</f>
        <v>10.539913377352519</v>
      </c>
      <c r="BR146" s="90">
        <f>IFERROR(-Ka*_xlfn.LOGNORM.DIST((Tabella34[[#This Row],[Day]]-pa),mu_a,sigma_a,FALSE)*(1+(LN((Tabella34[[#This Row],[Day]]-pa))-mu_a)/sigma_a^2)/(Tabella34[[#This Row],[Day]]-pa),0)</f>
        <v>-24.146676160553977</v>
      </c>
      <c r="BS146" s="95">
        <f>Tabella34[[#This Row],[rest of Italy acc. fit]]/y_a_peak</f>
        <v>-7.1457859335445559E-3</v>
      </c>
      <c r="BT146" s="136">
        <f>Tabella34[[#This Row],[rest of Italy acc. fit]]*NOT(ISBLANK(Tabella34[[#This Row],[rest of Italy data]]))</f>
        <v>0</v>
      </c>
      <c r="BU146" s="205"/>
      <c r="BV146" s="137"/>
    </row>
    <row r="147" spans="2:74" x14ac:dyDescent="0.3">
      <c r="B147" s="281">
        <v>43970</v>
      </c>
      <c r="C147" s="4">
        <v>140</v>
      </c>
      <c r="E147" s="10"/>
      <c r="F147" s="10"/>
      <c r="G147" s="136">
        <f>Tabella34[[#This Row],[Spain daily cases]]*NOT(ISBLANK(Tabella34[[#This Row],[Spain daily cases]]))</f>
        <v>0</v>
      </c>
      <c r="H147" s="157">
        <f>Tabella8[[#This Row],[Spain cum. fit]]</f>
        <v>270647.74623510201</v>
      </c>
      <c r="I147" s="157" t="e">
        <f>_xlfn.LOGNORM.INV(alpha*Tabella34[[#This Row],[Spain cumul. Fit]]/Kt,mu_t,sigma_t)-(Tabella34[[#This Row],[Day]]-pt)</f>
        <v>#NUM!</v>
      </c>
      <c r="J147" s="157" t="e">
        <f>Tabella34[[#This Row],[Spain fitted d.t.]]/Spain_dt_at_lockdown</f>
        <v>#NUM!</v>
      </c>
      <c r="K147" s="95">
        <f>Tabella34[[#This Row],[Spain cumul. Fit]]/Kf</f>
        <v>0.96659945351579002</v>
      </c>
      <c r="L147" s="160"/>
      <c r="M147" s="95"/>
      <c r="N147" s="157">
        <f>IFERROR(Kt*_xlfn.LOGNORM.DIST((Tabella34[[#This Row],[Day]]-pt),mu_t,sigma_t,FALSE),0)</f>
        <v>733.21628887403631</v>
      </c>
      <c r="O147" s="157" t="e">
        <f>Kt*EXP(-0.5*Tabella34[[#This Row],[x_t]]^2)/(sigma_t*SQRTPI(2)*(Tabella34[[#This Row],[Day]]-D_bk))</f>
        <v>#NAME?</v>
      </c>
      <c r="P147" s="199">
        <f>Tabella34[[#This Row],[Spain fitted velocity]]/Tabella34[[#This Row],[Spain cumul. Fit]]</f>
        <v>2.7091165512130944E-3</v>
      </c>
      <c r="Q147" s="262">
        <f>(LN(Tabella34[[#This Row],[Day]]-pt)-mu_t)/sigma_t</f>
        <v>1.8330099394693662</v>
      </c>
      <c r="R147" s="262">
        <f>EXP(mu_t+sigma_t*Tabella34[[#This Row],[x_t_alpha©+plus]])-(Tabella34[[#This Row],[Day]]-pt)</f>
        <v>9.0969731997292769</v>
      </c>
      <c r="S147" s="262">
        <f>EXP(mu_t+sigma_t*Tabella34[[#This Row],[x_t_alpha©-minus]])-(Tabella34[[#This Row],[Day]]-pt)</f>
        <v>-74.224401435553375</v>
      </c>
      <c r="T147" s="262">
        <f>-sigma_t+SQRT(sigma_t^2-2*Tabella34[[#This Row],[c_t]])</f>
        <v>2.1403385919386895</v>
      </c>
      <c r="U147" s="262">
        <f>-sigma_t-SQRT(sigma_t^2-2*Tabella34[[#This Row],[c_t]])</f>
        <v>-2.6777779417818564</v>
      </c>
      <c r="V147" s="262">
        <f>mu_t-LN(alpha*Kt/(Tabella34[[#This Row],[Spain fitted velocity]]*sigma_t*SQRTPI(2)))</f>
        <v>-2.8656757347189297</v>
      </c>
      <c r="W147" s="262">
        <f>Tabella34[[#This Row],[Spain fitted g.r.]]/Spain_gr_at_lockdown</f>
        <v>1.3073936033620859E-2</v>
      </c>
      <c r="X147" s="262">
        <f>Tabella34[[#This Row],[t_alpha_t+plus]]</f>
        <v>9.0969731997292769</v>
      </c>
      <c r="Y147" s="262">
        <f>Tabella34[[#This Row],[Spain fitted h.t.]]/Spain_ht_at_lockdown</f>
        <v>0.14777272600484292</v>
      </c>
      <c r="Z147" s="90">
        <f>IFERROR(-Kf*_xlfn.LOGNORM.DIST((Tabella34[[#This Row],[Day]]-pf),mu_f,sigma_f,FALSE)*(1+(LN((Tabella34[[#This Row],[Day]]-pf))-mu_f)/sigma_f^2)/(Tabella34[[#This Row],[Day]]-pf),0)</f>
        <v>-54.271478860359998</v>
      </c>
      <c r="AA147" s="90">
        <f>Tabella34[[#This Row],[Spain acc. fit]]/Spain_acc_at_lockdown</f>
        <v>-0.1849392588666208</v>
      </c>
      <c r="AB147" s="95">
        <f>Tabella34[[#This Row],[Spain acc. fit]]/y_f_peak</f>
        <v>-8.1309657006699287E-3</v>
      </c>
      <c r="AC147" s="157">
        <f>Tabella34[[#This Row],[Colonna4]]*NOT(ISBLANK(Tabella34[[#This Row],[Spain daily cases]]))</f>
        <v>0</v>
      </c>
      <c r="AD147" s="157">
        <f>Tabella34[[#This Row],[Spain acc. fit]]*NOT(ISBLANK(Tabella34[[#This Row],[Spain daily cases]]))</f>
        <v>0</v>
      </c>
      <c r="AE147" s="95">
        <f>Tabella34[[#This Row],[Spain acc. fit]]+CIf</f>
        <v>2288.4169388207329</v>
      </c>
      <c r="AF147" s="95">
        <f>MAX(Tabella34[[#This Row],[Spain acc. fit]]-CIf,0)</f>
        <v>0</v>
      </c>
      <c r="AH147" s="10"/>
      <c r="AI147" s="10"/>
      <c r="AJ147" s="136">
        <f>Tabella34[[#This Row],[Lombardy data]]*NOT(ISBLANK(Tabella34[[#This Row],[Lombardy data]]))</f>
        <v>0</v>
      </c>
      <c r="AK147" s="95">
        <f>Tabella8[[#This Row],[Lombardy fit]]</f>
        <v>82933.220269088051</v>
      </c>
      <c r="AL147" s="157" t="e">
        <f>_xlfn.LOGNORM.INV(alpha*Tabella34[[#This Row],[Lombardy cumul. Fit]]/Kr,mu_r,sigma_r)-(Tabella34[[#This Row],[Day]]-pr)</f>
        <v>#NUM!</v>
      </c>
      <c r="AM147" s="95">
        <f>Tabella34[[#This Row],[Lombardy cumul. Fit]]/Kl</f>
        <v>0.95325540539181663</v>
      </c>
      <c r="AN147" s="95">
        <f>IFERROR(Kr*_xlfn.LOGNORM.DIST((Tabella34[[#This Row],[Day]]-pr),mu_r,sigma_r,FALSE),0)</f>
        <v>229.60254586220248</v>
      </c>
      <c r="AO147" s="202">
        <f>Tabella34[[#This Row],[Lombardy velocity]]/Tabella34[[#This Row],[Lombardy cumul. Fit]]</f>
        <v>2.7685232180449035E-3</v>
      </c>
      <c r="AP147" s="259">
        <f>(LN(Tabella34[[#This Row],[Day]]-pr)-mu_r)/sigma_r</f>
        <v>1.6772725937197379</v>
      </c>
      <c r="AQ147" s="262">
        <f>EXP(mu_r+sigma_r*Tabella34[[#This Row],[x_r_alpha©+plus]])-(Tabella34[[#This Row],[Day]]-pr)</f>
        <v>12.453773795292378</v>
      </c>
      <c r="AR147" s="262">
        <f>EXP(mu_r+sigma_r*Tabella34[[#This Row],[x_r_alpha©-minus]])-(Tabella34[[#This Row],[Day]]-pr)</f>
        <v>-84.069178797669949</v>
      </c>
      <c r="AS147" s="262">
        <f>-sigma_r+SQRT(sigma_r^2-2*Tabella34[[#This Row],[c_r]])</f>
        <v>1.9956821201963395</v>
      </c>
      <c r="AT147" s="262">
        <f>-sigma_r-SQRT(sigma_r^2-2*Tabella34[[#This Row],[c_r]])</f>
        <v>-2.6765367173900687</v>
      </c>
      <c r="AU147" s="262">
        <f>mu_r-LN(alpha*Kr/(Tabella34[[#This Row],[Lombardy velocity]]*sigma_r*SQRTPI(2)))</f>
        <v>-2.6707582354721815</v>
      </c>
      <c r="AV147" s="262">
        <f>Tabella34[[#This Row],[t_alpha_r+plus]]</f>
        <v>12.453773795292378</v>
      </c>
      <c r="AW147" s="90">
        <f>IFERROR(-Kl*_xlfn.LOGNORM.DIST((Tabella34[[#This Row],[Day]]-pl),mu_l,sigma_l,FALSE)*(1+(LN((Tabella34[[#This Row],[Day]]-pl))-mu_l)/sigma_l^2)/(Tabella34[[#This Row],[Day]]-pl),0)</f>
        <v>-12.510327624274115</v>
      </c>
      <c r="AX147" s="95">
        <f>Tabella34[[#This Row],[Lombardy acc. fit]]/y_l_peak</f>
        <v>-7.116411615177811E-3</v>
      </c>
      <c r="AY147" s="157">
        <f>Tabella34[[#This Row],[Lombardy acc. fit]]*NOT(ISBLANK(Tabella34[[#This Row],[Lombardy data]]))</f>
        <v>0</v>
      </c>
      <c r="AZ147" s="95">
        <f>Tabella34[[#This Row],[Lombardy acc. fit]]+CIl</f>
        <v>2557.8719952921347</v>
      </c>
      <c r="BA147" s="95">
        <f>MAX(Tabella34[[#This Row],[Lombardy acc. fit]]-CIl,0)</f>
        <v>0</v>
      </c>
      <c r="BC147" s="10"/>
      <c r="BD147" s="10"/>
      <c r="BE147" s="95">
        <f>Tabella34[[#This Row],[rest of Italy data]]*NOT(ISBLANK(Tabella34[[#This Row],[rest of Italy data]]))</f>
        <v>0</v>
      </c>
      <c r="BF147" s="95">
        <f>Tabella8[[#This Row],[rest of Italy fit]]</f>
        <v>142752.32797550212</v>
      </c>
      <c r="BG147" s="157" t="e">
        <f>_xlfn.LOGNORM.INV(alpha*Tabella34[[#This Row],[rest of Italy cumul. Fit]]/Ko,mu_o,sigma_o)-(Tabella34[[#This Row],[Day]]-po)</f>
        <v>#NUM!</v>
      </c>
      <c r="BH147" s="95">
        <f>Tabella34[[#This Row],[rest of Italy cumul. Fit]]/Ka</f>
        <v>0.96454286887511786</v>
      </c>
      <c r="BI147" s="157">
        <f>IFERROR(Ko*_xlfn.LOGNORM.DIST((Tabella34[[#This Row],[Day]]-po),mu_o,sigma_o,FALSE),0)</f>
        <v>351.50520221873751</v>
      </c>
      <c r="BJ147" s="199">
        <f>Tabella34[[#This Row],[rest of Italy velocity]]/Tabella34[[#This Row],[rest of Italy cumul. Fit]]</f>
        <v>2.4623430468962977E-3</v>
      </c>
      <c r="BK147" s="254">
        <f>(LN(Tabella34[[#This Row],[Day]]-po)-mu_o)/sigma_o</f>
        <v>1.806026103572846</v>
      </c>
      <c r="BL147" s="262">
        <f>EXP(mu_o+sigma_o*Tabella34[[#This Row],[x_o_alpha©+plus]])-(Tabella34[[#This Row],[Day]]-po)</f>
        <v>10.503668409210619</v>
      </c>
      <c r="BM147" s="262">
        <f>EXP(mu_o+sigma_o*Tabella34[[#This Row],[x_o_alpha©-minus]])-(Tabella34[[#This Row],[Day]]-po)</f>
        <v>-78.663570241865159</v>
      </c>
      <c r="BN147" s="262">
        <f>-sigma_o+SQRT(sigma_o^2-2*Tabella34[[#This Row],[c_o]])</f>
        <v>2.1100982316510191</v>
      </c>
      <c r="BO147" s="262">
        <f>-sigma_o-SQRT(sigma_o^2-2*Tabella34[[#This Row],[c_o]])</f>
        <v>-2.7530710089500454</v>
      </c>
      <c r="BP147" s="262">
        <f>mu_o-LN(alpha*Ko/(Tabella34[[#This Row],[rest of Italy velocity]]*sigma_o*SQRTPI(2)))</f>
        <v>-2.9046251337975884</v>
      </c>
      <c r="BQ147" s="262">
        <f>Tabella34[[#This Row],[t_alpha_o+plus]]</f>
        <v>10.503668409210619</v>
      </c>
      <c r="BR147" s="90">
        <f>IFERROR(-Ka*_xlfn.LOGNORM.DIST((Tabella34[[#This Row],[Day]]-pa),mu_a,sigma_a,FALSE)*(1+(LN((Tabella34[[#This Row],[Day]]-pa))-mu_a)/sigma_a^2)/(Tabella34[[#This Row],[Day]]-pa),0)</f>
        <v>-22.742574940553805</v>
      </c>
      <c r="BS147" s="95">
        <f>Tabella34[[#This Row],[rest of Italy acc. fit]]/y_a_peak</f>
        <v>-6.7302667672445356E-3</v>
      </c>
      <c r="BT147" s="136">
        <f>Tabella34[[#This Row],[rest of Italy acc. fit]]*NOT(ISBLANK(Tabella34[[#This Row],[rest of Italy data]]))</f>
        <v>0</v>
      </c>
      <c r="BU147" s="205"/>
      <c r="BV147" s="137"/>
    </row>
    <row r="148" spans="2:74" x14ac:dyDescent="0.3">
      <c r="B148" s="281">
        <v>43971</v>
      </c>
      <c r="C148" s="4">
        <v>141</v>
      </c>
      <c r="E148" s="10"/>
      <c r="F148" s="10"/>
      <c r="G148" s="136">
        <f>Tabella34[[#This Row],[Spain daily cases]]*NOT(ISBLANK(Tabella34[[#This Row],[Spain daily cases]]))</f>
        <v>0</v>
      </c>
      <c r="H148" s="157">
        <f>Tabella8[[#This Row],[Spain cum. fit]]</f>
        <v>271354.42231334018</v>
      </c>
      <c r="I148" s="157" t="e">
        <f>_xlfn.LOGNORM.INV(alpha*Tabella34[[#This Row],[Spain cumul. Fit]]/Kt,mu_t,sigma_t)-(Tabella34[[#This Row],[Day]]-pt)</f>
        <v>#NUM!</v>
      </c>
      <c r="J148" s="157" t="e">
        <f>Tabella34[[#This Row],[Spain fitted d.t.]]/Spain_dt_at_lockdown</f>
        <v>#NUM!</v>
      </c>
      <c r="K148" s="95">
        <f>Tabella34[[#This Row],[Spain cumul. Fit]]/Kf</f>
        <v>0.96912329759186211</v>
      </c>
      <c r="L148" s="160"/>
      <c r="M148" s="95"/>
      <c r="N148" s="157">
        <f>IFERROR(Kt*_xlfn.LOGNORM.DIST((Tabella34[[#This Row],[Day]]-pt),mu_t,sigma_t,FALSE),0)</f>
        <v>680.72341411044317</v>
      </c>
      <c r="O148" s="157" t="e">
        <f>Kt*EXP(-0.5*Tabella34[[#This Row],[x_t]]^2)/(sigma_t*SQRTPI(2)*(Tabella34[[#This Row],[Day]]-D_bk))</f>
        <v>#NAME?</v>
      </c>
      <c r="P148" s="199">
        <f>Tabella34[[#This Row],[Spain fitted velocity]]/Tabella34[[#This Row],[Spain cumul. Fit]]</f>
        <v>2.508613673243894E-3</v>
      </c>
      <c r="Q148" s="262">
        <f>(LN(Tabella34[[#This Row],[Day]]-pt)-mu_t)/sigma_t</f>
        <v>1.8680621767863008</v>
      </c>
      <c r="R148" s="262">
        <f>EXP(mu_t+sigma_t*Tabella34[[#This Row],[x_t_alpha©+plus]])-(Tabella34[[#This Row],[Day]]-pt)</f>
        <v>9.045809831385327</v>
      </c>
      <c r="S148" s="262">
        <f>EXP(mu_t+sigma_t*Tabella34[[#This Row],[x_t_alpha©-minus]])-(Tabella34[[#This Row],[Day]]-pt)</f>
        <v>-75.482226205680149</v>
      </c>
      <c r="T148" s="262">
        <f>-sigma_t+SQRT(sigma_t^2-2*Tabella34[[#This Row],[c_t]])</f>
        <v>2.1709792907108705</v>
      </c>
      <c r="U148" s="262">
        <f>-sigma_t-SQRT(sigma_t^2-2*Tabella34[[#This Row],[c_t]])</f>
        <v>-2.7084186405540374</v>
      </c>
      <c r="V148" s="262">
        <f>mu_t-LN(alpha*Kt/(Tabella34[[#This Row],[Spain fitted velocity]]*sigma_t*SQRTPI(2)))</f>
        <v>-2.9399603896090518</v>
      </c>
      <c r="W148" s="262">
        <f>Tabella34[[#This Row],[Spain fitted g.r.]]/Spain_gr_at_lockdown</f>
        <v>1.2106328420005117E-2</v>
      </c>
      <c r="X148" s="262">
        <f>Tabella34[[#This Row],[t_alpha_t+plus]]</f>
        <v>9.045809831385327</v>
      </c>
      <c r="Y148" s="262">
        <f>Tabella34[[#This Row],[Spain fitted h.t.]]/Spain_ht_at_lockdown</f>
        <v>0.14694161985054532</v>
      </c>
      <c r="Z148" s="90">
        <f>IFERROR(-Kf*_xlfn.LOGNORM.DIST((Tabella34[[#This Row],[Day]]-pf),mu_f,sigma_f,FALSE)*(1+(LN((Tabella34[[#This Row],[Day]]-pf))-mu_f)/sigma_f^2)/(Tabella34[[#This Row],[Day]]-pf),0)</f>
        <v>-50.746122698843493</v>
      </c>
      <c r="AA148" s="90">
        <f>Tabella34[[#This Row],[Spain acc. fit]]/Spain_acc_at_lockdown</f>
        <v>-0.1729260104819717</v>
      </c>
      <c r="AB148" s="95">
        <f>Tabella34[[#This Row],[Spain acc. fit]]/y_f_peak</f>
        <v>-7.6027960131312914E-3</v>
      </c>
      <c r="AC148" s="157">
        <f>Tabella34[[#This Row],[Colonna4]]*NOT(ISBLANK(Tabella34[[#This Row],[Spain daily cases]]))</f>
        <v>0</v>
      </c>
      <c r="AD148" s="157">
        <f>Tabella34[[#This Row],[Spain acc. fit]]*NOT(ISBLANK(Tabella34[[#This Row],[Spain daily cases]]))</f>
        <v>0</v>
      </c>
      <c r="AE148" s="95">
        <f>Tabella34[[#This Row],[Spain acc. fit]]+CIf</f>
        <v>2291.9422949822492</v>
      </c>
      <c r="AF148" s="95">
        <f>MAX(Tabella34[[#This Row],[Spain acc. fit]]-CIf,0)</f>
        <v>0</v>
      </c>
      <c r="AH148" s="10"/>
      <c r="AI148" s="10"/>
      <c r="AJ148" s="136">
        <f>Tabella34[[#This Row],[Lombardy data]]*NOT(ISBLANK(Tabella34[[#This Row],[Lombardy data]]))</f>
        <v>0</v>
      </c>
      <c r="AK148" s="95">
        <f>Tabella8[[#This Row],[Lombardy fit]]</f>
        <v>83156.671439319733</v>
      </c>
      <c r="AL148" s="157" t="e">
        <f>_xlfn.LOGNORM.INV(alpha*Tabella34[[#This Row],[Lombardy cumul. Fit]]/Kr,mu_r,sigma_r)-(Tabella34[[#This Row],[Day]]-pr)</f>
        <v>#NUM!</v>
      </c>
      <c r="AM148" s="95">
        <f>Tabella34[[#This Row],[Lombardy cumul. Fit]]/Kl</f>
        <v>0.95582380964735325</v>
      </c>
      <c r="AN148" s="95">
        <f>IFERROR(Kr*_xlfn.LOGNORM.DIST((Tabella34[[#This Row],[Day]]-pr),mu_r,sigma_r,FALSE),0)</f>
        <v>217.40250492532616</v>
      </c>
      <c r="AO148" s="202">
        <f>Tabella34[[#This Row],[Lombardy velocity]]/Tabella34[[#This Row],[Lombardy cumul. Fit]]</f>
        <v>2.6143723788170981E-3</v>
      </c>
      <c r="AP148" s="259">
        <f>(LN(Tabella34[[#This Row],[Day]]-pr)-mu_r)/sigma_r</f>
        <v>1.7041536773220749</v>
      </c>
      <c r="AQ148" s="262">
        <f>EXP(mu_r+sigma_r*Tabella34[[#This Row],[x_r_alpha©+plus]])-(Tabella34[[#This Row],[Day]]-pr)</f>
        <v>12.417375475386706</v>
      </c>
      <c r="AR148" s="262">
        <f>EXP(mu_r+sigma_r*Tabella34[[#This Row],[x_r_alpha©-minus]])-(Tabella34[[#This Row],[Day]]-pr)</f>
        <v>-85.264024925713883</v>
      </c>
      <c r="AS148" s="262">
        <f>-sigma_r+SQRT(sigma_r^2-2*Tabella34[[#This Row],[c_r]])</f>
        <v>2.0189382365014028</v>
      </c>
      <c r="AT148" s="262">
        <f>-sigma_r-SQRT(sigma_r^2-2*Tabella34[[#This Row],[c_r]])</f>
        <v>-2.699792833695132</v>
      </c>
      <c r="AU148" s="262">
        <f>mu_r-LN(alpha*Kr/(Tabella34[[#This Row],[Lombardy velocity]]*sigma_r*SQRTPI(2)))</f>
        <v>-2.7253574912897873</v>
      </c>
      <c r="AV148" s="262">
        <f>Tabella34[[#This Row],[t_alpha_r+plus]]</f>
        <v>12.417375475386706</v>
      </c>
      <c r="AW148" s="90">
        <f>IFERROR(-Kl*_xlfn.LOGNORM.DIST((Tabella34[[#This Row],[Day]]-pl),mu_l,sigma_l,FALSE)*(1+(LN((Tabella34[[#This Row],[Day]]-pl))-mu_l)/sigma_l^2)/(Tabella34[[#This Row],[Day]]-pl),0)</f>
        <v>-11.89405712261615</v>
      </c>
      <c r="AX148" s="95">
        <f>Tabella34[[#This Row],[Lombardy acc. fit]]/y_l_peak</f>
        <v>-6.765850487779306E-3</v>
      </c>
      <c r="AY148" s="157">
        <f>Tabella34[[#This Row],[Lombardy acc. fit]]*NOT(ISBLANK(Tabella34[[#This Row],[Lombardy data]]))</f>
        <v>0</v>
      </c>
      <c r="AZ148" s="95">
        <f>Tabella34[[#This Row],[Lombardy acc. fit]]+CIl</f>
        <v>2558.4882657937924</v>
      </c>
      <c r="BA148" s="95">
        <f>MAX(Tabella34[[#This Row],[Lombardy acc. fit]]-CIl,0)</f>
        <v>0</v>
      </c>
      <c r="BC148" s="10"/>
      <c r="BD148" s="10"/>
      <c r="BE148" s="95">
        <f>Tabella34[[#This Row],[rest of Italy data]]*NOT(ISBLANK(Tabella34[[#This Row],[rest of Italy data]]))</f>
        <v>0</v>
      </c>
      <c r="BF148" s="95">
        <f>Tabella8[[#This Row],[rest of Italy fit]]</f>
        <v>143092.68710782341</v>
      </c>
      <c r="BG148" s="157" t="e">
        <f>_xlfn.LOGNORM.INV(alpha*Tabella34[[#This Row],[rest of Italy cumul. Fit]]/Ko,mu_o,sigma_o)-(Tabella34[[#This Row],[Day]]-po)</f>
        <v>#NUM!</v>
      </c>
      <c r="BH148" s="95">
        <f>Tabella34[[#This Row],[rest of Italy cumul. Fit]]/Ka</f>
        <v>0.96684259300986797</v>
      </c>
      <c r="BI148" s="157">
        <f>IFERROR(Ko*_xlfn.LOGNORM.DIST((Tabella34[[#This Row],[Day]]-po),mu_o,sigma_o,FALSE),0)</f>
        <v>329.43539594258692</v>
      </c>
      <c r="BJ148" s="199">
        <f>Tabella34[[#This Row],[rest of Italy velocity]]/Tabella34[[#This Row],[rest of Italy cumul. Fit]]</f>
        <v>2.3022517963783174E-3</v>
      </c>
      <c r="BK148" s="254">
        <f>(LN(Tabella34[[#This Row],[Day]]-po)-mu_o)/sigma_o</f>
        <v>1.8362897562268496</v>
      </c>
      <c r="BL148" s="262">
        <f>EXP(mu_o+sigma_o*Tabella34[[#This Row],[x_o_alpha©+plus]])-(Tabella34[[#This Row],[Day]]-po)</f>
        <v>10.469477978962985</v>
      </c>
      <c r="BM148" s="262">
        <f>EXP(mu_o+sigma_o*Tabella34[[#This Row],[x_o_alpha©-minus]])-(Tabella34[[#This Row],[Day]]-po)</f>
        <v>-79.864106934493719</v>
      </c>
      <c r="BN148" s="262">
        <f>-sigma_o+SQRT(sigma_o^2-2*Tabella34[[#This Row],[c_o]])</f>
        <v>2.1366210647620316</v>
      </c>
      <c r="BO148" s="262">
        <f>-sigma_o-SQRT(sigma_o^2-2*Tabella34[[#This Row],[c_o]])</f>
        <v>-2.779593842061058</v>
      </c>
      <c r="BP148" s="262">
        <f>mu_o-LN(alpha*Ko/(Tabella34[[#This Row],[rest of Italy velocity]]*sigma_o*SQRTPI(2)))</f>
        <v>-2.9694693772152423</v>
      </c>
      <c r="BQ148" s="262">
        <f>Tabella34[[#This Row],[t_alpha_o+plus]]</f>
        <v>10.469477978962985</v>
      </c>
      <c r="BR148" s="90">
        <f>IFERROR(-Ka*_xlfn.LOGNORM.DIST((Tabella34[[#This Row],[Day]]-pa),mu_a,sigma_a,FALSE)*(1+(LN((Tabella34[[#This Row],[Day]]-pa))-mu_a)/sigma_a^2)/(Tabella34[[#This Row],[Day]]-pa),0)</f>
        <v>-21.408537597272094</v>
      </c>
      <c r="BS148" s="95">
        <f>Tabella34[[#This Row],[rest of Italy acc. fit]]/y_a_peak</f>
        <v>-6.3354817782439246E-3</v>
      </c>
      <c r="BT148" s="136">
        <f>Tabella34[[#This Row],[rest of Italy acc. fit]]*NOT(ISBLANK(Tabella34[[#This Row],[rest of Italy data]]))</f>
        <v>0</v>
      </c>
      <c r="BU148" s="205"/>
      <c r="BV148" s="137"/>
    </row>
    <row r="149" spans="2:74" x14ac:dyDescent="0.3">
      <c r="B149" s="281">
        <v>43972</v>
      </c>
      <c r="C149" s="4">
        <v>142</v>
      </c>
      <c r="E149" s="10"/>
      <c r="F149" s="10"/>
      <c r="G149" s="136">
        <f>Tabella34[[#This Row],[Spain daily cases]]*NOT(ISBLANK(Tabella34[[#This Row],[Spain daily cases]]))</f>
        <v>0</v>
      </c>
      <c r="H149" s="157">
        <f>Tabella8[[#This Row],[Spain cum. fit]]</f>
        <v>272010.33654325805</v>
      </c>
      <c r="I149" s="157" t="e">
        <f>_xlfn.LOGNORM.INV(alpha*Tabella34[[#This Row],[Spain cumul. Fit]]/Kt,mu_t,sigma_t)-(Tabella34[[#This Row],[Day]]-pt)</f>
        <v>#NUM!</v>
      </c>
      <c r="J149" s="157" t="e">
        <f>Tabella34[[#This Row],[Spain fitted d.t.]]/Spain_dt_at_lockdown</f>
        <v>#NUM!</v>
      </c>
      <c r="K149" s="95">
        <f>Tabella34[[#This Row],[Spain cumul. Fit]]/Kf</f>
        <v>0.97146584928501789</v>
      </c>
      <c r="L149" s="160"/>
      <c r="M149" s="95"/>
      <c r="N149" s="157">
        <f>IFERROR(Kt*_xlfn.LOGNORM.DIST((Tabella34[[#This Row],[Day]]-pt),mu_t,sigma_t,FALSE),0)</f>
        <v>631.6611445741903</v>
      </c>
      <c r="O149" s="157" t="e">
        <f>Kt*EXP(-0.5*Tabella34[[#This Row],[x_t]]^2)/(sigma_t*SQRTPI(2)*(Tabella34[[#This Row],[Day]]-D_bk))</f>
        <v>#NAME?</v>
      </c>
      <c r="P149" s="199">
        <f>Tabella34[[#This Row],[Spain fitted velocity]]/Tabella34[[#This Row],[Spain cumul. Fit]]</f>
        <v>2.322195371695872E-3</v>
      </c>
      <c r="Q149" s="262">
        <f>(LN(Tabella34[[#This Row],[Day]]-pt)-mu_t)/sigma_t</f>
        <v>1.9027873276697969</v>
      </c>
      <c r="R149" s="262">
        <f>EXP(mu_t+sigma_t*Tabella34[[#This Row],[x_t_alpha©+plus]])-(Tabella34[[#This Row],[Day]]-pt)</f>
        <v>8.9971543276109003</v>
      </c>
      <c r="S149" s="262">
        <f>EXP(mu_t+sigma_t*Tabella34[[#This Row],[x_t_alpha©-minus]])-(Tabella34[[#This Row],[Day]]-pt)</f>
        <v>-76.736521966804503</v>
      </c>
      <c r="T149" s="262">
        <f>-sigma_t+SQRT(sigma_t^2-2*Tabella34[[#This Row],[c_t]])</f>
        <v>2.2014497572071705</v>
      </c>
      <c r="U149" s="262">
        <f>-sigma_t-SQRT(sigma_t^2-2*Tabella34[[#This Row],[c_t]])</f>
        <v>-2.7388891070503374</v>
      </c>
      <c r="V149" s="262">
        <f>mu_t-LN(alpha*Kt/(Tabella34[[#This Row],[Spain fitted velocity]]*sigma_t*SQRTPI(2)))</f>
        <v>-3.0147633798666646</v>
      </c>
      <c r="W149" s="262">
        <f>Tabella34[[#This Row],[Spain fitted g.r.]]/Spain_gr_at_lockdown</f>
        <v>1.1206691618168835E-2</v>
      </c>
      <c r="X149" s="262">
        <f>Tabella34[[#This Row],[t_alpha_t+plus]]</f>
        <v>8.9971543276109003</v>
      </c>
      <c r="Y149" s="262">
        <f>Tabella34[[#This Row],[Spain fitted h.t.]]/Spain_ht_at_lockdown</f>
        <v>0.14615125186000316</v>
      </c>
      <c r="Z149" s="90">
        <f>IFERROR(-Kf*_xlfn.LOGNORM.DIST((Tabella34[[#This Row],[Day]]-pf),mu_f,sigma_f,FALSE)*(1+(LN((Tabella34[[#This Row],[Day]]-pf))-mu_f)/sigma_f^2)/(Tabella34[[#This Row],[Day]]-pf),0)</f>
        <v>-47.409441738390804</v>
      </c>
      <c r="AA149" s="90">
        <f>Tabella34[[#This Row],[Spain acc. fit]]/Spain_acc_at_lockdown</f>
        <v>-0.16155570481021667</v>
      </c>
      <c r="AB149" s="95">
        <f>Tabella34[[#This Row],[Spain acc. fit]]/y_f_peak</f>
        <v>-7.1028936884991291E-3</v>
      </c>
      <c r="AC149" s="157">
        <f>Tabella34[[#This Row],[Colonna4]]*NOT(ISBLANK(Tabella34[[#This Row],[Spain daily cases]]))</f>
        <v>0</v>
      </c>
      <c r="AD149" s="157">
        <f>Tabella34[[#This Row],[Spain acc. fit]]*NOT(ISBLANK(Tabella34[[#This Row],[Spain daily cases]]))</f>
        <v>0</v>
      </c>
      <c r="AE149" s="95">
        <f>Tabella34[[#This Row],[Spain acc. fit]]+CIf</f>
        <v>2295.2789759427019</v>
      </c>
      <c r="AF149" s="95">
        <f>MAX(Tabella34[[#This Row],[Spain acc. fit]]-CIf,0)</f>
        <v>0</v>
      </c>
      <c r="AH149" s="10"/>
      <c r="AI149" s="10"/>
      <c r="AJ149" s="136">
        <f>Tabella34[[#This Row],[Lombardy data]]*NOT(ISBLANK(Tabella34[[#This Row],[Lombardy data]]))</f>
        <v>0</v>
      </c>
      <c r="AK149" s="95">
        <f>Tabella8[[#This Row],[Lombardy fit]]</f>
        <v>83368.226423014072</v>
      </c>
      <c r="AL149" s="157" t="e">
        <f>_xlfn.LOGNORM.INV(alpha*Tabella34[[#This Row],[Lombardy cumul. Fit]]/Kr,mu_r,sigma_r)-(Tabella34[[#This Row],[Day]]-pr)</f>
        <v>#NUM!</v>
      </c>
      <c r="AM149" s="95">
        <f>Tabella34[[#This Row],[Lombardy cumul. Fit]]/Kl</f>
        <v>0.95825547612659856</v>
      </c>
      <c r="AN149" s="95">
        <f>IFERROR(Kr*_xlfn.LOGNORM.DIST((Tabella34[[#This Row],[Day]]-pr),mu_r,sigma_r,FALSE),0)</f>
        <v>205.8059142570437</v>
      </c>
      <c r="AO149" s="202">
        <f>Tabella34[[#This Row],[Lombardy velocity]]/Tabella34[[#This Row],[Lombardy cumul. Fit]]</f>
        <v>2.4686373104877554E-3</v>
      </c>
      <c r="AP149" s="259">
        <f>(LN(Tabella34[[#This Row],[Day]]-pr)-mu_r)/sigma_r</f>
        <v>1.7307909996458044</v>
      </c>
      <c r="AQ149" s="262">
        <f>EXP(mu_r+sigma_r*Tabella34[[#This Row],[x_r_alpha©+plus]])-(Tabella34[[#This Row],[Day]]-pr)</f>
        <v>12.382949186899708</v>
      </c>
      <c r="AR149" s="262">
        <f>EXP(mu_r+sigma_r*Tabella34[[#This Row],[x_r_alpha©-minus]])-(Tabella34[[#This Row],[Day]]-pr)</f>
        <v>-86.456211517373248</v>
      </c>
      <c r="AS149" s="262">
        <f>-sigma_r+SQRT(sigma_r^2-2*Tabella34[[#This Row],[c_r]])</f>
        <v>2.04205871397386</v>
      </c>
      <c r="AT149" s="262">
        <f>-sigma_r-SQRT(sigma_r^2-2*Tabella34[[#This Row],[c_r]])</f>
        <v>-2.7229133111675892</v>
      </c>
      <c r="AU149" s="262">
        <f>mu_r-LN(alpha*Kr/(Tabella34[[#This Row],[Lombardy velocity]]*sigma_r*SQRTPI(2)))</f>
        <v>-2.7801744272325957</v>
      </c>
      <c r="AV149" s="262">
        <f>Tabella34[[#This Row],[t_alpha_r+plus]]</f>
        <v>12.382949186899708</v>
      </c>
      <c r="AW149" s="90">
        <f>IFERROR(-Kl*_xlfn.LOGNORM.DIST((Tabella34[[#This Row],[Day]]-pl),mu_l,sigma_l,FALSE)*(1+(LN((Tabella34[[#This Row],[Day]]-pl))-mu_l)/sigma_l^2)/(Tabella34[[#This Row],[Day]]-pl),0)</f>
        <v>-11.303336906300101</v>
      </c>
      <c r="AX149" s="95">
        <f>Tabella34[[#This Row],[Lombardy acc. fit]]/y_l_peak</f>
        <v>-6.4298234599535018E-3</v>
      </c>
      <c r="AY149" s="157">
        <f>Tabella34[[#This Row],[Lombardy acc. fit]]*NOT(ISBLANK(Tabella34[[#This Row],[Lombardy data]]))</f>
        <v>0</v>
      </c>
      <c r="AZ149" s="95">
        <f>Tabella34[[#This Row],[Lombardy acc. fit]]+CIl</f>
        <v>2559.0789860101086</v>
      </c>
      <c r="BA149" s="95">
        <f>MAX(Tabella34[[#This Row],[Lombardy acc. fit]]-CIl,0)</f>
        <v>0</v>
      </c>
      <c r="BC149" s="10"/>
      <c r="BD149" s="10"/>
      <c r="BE149" s="95">
        <f>Tabella34[[#This Row],[rest of Italy data]]*NOT(ISBLANK(Tabella34[[#This Row],[rest of Italy data]]))</f>
        <v>0</v>
      </c>
      <c r="BF149" s="95">
        <f>Tabella8[[#This Row],[rest of Italy fit]]</f>
        <v>143411.63204434121</v>
      </c>
      <c r="BG149" s="157" t="e">
        <f>_xlfn.LOGNORM.INV(alpha*Tabella34[[#This Row],[rest of Italy cumul. Fit]]/Ko,mu_o,sigma_o)-(Tabella34[[#This Row],[Day]]-po)</f>
        <v>#NUM!</v>
      </c>
      <c r="BH149" s="95">
        <f>Tabella34[[#This Row],[rest of Italy cumul. Fit]]/Ka</f>
        <v>0.96899762661558864</v>
      </c>
      <c r="BI149" s="157">
        <f>IFERROR(Ko*_xlfn.LOGNORM.DIST((Tabella34[[#This Row],[Day]]-po),mu_o,sigma_o,FALSE),0)</f>
        <v>308.66549475520475</v>
      </c>
      <c r="BJ149" s="199">
        <f>Tabella34[[#This Row],[rest of Italy velocity]]/Tabella34[[#This Row],[rest of Italy cumul. Fit]]</f>
        <v>2.1523044564458267E-3</v>
      </c>
      <c r="BK149" s="254">
        <f>(LN(Tabella34[[#This Row],[Day]]-po)-mu_o)/sigma_o</f>
        <v>1.8662617980457208</v>
      </c>
      <c r="BL149" s="262">
        <f>EXP(mu_o+sigma_o*Tabella34[[#This Row],[x_o_alpha©+plus]])-(Tabella34[[#This Row],[Day]]-po)</f>
        <v>10.437240341386953</v>
      </c>
      <c r="BM149" s="262">
        <f>EXP(mu_o+sigma_o*Tabella34[[#This Row],[x_o_alpha©-minus]])-(Tabella34[[#This Row],[Day]]-po)</f>
        <v>-81.061662270252171</v>
      </c>
      <c r="BN149" s="262">
        <f>-sigma_o+SQRT(sigma_o^2-2*Tabella34[[#This Row],[c_o]])</f>
        <v>2.1629726046744211</v>
      </c>
      <c r="BO149" s="262">
        <f>-sigma_o-SQRT(sigma_o^2-2*Tabella34[[#This Row],[c_o]])</f>
        <v>-2.8059453819734475</v>
      </c>
      <c r="BP149" s="262">
        <f>mu_o-LN(alpha*Ko/(Tabella34[[#This Row],[rest of Italy velocity]]*sigma_o*SQRTPI(2)))</f>
        <v>-3.034591495710635</v>
      </c>
      <c r="BQ149" s="262">
        <f>Tabella34[[#This Row],[t_alpha_o+plus]]</f>
        <v>10.437240341386953</v>
      </c>
      <c r="BR149" s="90">
        <f>IFERROR(-Ka*_xlfn.LOGNORM.DIST((Tabella34[[#This Row],[Day]]-pa),mu_a,sigma_a,FALSE)*(1+(LN((Tabella34[[#This Row],[Day]]-pa))-mu_a)/sigma_a^2)/(Tabella34[[#This Row],[Day]]-pa),0)</f>
        <v>-20.142393723916836</v>
      </c>
      <c r="BS149" s="95">
        <f>Tabella34[[#This Row],[rest of Italy acc. fit]]/y_a_peak</f>
        <v>-5.960788672662554E-3</v>
      </c>
      <c r="BT149" s="136">
        <f>Tabella34[[#This Row],[rest of Italy acc. fit]]*NOT(ISBLANK(Tabella34[[#This Row],[rest of Italy data]]))</f>
        <v>0</v>
      </c>
      <c r="BU149" s="205"/>
      <c r="BV149" s="137"/>
    </row>
    <row r="150" spans="2:74" x14ac:dyDescent="0.3">
      <c r="B150" s="281">
        <v>43973</v>
      </c>
      <c r="C150" s="4">
        <v>143</v>
      </c>
      <c r="E150" s="10"/>
      <c r="F150" s="10"/>
      <c r="G150" s="136">
        <f>Tabella34[[#This Row],[Spain daily cases]]*NOT(ISBLANK(Tabella34[[#This Row],[Spain daily cases]]))</f>
        <v>0</v>
      </c>
      <c r="H150" s="157">
        <f>Tabella8[[#This Row],[Spain cum. fit]]</f>
        <v>272618.82604453043</v>
      </c>
      <c r="I150" s="157" t="e">
        <f>_xlfn.LOGNORM.INV(alpha*Tabella34[[#This Row],[Spain cumul. Fit]]/Kt,mu_t,sigma_t)-(Tabella34[[#This Row],[Day]]-pt)</f>
        <v>#NUM!</v>
      </c>
      <c r="J150" s="157" t="e">
        <f>Tabella34[[#This Row],[Spain fitted d.t.]]/Spain_dt_at_lockdown</f>
        <v>#NUM!</v>
      </c>
      <c r="K150" s="95">
        <f>Tabella34[[#This Row],[Spain cumul. Fit]]/Kf</f>
        <v>0.97363902688424697</v>
      </c>
      <c r="L150" s="160"/>
      <c r="M150" s="95"/>
      <c r="N150" s="157">
        <f>IFERROR(Kt*_xlfn.LOGNORM.DIST((Tabella34[[#This Row],[Day]]-pt),mu_t,sigma_t,FALSE),0)</f>
        <v>585.8433858577198</v>
      </c>
      <c r="O150" s="157" t="e">
        <f>Kt*EXP(-0.5*Tabella34[[#This Row],[x_t]]^2)/(sigma_t*SQRTPI(2)*(Tabella34[[#This Row],[Day]]-D_bk))</f>
        <v>#NAME?</v>
      </c>
      <c r="P150" s="199">
        <f>Tabella34[[#This Row],[Spain fitted velocity]]/Tabella34[[#This Row],[Spain cumul. Fit]]</f>
        <v>2.1489469174151101E-3</v>
      </c>
      <c r="Q150" s="262">
        <f>(LN(Tabella34[[#This Row],[Day]]-pt)-mu_t)/sigma_t</f>
        <v>1.9371914400758763</v>
      </c>
      <c r="R150" s="262">
        <f>EXP(mu_t+sigma_t*Tabella34[[#This Row],[x_t_alpha©+plus]])-(Tabella34[[#This Row],[Day]]-pt)</f>
        <v>8.9508745391031823</v>
      </c>
      <c r="S150" s="262">
        <f>EXP(mu_t+sigma_t*Tabella34[[#This Row],[x_t_alpha©-minus]])-(Tabella34[[#This Row],[Day]]-pt)</f>
        <v>-77.98732361542892</v>
      </c>
      <c r="T150" s="262">
        <f>-sigma_t+SQRT(sigma_t^2-2*Tabella34[[#This Row],[c_t]])</f>
        <v>2.2317479230266941</v>
      </c>
      <c r="U150" s="262">
        <f>-sigma_t-SQRT(sigma_t^2-2*Tabella34[[#This Row],[c_t]])</f>
        <v>-2.769187272869861</v>
      </c>
      <c r="V150" s="262">
        <f>mu_t-LN(alpha*Kt/(Tabella34[[#This Row],[Spain fitted velocity]]*sigma_t*SQRTPI(2)))</f>
        <v>-3.0900639723496335</v>
      </c>
      <c r="W150" s="262">
        <f>Tabella34[[#This Row],[Spain fitted g.r.]]/Spain_gr_at_lockdown</f>
        <v>1.0370611233153238E-2</v>
      </c>
      <c r="X150" s="262">
        <f>Tabella34[[#This Row],[t_alpha_t+plus]]</f>
        <v>8.9508745391031823</v>
      </c>
      <c r="Y150" s="262">
        <f>Tabella34[[#This Row],[Spain fitted h.t.]]/Spain_ht_at_lockdown</f>
        <v>0.14539947537824804</v>
      </c>
      <c r="Z150" s="90">
        <f>IFERROR(-Kf*_xlfn.LOGNORM.DIST((Tabella34[[#This Row],[Day]]-pf),mu_f,sigma_f,FALSE)*(1+(LN((Tabella34[[#This Row],[Day]]-pf))-mu_f)/sigma_f^2)/(Tabella34[[#This Row],[Day]]-pf),0)</f>
        <v>-44.256177983195741</v>
      </c>
      <c r="AA150" s="90">
        <f>Tabella34[[#This Row],[Spain acc. fit]]/Spain_acc_at_lockdown</f>
        <v>-0.15081042433983877</v>
      </c>
      <c r="AB150" s="95">
        <f>Tabella34[[#This Row],[Spain acc. fit]]/y_f_peak</f>
        <v>-6.6304709726076787E-3</v>
      </c>
      <c r="AC150" s="157">
        <f>Tabella34[[#This Row],[Colonna4]]*NOT(ISBLANK(Tabella34[[#This Row],[Spain daily cases]]))</f>
        <v>0</v>
      </c>
      <c r="AD150" s="157">
        <f>Tabella34[[#This Row],[Spain acc. fit]]*NOT(ISBLANK(Tabella34[[#This Row],[Spain daily cases]]))</f>
        <v>0</v>
      </c>
      <c r="AE150" s="95">
        <f>Tabella34[[#This Row],[Spain acc. fit]]+CIf</f>
        <v>2298.4322396978969</v>
      </c>
      <c r="AF150" s="95">
        <f>MAX(Tabella34[[#This Row],[Spain acc. fit]]-CIf,0)</f>
        <v>0</v>
      </c>
      <c r="AH150" s="10"/>
      <c r="AI150" s="10"/>
      <c r="AJ150" s="136">
        <f>Tabella34[[#This Row],[Lombardy data]]*NOT(ISBLANK(Tabella34[[#This Row],[Lombardy data]]))</f>
        <v>0</v>
      </c>
      <c r="AK150" s="95">
        <f>Tabella8[[#This Row],[Lombardy fit]]</f>
        <v>83568.475987613274</v>
      </c>
      <c r="AL150" s="157" t="e">
        <f>_xlfn.LOGNORM.INV(alpha*Tabella34[[#This Row],[Lombardy cumul. Fit]]/Kr,mu_r,sigma_r)-(Tabella34[[#This Row],[Day]]-pr)</f>
        <v>#NUM!</v>
      </c>
      <c r="AM150" s="95">
        <f>Tabella34[[#This Row],[Lombardy cumul. Fit]]/Kl</f>
        <v>0.96055719525992267</v>
      </c>
      <c r="AN150" s="95">
        <f>IFERROR(Kr*_xlfn.LOGNORM.DIST((Tabella34[[#This Row],[Day]]-pr),mu_r,sigma_r,FALSE),0)</f>
        <v>194.78750260386664</v>
      </c>
      <c r="AO150" s="202">
        <f>Tabella34[[#This Row],[Lombardy velocity]]/Tabella34[[#This Row],[Lombardy cumul. Fit]]</f>
        <v>2.3308729793365926E-3</v>
      </c>
      <c r="AP150" s="259">
        <f>(LN(Tabella34[[#This Row],[Day]]-pr)-mu_r)/sigma_r</f>
        <v>1.7571889419112507</v>
      </c>
      <c r="AQ150" s="262">
        <f>EXP(mu_r+sigma_r*Tabella34[[#This Row],[x_r_alpha©+plus]])-(Tabella34[[#This Row],[Day]]-pr)</f>
        <v>12.350405510865585</v>
      </c>
      <c r="AR150" s="262">
        <f>EXP(mu_r+sigma_r*Tabella34[[#This Row],[x_r_alpha©-minus]])-(Tabella34[[#This Row],[Day]]-pr)</f>
        <v>-87.645774093013742</v>
      </c>
      <c r="AS150" s="262">
        <f>-sigma_r+SQRT(sigma_r^2-2*Tabella34[[#This Row],[c_r]])</f>
        <v>2.0650431862695147</v>
      </c>
      <c r="AT150" s="262">
        <f>-sigma_r-SQRT(sigma_r^2-2*Tabella34[[#This Row],[c_r]])</f>
        <v>-2.7458977834632439</v>
      </c>
      <c r="AU150" s="262">
        <f>mu_r-LN(alpha*Kr/(Tabella34[[#This Row],[Lombardy velocity]]*sigma_r*SQRTPI(2)))</f>
        <v>-2.835198753966667</v>
      </c>
      <c r="AV150" s="262">
        <f>Tabella34[[#This Row],[t_alpha_r+plus]]</f>
        <v>12.350405510865585</v>
      </c>
      <c r="AW150" s="90">
        <f>IFERROR(-Kl*_xlfn.LOGNORM.DIST((Tabella34[[#This Row],[Day]]-pl),mu_l,sigma_l,FALSE)*(1+(LN((Tabella34[[#This Row],[Day]]-pl))-mu_l)/sigma_l^2)/(Tabella34[[#This Row],[Day]]-pl),0)</f>
        <v>-10.737600736961605</v>
      </c>
      <c r="AX150" s="95">
        <f>Tabella34[[#This Row],[Lombardy acc. fit]]/y_l_peak</f>
        <v>-6.1080084310013508E-3</v>
      </c>
      <c r="AY150" s="157">
        <f>Tabella34[[#This Row],[Lombardy acc. fit]]*NOT(ISBLANK(Tabella34[[#This Row],[Lombardy data]]))</f>
        <v>0</v>
      </c>
      <c r="AZ150" s="95">
        <f>Tabella34[[#This Row],[Lombardy acc. fit]]+CIl</f>
        <v>2559.6447221794469</v>
      </c>
      <c r="BA150" s="95">
        <f>MAX(Tabella34[[#This Row],[Lombardy acc. fit]]-CIl,0)</f>
        <v>0</v>
      </c>
      <c r="BC150" s="10"/>
      <c r="BD150" s="10"/>
      <c r="BE150" s="95">
        <f>Tabella34[[#This Row],[rest of Italy data]]*NOT(ISBLANK(Tabella34[[#This Row],[rest of Italy data]]))</f>
        <v>0</v>
      </c>
      <c r="BF150" s="95">
        <f>Tabella8[[#This Row],[rest of Italy fit]]</f>
        <v>143710.42911829479</v>
      </c>
      <c r="BG150" s="157" t="e">
        <f>_xlfn.LOGNORM.INV(alpha*Tabella34[[#This Row],[rest of Italy cumul. Fit]]/Ko,mu_o,sigma_o)-(Tabella34[[#This Row],[Day]]-po)</f>
        <v>#NUM!</v>
      </c>
      <c r="BH150" s="95">
        <f>Tabella34[[#This Row],[rest of Italy cumul. Fit]]/Ka</f>
        <v>0.97101652599894672</v>
      </c>
      <c r="BI150" s="157">
        <f>IFERROR(Ko*_xlfn.LOGNORM.DIST((Tabella34[[#This Row],[Day]]-po),mu_o,sigma_o,FALSE),0)</f>
        <v>289.12873353190429</v>
      </c>
      <c r="BJ150" s="199">
        <f>Tabella34[[#This Row],[rest of Italy velocity]]/Tabella34[[#This Row],[rest of Italy cumul. Fit]]</f>
        <v>2.0118841430353594E-3</v>
      </c>
      <c r="BK150" s="254">
        <f>(LN(Tabella34[[#This Row],[Day]]-po)-mu_o)/sigma_o</f>
        <v>1.8959477951751866</v>
      </c>
      <c r="BL150" s="262">
        <f>EXP(mu_o+sigma_o*Tabella34[[#This Row],[x_o_alpha©+plus]])-(Tabella34[[#This Row],[Day]]-po)</f>
        <v>10.406860089202894</v>
      </c>
      <c r="BM150" s="262">
        <f>EXP(mu_o+sigma_o*Tabella34[[#This Row],[x_o_alpha©-minus]])-(Tabella34[[#This Row],[Day]]-po)</f>
        <v>-82.25628207442081</v>
      </c>
      <c r="BN150" s="262">
        <f>-sigma_o+SQRT(sigma_o^2-2*Tabella34[[#This Row],[c_o]])</f>
        <v>2.1891527173779148</v>
      </c>
      <c r="BO150" s="262">
        <f>-sigma_o-SQRT(sigma_o^2-2*Tabella34[[#This Row],[c_o]])</f>
        <v>-2.8321254946769412</v>
      </c>
      <c r="BP150" s="262">
        <f>mu_o-LN(alpha*Ko/(Tabella34[[#This Row],[rest of Italy velocity]]*sigma_o*SQRTPI(2)))</f>
        <v>-3.0999776113136486</v>
      </c>
      <c r="BQ150" s="262">
        <f>Tabella34[[#This Row],[t_alpha_o+plus]]</f>
        <v>10.406860089202894</v>
      </c>
      <c r="BR150" s="90">
        <f>IFERROR(-Ka*_xlfn.LOGNORM.DIST((Tabella34[[#This Row],[Day]]-pa),mu_a,sigma_a,FALSE)*(1+(LN((Tabella34[[#This Row],[Day]]-pa))-mu_a)/sigma_a^2)/(Tabella34[[#This Row],[Day]]-pa),0)</f>
        <v>-18.941872347436465</v>
      </c>
      <c r="BS150" s="95">
        <f>Tabella34[[#This Row],[rest of Italy acc. fit]]/y_a_peak</f>
        <v>-5.6055153957969336E-3</v>
      </c>
      <c r="BT150" s="136">
        <f>Tabella34[[#This Row],[rest of Italy acc. fit]]*NOT(ISBLANK(Tabella34[[#This Row],[rest of Italy data]]))</f>
        <v>0</v>
      </c>
      <c r="BU150" s="205"/>
      <c r="BV150" s="137"/>
    </row>
    <row r="151" spans="2:74" x14ac:dyDescent="0.3">
      <c r="B151" s="281">
        <v>43974</v>
      </c>
      <c r="C151" s="4">
        <v>144</v>
      </c>
      <c r="E151" s="10"/>
      <c r="F151" s="10"/>
      <c r="G151" s="136">
        <f>Tabella34[[#This Row],[Spain daily cases]]*NOT(ISBLANK(Tabella34[[#This Row],[Spain daily cases]]))</f>
        <v>0</v>
      </c>
      <c r="H151" s="157">
        <f>Tabella8[[#This Row],[Spain cum. fit]]</f>
        <v>273183.04456251679</v>
      </c>
      <c r="I151" s="157" t="e">
        <f>_xlfn.LOGNORM.INV(alpha*Tabella34[[#This Row],[Spain cumul. Fit]]/Kt,mu_t,sigma_t)-(Tabella34[[#This Row],[Day]]-pt)</f>
        <v>#NUM!</v>
      </c>
      <c r="J151" s="157" t="e">
        <f>Tabella34[[#This Row],[Spain fitted d.t.]]/Spain_dt_at_lockdown</f>
        <v>#NUM!</v>
      </c>
      <c r="K151" s="95">
        <f>Tabella34[[#This Row],[Spain cumul. Fit]]/Kf</f>
        <v>0.9756540937700261</v>
      </c>
      <c r="L151" s="160"/>
      <c r="M151" s="95"/>
      <c r="N151" s="157">
        <f>IFERROR(Kt*_xlfn.LOGNORM.DIST((Tabella34[[#This Row],[Day]]-pt),mu_t,sigma_t,FALSE),0)</f>
        <v>543.08956959988836</v>
      </c>
      <c r="O151" s="157" t="e">
        <f>Kt*EXP(-0.5*Tabella34[[#This Row],[x_t]]^2)/(sigma_t*SQRTPI(2)*(Tabella34[[#This Row],[Day]]-D_bk))</f>
        <v>#NAME?</v>
      </c>
      <c r="P151" s="199">
        <f>Tabella34[[#This Row],[Spain fitted velocity]]/Tabella34[[#This Row],[Spain cumul. Fit]]</f>
        <v>1.9880061387763199E-3</v>
      </c>
      <c r="Q151" s="262">
        <f>(LN(Tabella34[[#This Row],[Day]]-pt)-mu_t)/sigma_t</f>
        <v>1.971280395752397</v>
      </c>
      <c r="R151" s="262">
        <f>EXP(mu_t+sigma_t*Tabella34[[#This Row],[x_t_alpha©+plus]])-(Tabella34[[#This Row],[Day]]-pt)</f>
        <v>8.9068470852769224</v>
      </c>
      <c r="S151" s="262">
        <f>EXP(mu_t+sigma_t*Tabella34[[#This Row],[x_t_alpha©-minus]])-(Tabella34[[#This Row],[Day]]-pt)</f>
        <v>-79.234668723198268</v>
      </c>
      <c r="T151" s="262">
        <f>-sigma_t+SQRT(sigma_t^2-2*Tabella34[[#This Row],[c_t]])</f>
        <v>2.26187208941721</v>
      </c>
      <c r="U151" s="262">
        <f>-sigma_t-SQRT(sigma_t^2-2*Tabella34[[#This Row],[c_t]])</f>
        <v>-2.7993114392603768</v>
      </c>
      <c r="V151" s="262">
        <f>mu_t-LN(alpha*Kt/(Tabella34[[#This Row],[Spain fitted velocity]]*sigma_t*SQRTPI(2)))</f>
        <v>-3.1658422070246832</v>
      </c>
      <c r="W151" s="262">
        <f>Tabella34[[#This Row],[Spain fitted g.r.]]/Spain_gr_at_lockdown</f>
        <v>9.5939265075800674E-3</v>
      </c>
      <c r="X151" s="262">
        <f>Tabella34[[#This Row],[t_alpha_t+plus]]</f>
        <v>8.9068470852769224</v>
      </c>
      <c r="Y151" s="262">
        <f>Tabella34[[#This Row],[Spain fitted h.t.]]/Spain_ht_at_lockdown</f>
        <v>0.14468428619079912</v>
      </c>
      <c r="Z151" s="90">
        <f>IFERROR(-Kf*_xlfn.LOGNORM.DIST((Tabella34[[#This Row],[Day]]-pf),mu_f,sigma_f,FALSE)*(1+(LN((Tabella34[[#This Row],[Day]]-pf))-mu_f)/sigma_f^2)/(Tabella34[[#This Row],[Day]]-pf),0)</f>
        <v>-41.280558026635525</v>
      </c>
      <c r="AA151" s="90">
        <f>Tabella34[[#This Row],[Spain acc. fit]]/Spain_acc_at_lockdown</f>
        <v>-0.14067049520964292</v>
      </c>
      <c r="AB151" s="95">
        <f>Tabella34[[#This Row],[Spain acc. fit]]/y_f_peak</f>
        <v>-6.184662892321665E-3</v>
      </c>
      <c r="AC151" s="157">
        <f>Tabella34[[#This Row],[Colonna4]]*NOT(ISBLANK(Tabella34[[#This Row],[Spain daily cases]]))</f>
        <v>0</v>
      </c>
      <c r="AD151" s="157">
        <f>Tabella34[[#This Row],[Spain acc. fit]]*NOT(ISBLANK(Tabella34[[#This Row],[Spain daily cases]]))</f>
        <v>0</v>
      </c>
      <c r="AE151" s="95">
        <f>Tabella34[[#This Row],[Spain acc. fit]]+CIf</f>
        <v>2301.4078596544573</v>
      </c>
      <c r="AF151" s="95">
        <f>MAX(Tabella34[[#This Row],[Spain acc. fit]]-CIf,0)</f>
        <v>0</v>
      </c>
      <c r="AH151" s="10"/>
      <c r="AI151" s="10"/>
      <c r="AJ151" s="136">
        <f>Tabella34[[#This Row],[Lombardy data]]*NOT(ISBLANK(Tabella34[[#This Row],[Lombardy data]]))</f>
        <v>0</v>
      </c>
      <c r="AK151" s="95">
        <f>Tabella8[[#This Row],[Lombardy fit]]</f>
        <v>83757.985920216946</v>
      </c>
      <c r="AL151" s="157" t="e">
        <f>_xlfn.LOGNORM.INV(alpha*Tabella34[[#This Row],[Lombardy cumul. Fit]]/Kr,mu_r,sigma_r)-(Tabella34[[#This Row],[Day]]-pr)</f>
        <v>#NUM!</v>
      </c>
      <c r="AM151" s="95">
        <f>Tabella34[[#This Row],[Lombardy cumul. Fit]]/Kl</f>
        <v>0.96273547034732121</v>
      </c>
      <c r="AN151" s="95">
        <f>IFERROR(Kr*_xlfn.LOGNORM.DIST((Tabella34[[#This Row],[Day]]-pr),mu_r,sigma_r,FALSE),0)</f>
        <v>184.32258794816315</v>
      </c>
      <c r="AO151" s="202">
        <f>Tabella34[[#This Row],[Lombardy velocity]]/Tabella34[[#This Row],[Lombardy cumul. Fit]]</f>
        <v>2.20065687973608E-3</v>
      </c>
      <c r="AP151" s="259">
        <f>(LN(Tabella34[[#This Row],[Day]]-pr)-mu_r)/sigma_r</f>
        <v>1.783351768271827</v>
      </c>
      <c r="AQ151" s="262">
        <f>EXP(mu_r+sigma_r*Tabella34[[#This Row],[x_r_alpha©+plus]])-(Tabella34[[#This Row],[Day]]-pr)</f>
        <v>12.319660122456625</v>
      </c>
      <c r="AR151" s="262">
        <f>EXP(mu_r+sigma_r*Tabella34[[#This Row],[x_r_alpha©-minus]])-(Tabella34[[#This Row],[Day]]-pr)</f>
        <v>-88.832748833071051</v>
      </c>
      <c r="AS151" s="262">
        <f>-sigma_r+SQRT(sigma_r^2-2*Tabella34[[#This Row],[c_r]])</f>
        <v>2.0878914378933726</v>
      </c>
      <c r="AT151" s="262">
        <f>-sigma_r-SQRT(sigma_r^2-2*Tabella34[[#This Row],[c_r]])</f>
        <v>-2.7687460350871018</v>
      </c>
      <c r="AU151" s="262">
        <f>mu_r-LN(alpha*Kr/(Tabella34[[#This Row],[Lombardy velocity]]*sigma_r*SQRTPI(2)))</f>
        <v>-2.890420570179792</v>
      </c>
      <c r="AV151" s="262">
        <f>Tabella34[[#This Row],[t_alpha_r+plus]]</f>
        <v>12.319660122456625</v>
      </c>
      <c r="AW151" s="90">
        <f>IFERROR(-Kl*_xlfn.LOGNORM.DIST((Tabella34[[#This Row],[Day]]-pl),mu_l,sigma_l,FALSE)*(1+(LN((Tabella34[[#This Row],[Day]]-pl))-mu_l)/sigma_l^2)/(Tabella34[[#This Row],[Day]]-pl),0)</f>
        <v>-10.196237876409175</v>
      </c>
      <c r="AX151" s="95">
        <f>Tabella34[[#This Row],[Lombardy acc. fit]]/y_l_peak</f>
        <v>-5.800057986811066E-3</v>
      </c>
      <c r="AY151" s="157">
        <f>Tabella34[[#This Row],[Lombardy acc. fit]]*NOT(ISBLANK(Tabella34[[#This Row],[Lombardy data]]))</f>
        <v>0</v>
      </c>
      <c r="AZ151" s="95">
        <f>Tabella34[[#This Row],[Lombardy acc. fit]]+CIl</f>
        <v>2560.1860850399994</v>
      </c>
      <c r="BA151" s="95">
        <f>MAX(Tabella34[[#This Row],[Lombardy acc. fit]]-CIl,0)</f>
        <v>0</v>
      </c>
      <c r="BC151" s="10"/>
      <c r="BD151" s="10"/>
      <c r="BE151" s="95">
        <f>Tabella34[[#This Row],[rest of Italy data]]*NOT(ISBLANK(Tabella34[[#This Row],[rest of Italy data]]))</f>
        <v>0</v>
      </c>
      <c r="BF151" s="95">
        <f>Tabella8[[#This Row],[rest of Italy fit]]</f>
        <v>143990.27904642586</v>
      </c>
      <c r="BG151" s="157" t="e">
        <f>_xlfn.LOGNORM.INV(alpha*Tabella34[[#This Row],[rest of Italy cumul. Fit]]/Ko,mu_o,sigma_o)-(Tabella34[[#This Row],[Day]]-po)</f>
        <v>#NUM!</v>
      </c>
      <c r="BH151" s="95">
        <f>Tabella34[[#This Row],[rest of Italy cumul. Fit]]/Ka</f>
        <v>0.97290740411184418</v>
      </c>
      <c r="BI151" s="157">
        <f>IFERROR(Ko*_xlfn.LOGNORM.DIST((Tabella34[[#This Row],[Day]]-po),mu_o,sigma_o,FALSE),0)</f>
        <v>270.76065642037685</v>
      </c>
      <c r="BJ151" s="199">
        <f>Tabella34[[#This Row],[rest of Italy velocity]]/Tabella34[[#This Row],[rest of Italy cumul. Fit]]</f>
        <v>1.8804092763309197E-3</v>
      </c>
      <c r="BK151" s="254">
        <f>(LN(Tabella34[[#This Row],[Day]]-po)-mu_o)/sigma_o</f>
        <v>1.925353155899979</v>
      </c>
      <c r="BL151" s="262">
        <f>EXP(mu_o+sigma_o*Tabella34[[#This Row],[x_o_alpha©+plus]])-(Tabella34[[#This Row],[Day]]-po)</f>
        <v>10.378247681551485</v>
      </c>
      <c r="BM151" s="262">
        <f>EXP(mu_o+sigma_o*Tabella34[[#This Row],[x_o_alpha©-minus]])-(Tabella34[[#This Row],[Day]]-po)</f>
        <v>-83.448012720458237</v>
      </c>
      <c r="BN151" s="262">
        <f>-sigma_o+SQRT(sigma_o^2-2*Tabella34[[#This Row],[c_o]])</f>
        <v>2.2151614584256896</v>
      </c>
      <c r="BO151" s="262">
        <f>-sigma_o-SQRT(sigma_o^2-2*Tabella34[[#This Row],[c_o]])</f>
        <v>-2.8581342357247159</v>
      </c>
      <c r="BP151" s="262">
        <f>mu_o-LN(alpha*Ko/(Tabella34[[#This Row],[rest of Italy velocity]]*sigma_o*SQRTPI(2)))</f>
        <v>-3.1656144009921778</v>
      </c>
      <c r="BQ151" s="262">
        <f>Tabella34[[#This Row],[t_alpha_o+plus]]</f>
        <v>10.378247681551485</v>
      </c>
      <c r="BR151" s="90">
        <f>IFERROR(-Ka*_xlfn.LOGNORM.DIST((Tabella34[[#This Row],[Day]]-pa),mu_a,sigma_a,FALSE)*(1+(LN((Tabella34[[#This Row],[Day]]-pa))-mu_a)/sigma_a^2)/(Tabella34[[#This Row],[Day]]-pa),0)</f>
        <v>-17.804630327797209</v>
      </c>
      <c r="BS151" s="95">
        <f>Tabella34[[#This Row],[rest of Italy acc. fit]]/y_a_peak</f>
        <v>-5.2689685363890354E-3</v>
      </c>
      <c r="BT151" s="136">
        <f>Tabella34[[#This Row],[rest of Italy acc. fit]]*NOT(ISBLANK(Tabella34[[#This Row],[rest of Italy data]]))</f>
        <v>0</v>
      </c>
      <c r="BU151" s="205"/>
      <c r="BV151" s="137"/>
    </row>
    <row r="152" spans="2:74" x14ac:dyDescent="0.3">
      <c r="B152" s="281">
        <v>43975</v>
      </c>
      <c r="C152" s="4">
        <v>145</v>
      </c>
      <c r="E152" s="10"/>
      <c r="F152" s="10"/>
      <c r="G152" s="136">
        <f>Tabella34[[#This Row],[Spain daily cases]]*NOT(ISBLANK(Tabella34[[#This Row],[Spain daily cases]]))</f>
        <v>0</v>
      </c>
      <c r="H152" s="157">
        <f>Tabella8[[#This Row],[Spain cum. fit]]</f>
        <v>273705.96823191905</v>
      </c>
      <c r="I152" s="157" t="e">
        <f>_xlfn.LOGNORM.INV(alpha*Tabella34[[#This Row],[Spain cumul. Fit]]/Kt,mu_t,sigma_t)-(Tabella34[[#This Row],[Day]]-pt)</f>
        <v>#NUM!</v>
      </c>
      <c r="J152" s="157" t="e">
        <f>Tabella34[[#This Row],[Spain fitted d.t.]]/Spain_dt_at_lockdown</f>
        <v>#NUM!</v>
      </c>
      <c r="K152" s="95">
        <f>Tabella34[[#This Row],[Spain cumul. Fit]]/Kf</f>
        <v>0.97752167899881881</v>
      </c>
      <c r="L152" s="160"/>
      <c r="M152" s="95"/>
      <c r="N152" s="157">
        <f>IFERROR(Kt*_xlfn.LOGNORM.DIST((Tabella34[[#This Row],[Day]]-pt),mu_t,sigma_t,FALSE),0)</f>
        <v>503.2251092033336</v>
      </c>
      <c r="O152" s="157" t="e">
        <f>Kt*EXP(-0.5*Tabella34[[#This Row],[x_t]]^2)/(sigma_t*SQRTPI(2)*(Tabella34[[#This Row],[Day]]-D_bk))</f>
        <v>#NAME?</v>
      </c>
      <c r="P152" s="199">
        <f>Tabella34[[#This Row],[Spain fitted velocity]]/Tabella34[[#This Row],[Spain cumul. Fit]]</f>
        <v>1.8385609654552226E-3</v>
      </c>
      <c r="Q152" s="262">
        <f>(LN(Tabella34[[#This Row],[Day]]-pt)-mu_t)/sigma_t</f>
        <v>2.0050599162740772</v>
      </c>
      <c r="R152" s="262">
        <f>EXP(mu_t+sigma_t*Tabella34[[#This Row],[x_t_alpha©+plus]])-(Tabella34[[#This Row],[Day]]-pt)</f>
        <v>8.8649566624524567</v>
      </c>
      <c r="S152" s="262">
        <f>EXP(mu_t+sigma_t*Tabella34[[#This Row],[x_t_alpha©-minus]])-(Tabella34[[#This Row],[Day]]-pt)</f>
        <v>-80.478597120319691</v>
      </c>
      <c r="T152" s="262">
        <f>-sigma_t+SQRT(sigma_t^2-2*Tabella34[[#This Row],[c_t]])</f>
        <v>2.2918208911421138</v>
      </c>
      <c r="U152" s="262">
        <f>-sigma_t-SQRT(sigma_t^2-2*Tabella34[[#This Row],[c_t]])</f>
        <v>-2.8292602409852807</v>
      </c>
      <c r="V152" s="262">
        <f>mu_t-LN(alpha*Kt/(Tabella34[[#This Row],[Spain fitted velocity]]*sigma_t*SQRTPI(2)))</f>
        <v>-3.2420788633839184</v>
      </c>
      <c r="W152" s="262">
        <f>Tabella34[[#This Row],[Spain fitted g.r.]]/Spain_gr_at_lockdown</f>
        <v>8.8727184681332179E-3</v>
      </c>
      <c r="X152" s="262">
        <f>Tabella34[[#This Row],[t_alpha_t+plus]]</f>
        <v>8.8649566624524567</v>
      </c>
      <c r="Y152" s="262">
        <f>Tabella34[[#This Row],[Spain fitted h.t.]]/Spain_ht_at_lockdown</f>
        <v>0.14400381128575587</v>
      </c>
      <c r="Z152" s="90">
        <f>IFERROR(-Kf*_xlfn.LOGNORM.DIST((Tabella34[[#This Row],[Day]]-pf),mu_f,sigma_f,FALSE)*(1+(LN((Tabella34[[#This Row],[Day]]-pf))-mu_f)/sigma_f^2)/(Tabella34[[#This Row],[Day]]-pf),0)</f>
        <v>-38.476410093367591</v>
      </c>
      <c r="AA152" s="90">
        <f>Tabella34[[#This Row],[Spain acc. fit]]/Spain_acc_at_lockdown</f>
        <v>-0.13111488604952987</v>
      </c>
      <c r="AB152" s="95">
        <f>Tabella34[[#This Row],[Spain acc. fit]]/y_f_peak</f>
        <v>-5.7645447908107163E-3</v>
      </c>
      <c r="AC152" s="157">
        <f>Tabella34[[#This Row],[Colonna4]]*NOT(ISBLANK(Tabella34[[#This Row],[Spain daily cases]]))</f>
        <v>0</v>
      </c>
      <c r="AD152" s="157">
        <f>Tabella34[[#This Row],[Spain acc. fit]]*NOT(ISBLANK(Tabella34[[#This Row],[Spain daily cases]]))</f>
        <v>0</v>
      </c>
      <c r="AE152" s="95">
        <f>Tabella34[[#This Row],[Spain acc. fit]]+CIf</f>
        <v>2304.2120075877251</v>
      </c>
      <c r="AF152" s="95">
        <f>MAX(Tabella34[[#This Row],[Spain acc. fit]]-CIf,0)</f>
        <v>0</v>
      </c>
      <c r="AH152" s="10"/>
      <c r="AI152" s="10"/>
      <c r="AJ152" s="136">
        <f>Tabella34[[#This Row],[Lombardy data]]*NOT(ISBLANK(Tabella34[[#This Row],[Lombardy data]]))</f>
        <v>0</v>
      </c>
      <c r="AK152" s="95">
        <f>Tabella8[[#This Row],[Lombardy fit]]</f>
        <v>83937.297637611147</v>
      </c>
      <c r="AL152" s="157" t="e">
        <f>_xlfn.LOGNORM.INV(alpha*Tabella34[[#This Row],[Lombardy cumul. Fit]]/Kr,mu_r,sigma_r)-(Tabella34[[#This Row],[Day]]-pr)</f>
        <v>#NUM!</v>
      </c>
      <c r="AM152" s="95">
        <f>Tabella34[[#This Row],[Lombardy cumul. Fit]]/Kl</f>
        <v>0.96479652457024312</v>
      </c>
      <c r="AN152" s="95">
        <f>IFERROR(Kr*_xlfn.LOGNORM.DIST((Tabella34[[#This Row],[Day]]-pr),mu_r,sigma_r,FALSE),0)</f>
        <v>174.38711767577294</v>
      </c>
      <c r="AO152" s="202">
        <f>Tabella34[[#This Row],[Lombardy velocity]]/Tabella34[[#This Row],[Lombardy cumul. Fit]]</f>
        <v>2.0775879446187041E-3</v>
      </c>
      <c r="AP152" s="259">
        <f>(LN(Tabella34[[#This Row],[Day]]-pr)-mu_r)/sigma_r</f>
        <v>1.8092836299479713</v>
      </c>
      <c r="AQ152" s="262">
        <f>EXP(mu_r+sigma_r*Tabella34[[#This Row],[x_r_alpha©+plus]])-(Tabella34[[#This Row],[Day]]-pr)</f>
        <v>12.290633444544497</v>
      </c>
      <c r="AR152" s="262">
        <f>EXP(mu_r+sigma_r*Tabella34[[#This Row],[x_r_alpha©-minus]])-(Tabella34[[#This Row],[Day]]-pr)</f>
        <v>-90.017172426412543</v>
      </c>
      <c r="AS152" s="262">
        <f>-sigma_r+SQRT(sigma_r^2-2*Tabella34[[#This Row],[c_r]])</f>
        <v>2.1106033902001959</v>
      </c>
      <c r="AT152" s="262">
        <f>-sigma_r-SQRT(sigma_r^2-2*Tabella34[[#This Row],[c_r]])</f>
        <v>-2.7914579873939251</v>
      </c>
      <c r="AU152" s="262">
        <f>mu_r-LN(alpha*Kr/(Tabella34[[#This Row],[Lombardy velocity]]*sigma_r*SQRTPI(2)))</f>
        <v>-2.9458303458975168</v>
      </c>
      <c r="AV152" s="262">
        <f>Tabella34[[#This Row],[t_alpha_r+plus]]</f>
        <v>12.290633444544497</v>
      </c>
      <c r="AW152" s="90">
        <f>IFERROR(-Kl*_xlfn.LOGNORM.DIST((Tabella34[[#This Row],[Day]]-pl),mu_l,sigma_l,FALSE)*(1+(LN((Tabella34[[#This Row],[Day]]-pl))-mu_l)/sigma_l^2)/(Tabella34[[#This Row],[Day]]-pl),0)</f>
        <v>-9.6786016000166608</v>
      </c>
      <c r="AX152" s="95">
        <f>Tabella34[[#This Row],[Lombardy acc. fit]]/y_l_peak</f>
        <v>-5.5056042426413713E-3</v>
      </c>
      <c r="AY152" s="157">
        <f>Tabella34[[#This Row],[Lombardy acc. fit]]*NOT(ISBLANK(Tabella34[[#This Row],[Lombardy data]]))</f>
        <v>0</v>
      </c>
      <c r="AZ152" s="95">
        <f>Tabella34[[#This Row],[Lombardy acc. fit]]+CIl</f>
        <v>2560.7037213163921</v>
      </c>
      <c r="BA152" s="95">
        <f>MAX(Tabella34[[#This Row],[Lombardy acc. fit]]-CIl,0)</f>
        <v>0</v>
      </c>
      <c r="BC152" s="10"/>
      <c r="BD152" s="10"/>
      <c r="BE152" s="95">
        <f>Tabella34[[#This Row],[rest of Italy data]]*NOT(ISBLANK(Tabella34[[#This Row],[rest of Italy data]]))</f>
        <v>0</v>
      </c>
      <c r="BF152" s="95">
        <f>Tabella8[[#This Row],[rest of Italy fit]]</f>
        <v>144252.31927004526</v>
      </c>
      <c r="BG152" s="157" t="e">
        <f>_xlfn.LOGNORM.INV(alpha*Tabella34[[#This Row],[rest of Italy cumul. Fit]]/Ko,mu_o,sigma_o)-(Tabella34[[#This Row],[Day]]-po)</f>
        <v>#NUM!</v>
      </c>
      <c r="BH152" s="95">
        <f>Tabella34[[#This Row],[rest of Italy cumul. Fit]]/Ka</f>
        <v>0.97467794636943816</v>
      </c>
      <c r="BI152" s="157">
        <f>IFERROR(Ko*_xlfn.LOGNORM.DIST((Tabella34[[#This Row],[Day]]-po),mu_o,sigma_o,FALSE),0)</f>
        <v>253.49917628072163</v>
      </c>
      <c r="BJ152" s="199">
        <f>Tabella34[[#This Row],[rest of Italy velocity]]/Tabella34[[#This Row],[rest of Italy cumul. Fit]]</f>
        <v>1.7573317196111248E-3</v>
      </c>
      <c r="BK152" s="254">
        <f>(LN(Tabella34[[#This Row],[Day]]-po)-mu_o)/sigma_o</f>
        <v>1.9544831365574293</v>
      </c>
      <c r="BL152" s="262">
        <f>EXP(mu_o+sigma_o*Tabella34[[#This Row],[x_o_alpha©+plus]])-(Tabella34[[#This Row],[Day]]-po)</f>
        <v>10.351319012729078</v>
      </c>
      <c r="BM152" s="262">
        <f>EXP(mu_o+sigma_o*Tabella34[[#This Row],[x_o_alpha©-minus]])-(Tabella34[[#This Row],[Day]]-po)</f>
        <v>-84.636900946534453</v>
      </c>
      <c r="BN152" s="262">
        <f>-sigma_o+SQRT(sigma_o^2-2*Tabella34[[#This Row],[c_o]])</f>
        <v>2.2409990534146185</v>
      </c>
      <c r="BO152" s="262">
        <f>-sigma_o-SQRT(sigma_o^2-2*Tabella34[[#This Row],[c_o]])</f>
        <v>-2.8839718307136448</v>
      </c>
      <c r="BP152" s="262">
        <f>mu_o-LN(alpha*Ko/(Tabella34[[#This Row],[rest of Italy velocity]]*sigma_o*SQRTPI(2)))</f>
        <v>-3.2314890713518505</v>
      </c>
      <c r="BQ152" s="262">
        <f>Tabella34[[#This Row],[t_alpha_o+plus]]</f>
        <v>10.351319012729078</v>
      </c>
      <c r="BR152" s="90">
        <f>IFERROR(-Ka*_xlfn.LOGNORM.DIST((Tabella34[[#This Row],[Day]]-pa),mu_a,sigma_a,FALSE)*(1+(LN((Tabella34[[#This Row],[Day]]-pa))-mu_a)/sigma_a^2)/(Tabella34[[#This Row],[Day]]-pa),0)</f>
        <v>-16.728277254082222</v>
      </c>
      <c r="BS152" s="95">
        <f>Tabella34[[#This Row],[rest of Italy acc. fit]]/y_a_peak</f>
        <v>-4.9504406941908346E-3</v>
      </c>
      <c r="BT152" s="136">
        <f>Tabella34[[#This Row],[rest of Italy acc. fit]]*NOT(ISBLANK(Tabella34[[#This Row],[rest of Italy data]]))</f>
        <v>0</v>
      </c>
      <c r="BU152" s="205"/>
      <c r="BV152" s="137"/>
    </row>
    <row r="153" spans="2:74" x14ac:dyDescent="0.3">
      <c r="B153" s="281">
        <v>43976</v>
      </c>
      <c r="C153" s="4">
        <v>146</v>
      </c>
      <c r="E153" s="10"/>
      <c r="F153" s="10"/>
      <c r="G153" s="136">
        <f>Tabella34[[#This Row],[Spain daily cases]]*NOT(ISBLANK(Tabella34[[#This Row],[Spain daily cases]]))</f>
        <v>0</v>
      </c>
      <c r="H153" s="157">
        <f>Tabella8[[#This Row],[Spain cum. fit]]</f>
        <v>274190.40173993789</v>
      </c>
      <c r="I153" s="157" t="e">
        <f>_xlfn.LOGNORM.INV(alpha*Tabella34[[#This Row],[Spain cumul. Fit]]/Kt,mu_t,sigma_t)-(Tabella34[[#This Row],[Day]]-pt)</f>
        <v>#NUM!</v>
      </c>
      <c r="J153" s="157" t="e">
        <f>Tabella34[[#This Row],[Spain fitted d.t.]]/Spain_dt_at_lockdown</f>
        <v>#NUM!</v>
      </c>
      <c r="K153" s="95">
        <f>Tabella34[[#This Row],[Spain cumul. Fit]]/Kf</f>
        <v>0.97925179931435613</v>
      </c>
      <c r="L153" s="160"/>
      <c r="M153" s="95"/>
      <c r="N153" s="157">
        <f>IFERROR(Kt*_xlfn.LOGNORM.DIST((Tabella34[[#This Row],[Day]]-pt),mu_t,sigma_t,FALSE),0)</f>
        <v>466.08174537853199</v>
      </c>
      <c r="O153" s="157" t="e">
        <f>Kt*EXP(-0.5*Tabella34[[#This Row],[x_t]]^2)/(sigma_t*SQRTPI(2)*(Tabella34[[#This Row],[Day]]-D_bk))</f>
        <v>#NAME?</v>
      </c>
      <c r="P153" s="199">
        <f>Tabella34[[#This Row],[Spain fitted velocity]]/Tabella34[[#This Row],[Spain cumul. Fit]]</f>
        <v>1.699847049425887E-3</v>
      </c>
      <c r="Q153" s="262">
        <f>(LN(Tabella34[[#This Row],[Day]]-pt)-mu_t)/sigma_t</f>
        <v>2.0385355688060258</v>
      </c>
      <c r="R153" s="262">
        <f>EXP(mu_t+sigma_t*Tabella34[[#This Row],[x_t_alpha©+plus]])-(Tabella34[[#This Row],[Day]]-pt)</f>
        <v>8.8250954142897484</v>
      </c>
      <c r="S153" s="262">
        <f>EXP(mu_t+sigma_t*Tabella34[[#This Row],[x_t_alpha©-minus]])-(Tabella34[[#This Row],[Day]]-pt)</f>
        <v>-81.719150526446455</v>
      </c>
      <c r="T153" s="262">
        <f>-sigma_t+SQRT(sigma_t^2-2*Tabella34[[#This Row],[c_t]])</f>
        <v>2.321593263861768</v>
      </c>
      <c r="U153" s="262">
        <f>-sigma_t-SQRT(sigma_t^2-2*Tabella34[[#This Row],[c_t]])</f>
        <v>-2.8590326137049349</v>
      </c>
      <c r="V153" s="262">
        <f>mu_t-LN(alpha*Kt/(Tabella34[[#This Row],[Spain fitted velocity]]*sigma_t*SQRTPI(2)))</f>
        <v>-3.3187554285692409</v>
      </c>
      <c r="W153" s="262">
        <f>Tabella34[[#This Row],[Spain fitted g.r.]]/Spain_gr_at_lockdown</f>
        <v>8.2032984447205966E-3</v>
      </c>
      <c r="X153" s="262">
        <f>Tabella34[[#This Row],[t_alpha_t+plus]]</f>
        <v>8.8250954142897484</v>
      </c>
      <c r="Y153" s="262">
        <f>Tabella34[[#This Row],[Spain fitted h.t.]]/Spain_ht_at_lockdown</f>
        <v>0.14335629862702515</v>
      </c>
      <c r="Z153" s="90">
        <f>IFERROR(-Kf*_xlfn.LOGNORM.DIST((Tabella34[[#This Row],[Day]]-pf),mu_f,sigma_f,FALSE)*(1+(LN((Tabella34[[#This Row],[Day]]-pf))-mu_f)/sigma_f^2)/(Tabella34[[#This Row],[Day]]-pf),0)</f>
        <v>-35.837267509844303</v>
      </c>
      <c r="AA153" s="90">
        <f>Tabella34[[#This Row],[Spain acc. fit]]/Spain_acc_at_lockdown</f>
        <v>-0.12212156057380506</v>
      </c>
      <c r="AB153" s="95">
        <f>Tabella34[[#This Row],[Spain acc. fit]]/y_f_peak</f>
        <v>-5.3691478295261616E-3</v>
      </c>
      <c r="AC153" s="157">
        <f>Tabella34[[#This Row],[Colonna4]]*NOT(ISBLANK(Tabella34[[#This Row],[Spain daily cases]]))</f>
        <v>0</v>
      </c>
      <c r="AD153" s="157">
        <f>Tabella34[[#This Row],[Spain acc. fit]]*NOT(ISBLANK(Tabella34[[#This Row],[Spain daily cases]]))</f>
        <v>0</v>
      </c>
      <c r="AE153" s="95">
        <f>Tabella34[[#This Row],[Spain acc. fit]]+CIf</f>
        <v>2306.8511501712483</v>
      </c>
      <c r="AF153" s="95">
        <f>MAX(Tabella34[[#This Row],[Spain acc. fit]]-CIf,0)</f>
        <v>0</v>
      </c>
      <c r="AH153" s="10"/>
      <c r="AI153" s="10"/>
      <c r="AJ153" s="136">
        <f>Tabella34[[#This Row],[Lombardy data]]*NOT(ISBLANK(Tabella34[[#This Row],[Lombardy data]]))</f>
        <v>0</v>
      </c>
      <c r="AK153" s="95">
        <f>Tabella8[[#This Row],[Lombardy fit]]</f>
        <v>84106.928832356643</v>
      </c>
      <c r="AL153" s="157" t="e">
        <f>_xlfn.LOGNORM.INV(alpha*Tabella34[[#This Row],[Lombardy cumul. Fit]]/Kr,mu_r,sigma_r)-(Tabella34[[#This Row],[Day]]-pr)</f>
        <v>#NUM!</v>
      </c>
      <c r="AM153" s="95">
        <f>Tabella34[[#This Row],[Lombardy cumul. Fit]]/Kl</f>
        <v>0.96674630841789244</v>
      </c>
      <c r="AN153" s="95">
        <f>IFERROR(Kr*_xlfn.LOGNORM.DIST((Tabella34[[#This Row],[Day]]-pr),mu_r,sigma_r,FALSE),0)</f>
        <v>164.95770067229864</v>
      </c>
      <c r="AO153" s="202">
        <f>Tabella34[[#This Row],[Lombardy velocity]]/Tabella34[[#This Row],[Lombardy cumul. Fit]]</f>
        <v>1.9612855083686997E-3</v>
      </c>
      <c r="AP153" s="259">
        <f>(LN(Tabella34[[#This Row],[Day]]-pr)-mu_r)/sigma_r</f>
        <v>1.8349885691802093</v>
      </c>
      <c r="AQ153" s="262">
        <f>EXP(mu_r+sigma_r*Tabella34[[#This Row],[x_r_alpha©+plus]])-(Tabella34[[#This Row],[Day]]-pr)</f>
        <v>12.263250328282268</v>
      </c>
      <c r="AR153" s="262">
        <f>EXP(mu_r+sigma_r*Tabella34[[#This Row],[x_r_alpha©-minus]])-(Tabella34[[#This Row],[Day]]-pr)</f>
        <v>-91.19908193554204</v>
      </c>
      <c r="AS153" s="262">
        <f>-sigma_r+SQRT(sigma_r^2-2*Tabella34[[#This Row],[c_r]])</f>
        <v>2.1331790886232542</v>
      </c>
      <c r="AT153" s="262">
        <f>-sigma_r-SQRT(sigma_r^2-2*Tabella34[[#This Row],[c_r]])</f>
        <v>-2.8140336858169834</v>
      </c>
      <c r="AU153" s="262">
        <f>mu_r-LN(alpha*Kr/(Tabella34[[#This Row],[Lombardy velocity]]*sigma_r*SQRTPI(2)))</f>
        <v>-3.0014189066331047</v>
      </c>
      <c r="AV153" s="262">
        <f>Tabella34[[#This Row],[t_alpha_r+plus]]</f>
        <v>12.263250328282268</v>
      </c>
      <c r="AW153" s="90">
        <f>IFERROR(-Kl*_xlfn.LOGNORM.DIST((Tabella34[[#This Row],[Day]]-pl),mu_l,sigma_l,FALSE)*(1+(LN((Tabella34[[#This Row],[Day]]-pl))-mu_l)/sigma_l^2)/(Tabella34[[#This Row],[Day]]-pl),0)</f>
        <v>-9.1840168369236554</v>
      </c>
      <c r="AX153" s="95">
        <f>Tabella34[[#This Row],[Lombardy acc. fit]]/y_l_peak</f>
        <v>-5.2242631891955982E-3</v>
      </c>
      <c r="AY153" s="157">
        <f>Tabella34[[#This Row],[Lombardy acc. fit]]*NOT(ISBLANK(Tabella34[[#This Row],[Lombardy data]]))</f>
        <v>0</v>
      </c>
      <c r="AZ153" s="95">
        <f>Tabella34[[#This Row],[Lombardy acc. fit]]+CIl</f>
        <v>2561.1983060794851</v>
      </c>
      <c r="BA153" s="95">
        <f>MAX(Tabella34[[#This Row],[Lombardy acc. fit]]-CIl,0)</f>
        <v>0</v>
      </c>
      <c r="BC153" s="10"/>
      <c r="BD153" s="10"/>
      <c r="BE153" s="95">
        <f>Tabella34[[#This Row],[rest of Italy data]]*NOT(ISBLANK(Tabella34[[#This Row],[rest of Italy data]]))</f>
        <v>0</v>
      </c>
      <c r="BF153" s="95">
        <f>Tabella8[[#This Row],[rest of Italy fit]]</f>
        <v>144497.62634363666</v>
      </c>
      <c r="BG153" s="157" t="e">
        <f>_xlfn.LOGNORM.INV(alpha*Tabella34[[#This Row],[rest of Italy cumul. Fit]]/Ko,mu_o,sigma_o)-(Tabella34[[#This Row],[Day]]-po)</f>
        <v>#NUM!</v>
      </c>
      <c r="BH153" s="95">
        <f>Tabella34[[#This Row],[rest of Italy cumul. Fit]]/Ka</f>
        <v>0.97633542678935681</v>
      </c>
      <c r="BI153" s="157">
        <f>IFERROR(Ko*_xlfn.LOGNORM.DIST((Tabella34[[#This Row],[Day]]-po),mu_o,sigma_o,FALSE),0)</f>
        <v>237.28461085228838</v>
      </c>
      <c r="BJ153" s="199">
        <f>Tabella34[[#This Row],[rest of Italy velocity]]/Tabella34[[#This Row],[rest of Italy cumul. Fit]]</f>
        <v>1.6421350084186892E-3</v>
      </c>
      <c r="BK153" s="254">
        <f>(LN(Tabella34[[#This Row],[Day]]-po)-mu_o)/sigma_o</f>
        <v>1.9833428471766936</v>
      </c>
      <c r="BL153" s="262">
        <f>EXP(mu_o+sigma_o*Tabella34[[#This Row],[x_o_alpha©+plus]])-(Tabella34[[#This Row],[Day]]-po)</f>
        <v>10.325995017353307</v>
      </c>
      <c r="BM153" s="262">
        <f>EXP(mu_o+sigma_o*Tabella34[[#This Row],[x_o_alpha©-minus]])-(Tabella34[[#This Row],[Day]]-po)</f>
        <v>-85.822993694769849</v>
      </c>
      <c r="BN153" s="262">
        <f>-sigma_o+SQRT(sigma_o^2-2*Tabella34[[#This Row],[c_o]])</f>
        <v>2.2666658803329569</v>
      </c>
      <c r="BO153" s="262">
        <f>-sigma_o-SQRT(sigma_o^2-2*Tabella34[[#This Row],[c_o]])</f>
        <v>-2.9096386576319833</v>
      </c>
      <c r="BP153" s="262">
        <f>mu_o-LN(alpha*Ko/(Tabella34[[#This Row],[rest of Italy velocity]]*sigma_o*SQRTPI(2)))</f>
        <v>-3.2975893346761014</v>
      </c>
      <c r="BQ153" s="262">
        <f>Tabella34[[#This Row],[t_alpha_o+plus]]</f>
        <v>10.325995017353307</v>
      </c>
      <c r="BR153" s="90">
        <f>IFERROR(-Ka*_xlfn.LOGNORM.DIST((Tabella34[[#This Row],[Day]]-pa),mu_a,sigma_a,FALSE)*(1+(LN((Tabella34[[#This Row],[Day]]-pa))-mu_a)/sigma_a^2)/(Tabella34[[#This Row],[Day]]-pa),0)</f>
        <v>-15.710397144737044</v>
      </c>
      <c r="BS153" s="95">
        <f>Tabella34[[#This Row],[rest of Italy acc. fit]]/y_a_peak</f>
        <v>-4.6492169017719152E-3</v>
      </c>
      <c r="BT153" s="136">
        <f>Tabella34[[#This Row],[rest of Italy acc. fit]]*NOT(ISBLANK(Tabella34[[#This Row],[rest of Italy data]]))</f>
        <v>0</v>
      </c>
      <c r="BU153" s="205"/>
      <c r="BV153" s="137"/>
    </row>
    <row r="154" spans="2:74" x14ac:dyDescent="0.3">
      <c r="B154" s="281">
        <v>43977</v>
      </c>
      <c r="C154" s="4">
        <v>147</v>
      </c>
      <c r="E154" s="10"/>
      <c r="F154" s="10"/>
      <c r="G154" s="136">
        <f>Tabella34[[#This Row],[Spain daily cases]]*NOT(ISBLANK(Tabella34[[#This Row],[Spain daily cases]]))</f>
        <v>0</v>
      </c>
      <c r="H154" s="157">
        <f>Tabella8[[#This Row],[Spain cum. fit]]</f>
        <v>274638.9847853767</v>
      </c>
      <c r="I154" s="157" t="e">
        <f>_xlfn.LOGNORM.INV(alpha*Tabella34[[#This Row],[Spain cumul. Fit]]/Kt,mu_t,sigma_t)-(Tabella34[[#This Row],[Day]]-pt)</f>
        <v>#NUM!</v>
      </c>
      <c r="J154" s="157" t="e">
        <f>Tabella34[[#This Row],[Spain fitted d.t.]]/Spain_dt_at_lockdown</f>
        <v>#NUM!</v>
      </c>
      <c r="K154" s="95">
        <f>Tabella34[[#This Row],[Spain cumul. Fit]]/Kf</f>
        <v>0.980853882215874</v>
      </c>
      <c r="L154" s="160"/>
      <c r="M154" s="95"/>
      <c r="N154" s="157">
        <f>IFERROR(Kt*_xlfn.LOGNORM.DIST((Tabella34[[#This Row],[Day]]-pt),mu_t,sigma_t,FALSE),0)</f>
        <v>431.49779458743478</v>
      </c>
      <c r="O154" s="157" t="e">
        <f>Kt*EXP(-0.5*Tabella34[[#This Row],[x_t]]^2)/(sigma_t*SQRTPI(2)*(Tabella34[[#This Row],[Day]]-D_bk))</f>
        <v>#NAME?</v>
      </c>
      <c r="P154" s="199">
        <f>Tabella34[[#This Row],[Spain fitted velocity]]/Tabella34[[#This Row],[Spain cumul. Fit]]</f>
        <v>1.5711454618310625E-3</v>
      </c>
      <c r="Q154" s="262">
        <f>(LN(Tabella34[[#This Row],[Day]]-pt)-mu_t)/sigma_t</f>
        <v>2.0717127716103843</v>
      </c>
      <c r="R154" s="262">
        <f>EXP(mu_t+sigma_t*Tabella34[[#This Row],[x_t_alpha©+plus]])-(Tabella34[[#This Row],[Day]]-pt)</f>
        <v>8.7871623582842489</v>
      </c>
      <c r="S154" s="262">
        <f>EXP(mu_t+sigma_t*Tabella34[[#This Row],[x_t_alpha©-minus]])-(Tabella34[[#This Row],[Day]]-pt)</f>
        <v>-82.956372223757143</v>
      </c>
      <c r="T154" s="262">
        <f>-sigma_t+SQRT(sigma_t^2-2*Tabella34[[#This Row],[c_t]])</f>
        <v>2.3511884146684894</v>
      </c>
      <c r="U154" s="262">
        <f>-sigma_t-SQRT(sigma_t^2-2*Tabella34[[#This Row],[c_t]])</f>
        <v>-2.8886277645116563</v>
      </c>
      <c r="V154" s="262">
        <f>mu_t-LN(alpha*Kt/(Tabella34[[#This Row],[Spain fitted velocity]]*sigma_t*SQRTPI(2)))</f>
        <v>-3.3958540671047714</v>
      </c>
      <c r="W154" s="262">
        <f>Tabella34[[#This Row],[Spain fitted g.r.]]/Spain_gr_at_lockdown</f>
        <v>7.5821969557917672E-3</v>
      </c>
      <c r="X154" s="262">
        <f>Tabella34[[#This Row],[t_alpha_t+plus]]</f>
        <v>8.7871623582842489</v>
      </c>
      <c r="Y154" s="262">
        <f>Tabella34[[#This Row],[Spain fitted h.t.]]/Spain_ht_at_lockdown</f>
        <v>0.14274010783822588</v>
      </c>
      <c r="Z154" s="90">
        <f>IFERROR(-Kf*_xlfn.LOGNORM.DIST((Tabella34[[#This Row],[Day]]-pf),mu_f,sigma_f,FALSE)*(1+(LN((Tabella34[[#This Row],[Day]]-pf))-mu_f)/sigma_f^2)/(Tabella34[[#This Row],[Day]]-pf),0)</f>
        <v>-33.356459600797265</v>
      </c>
      <c r="AA154" s="90">
        <f>Tabella34[[#This Row],[Spain acc. fit]]/Spain_acc_at_lockdown</f>
        <v>-0.11366778732634859</v>
      </c>
      <c r="AB154" s="95">
        <f>Tabella34[[#This Row],[Spain acc. fit]]/y_f_peak</f>
        <v>-4.9974726063336467E-3</v>
      </c>
      <c r="AC154" s="157">
        <f>Tabella34[[#This Row],[Colonna4]]*NOT(ISBLANK(Tabella34[[#This Row],[Spain daily cases]]))</f>
        <v>0</v>
      </c>
      <c r="AD154" s="157">
        <f>Tabella34[[#This Row],[Spain acc. fit]]*NOT(ISBLANK(Tabella34[[#This Row],[Spain daily cases]]))</f>
        <v>0</v>
      </c>
      <c r="AE154" s="95">
        <f>Tabella34[[#This Row],[Spain acc. fit]]+CIf</f>
        <v>2309.3319580802954</v>
      </c>
      <c r="AF154" s="95">
        <f>MAX(Tabella34[[#This Row],[Spain acc. fit]]-CIf,0)</f>
        <v>0</v>
      </c>
      <c r="AH154" s="10"/>
      <c r="AI154" s="10"/>
      <c r="AJ154" s="136">
        <f>Tabella34[[#This Row],[Lombardy data]]*NOT(ISBLANK(Tabella34[[#This Row],[Lombardy data]]))</f>
        <v>0</v>
      </c>
      <c r="AK154" s="95">
        <f>Tabella8[[#This Row],[Lombardy fit]]</f>
        <v>84267.37414729064</v>
      </c>
      <c r="AL154" s="157" t="e">
        <f>_xlfn.LOGNORM.INV(alpha*Tabella34[[#This Row],[Lombardy cumul. Fit]]/Kr,mu_r,sigma_r)-(Tabella34[[#This Row],[Day]]-pr)</f>
        <v>#NUM!</v>
      </c>
      <c r="AM154" s="95">
        <f>Tabella34[[#This Row],[Lombardy cumul. Fit]]/Kl</f>
        <v>0.96859050744012232</v>
      </c>
      <c r="AN154" s="95">
        <f>IFERROR(Kr*_xlfn.LOGNORM.DIST((Tabella34[[#This Row],[Day]]-pr),mu_r,sigma_r,FALSE),0)</f>
        <v>156.01163218881777</v>
      </c>
      <c r="AO154" s="202">
        <f>Tabella34[[#This Row],[Lombardy velocity]]/Tabella34[[#This Row],[Lombardy cumul. Fit]]</f>
        <v>1.8513883192340325E-3</v>
      </c>
      <c r="AP154" s="259">
        <f>(LN(Tabella34[[#This Row],[Day]]-pr)-mu_r)/sigma_r</f>
        <v>1.8604705230107386</v>
      </c>
      <c r="AQ154" s="262">
        <f>EXP(mu_r+sigma_r*Tabella34[[#This Row],[x_r_alpha©+plus]])-(Tabella34[[#This Row],[Day]]-pr)</f>
        <v>12.237439758362967</v>
      </c>
      <c r="AR154" s="262">
        <f>EXP(mu_r+sigma_r*Tabella34[[#This Row],[x_r_alpha©-minus]])-(Tabella34[[#This Row],[Day]]-pr)</f>
        <v>-92.378514676918201</v>
      </c>
      <c r="AS154" s="262">
        <f>-sigma_r+SQRT(sigma_r^2-2*Tabella34[[#This Row],[c_r]])</f>
        <v>2.1556186910189084</v>
      </c>
      <c r="AT154" s="262">
        <f>-sigma_r-SQRT(sigma_r^2-2*Tabella34[[#This Row],[c_r]])</f>
        <v>-2.8364732882126376</v>
      </c>
      <c r="AU154" s="262">
        <f>mu_r-LN(alpha*Kr/(Tabella34[[#This Row],[Lombardy velocity]]*sigma_r*SQRTPI(2)))</f>
        <v>-3.0571774183235121</v>
      </c>
      <c r="AV154" s="262">
        <f>Tabella34[[#This Row],[t_alpha_r+plus]]</f>
        <v>12.237439758362967</v>
      </c>
      <c r="AW154" s="90">
        <f>IFERROR(-Kl*_xlfn.LOGNORM.DIST((Tabella34[[#This Row],[Day]]-pl),mu_l,sigma_l,FALSE)*(1+(LN((Tabella34[[#This Row],[Day]]-pl))-mu_l)/sigma_l^2)/(Tabella34[[#This Row],[Day]]-pl),0)</f>
        <v>-8.7117870015480143</v>
      </c>
      <c r="AX154" s="95">
        <f>Tabella34[[#This Row],[Lombardy acc. fit]]/y_l_peak</f>
        <v>-4.9556385786793961E-3</v>
      </c>
      <c r="AY154" s="157">
        <f>Tabella34[[#This Row],[Lombardy acc. fit]]*NOT(ISBLANK(Tabella34[[#This Row],[Lombardy data]]))</f>
        <v>0</v>
      </c>
      <c r="AZ154" s="95">
        <f>Tabella34[[#This Row],[Lombardy acc. fit]]+CIl</f>
        <v>2561.6705359148605</v>
      </c>
      <c r="BA154" s="95">
        <f>MAX(Tabella34[[#This Row],[Lombardy acc. fit]]-CIl,0)</f>
        <v>0</v>
      </c>
      <c r="BC154" s="10"/>
      <c r="BD154" s="10"/>
      <c r="BE154" s="95">
        <f>Tabella34[[#This Row],[rest of Italy data]]*NOT(ISBLANK(Tabella34[[#This Row],[rest of Italy data]]))</f>
        <v>0</v>
      </c>
      <c r="BF154" s="95">
        <f>Tabella8[[#This Row],[rest of Italy fit]]</f>
        <v>144727.218349273</v>
      </c>
      <c r="BG154" s="157" t="e">
        <f>_xlfn.LOGNORM.INV(alpha*Tabella34[[#This Row],[rest of Italy cumul. Fit]]/Ko,mu_o,sigma_o)-(Tabella34[[#This Row],[Day]]-po)</f>
        <v>#NUM!</v>
      </c>
      <c r="BH154" s="95">
        <f>Tabella34[[#This Row],[rest of Italy cumul. Fit]]/Ka</f>
        <v>0.97788672430532642</v>
      </c>
      <c r="BI154" s="157">
        <f>IFERROR(Ko*_xlfn.LOGNORM.DIST((Tabella34[[#This Row],[Day]]-po),mu_o,sigma_o,FALSE),0)</f>
        <v>222.05969869605568</v>
      </c>
      <c r="BJ154" s="199">
        <f>Tabella34[[#This Row],[rest of Italy velocity]]/Tabella34[[#This Row],[rest of Italy cumul. Fit]]</f>
        <v>1.5343326654710845E-3</v>
      </c>
      <c r="BK154" s="254">
        <f>(LN(Tabella34[[#This Row],[Day]]-po)-mu_o)/sigma_o</f>
        <v>2.0119372568588032</v>
      </c>
      <c r="BL154" s="262">
        <f>EXP(mu_o+sigma_o*Tabella34[[#This Row],[x_o_alpha©+plus]])-(Tabella34[[#This Row],[Day]]-po)</f>
        <v>10.302201308528169</v>
      </c>
      <c r="BM154" s="262">
        <f>EXP(mu_o+sigma_o*Tabella34[[#This Row],[x_o_alpha©-minus]])-(Tabella34[[#This Row],[Day]]-po)</f>
        <v>-87.006337970626475</v>
      </c>
      <c r="BN154" s="262">
        <f>-sigma_o+SQRT(sigma_o^2-2*Tabella34[[#This Row],[c_o]])</f>
        <v>2.2921624535894765</v>
      </c>
      <c r="BO154" s="262">
        <f>-sigma_o-SQRT(sigma_o^2-2*Tabella34[[#This Row],[c_o]])</f>
        <v>-2.9351352308885028</v>
      </c>
      <c r="BP154" s="262">
        <f>mu_o-LN(alpha*Ko/(Tabella34[[#This Row],[rest of Italy velocity]]*sigma_o*SQRTPI(2)))</f>
        <v>-3.3639033862251519</v>
      </c>
      <c r="BQ154" s="262">
        <f>Tabella34[[#This Row],[t_alpha_o+plus]]</f>
        <v>10.302201308528169</v>
      </c>
      <c r="BR154" s="90">
        <f>IFERROR(-Ka*_xlfn.LOGNORM.DIST((Tabella34[[#This Row],[Day]]-pa),mu_a,sigma_a,FALSE)*(1+(LN((Tabella34[[#This Row],[Day]]-pa))-mu_a)/sigma_a^2)/(Tabella34[[#This Row],[Day]]-pa),0)</f>
        <v>-14.748567243414268</v>
      </c>
      <c r="BS154" s="95">
        <f>Tabella34[[#This Row],[rest of Italy acc. fit]]/y_a_peak</f>
        <v>-4.3645801868205372E-3</v>
      </c>
      <c r="BT154" s="136">
        <f>Tabella34[[#This Row],[rest of Italy acc. fit]]*NOT(ISBLANK(Tabella34[[#This Row],[rest of Italy data]]))</f>
        <v>0</v>
      </c>
      <c r="BU154" s="205"/>
      <c r="BV154" s="137"/>
    </row>
    <row r="155" spans="2:74" x14ac:dyDescent="0.3">
      <c r="B155" s="281">
        <v>43978</v>
      </c>
      <c r="C155" s="4">
        <v>148</v>
      </c>
      <c r="E155" s="10"/>
      <c r="F155" s="10"/>
      <c r="G155" s="136">
        <f>Tabella34[[#This Row],[Spain daily cases]]*NOT(ISBLANK(Tabella34[[#This Row],[Spain daily cases]]))</f>
        <v>0</v>
      </c>
      <c r="H155" s="157">
        <f>Tabella8[[#This Row],[Spain cum. fit]]</f>
        <v>275054.19874271034</v>
      </c>
      <c r="I155" s="157" t="e">
        <f>_xlfn.LOGNORM.INV(alpha*Tabella34[[#This Row],[Spain cumul. Fit]]/Kt,mu_t,sigma_t)-(Tabella34[[#This Row],[Day]]-pt)</f>
        <v>#NUM!</v>
      </c>
      <c r="J155" s="157" t="e">
        <f>Tabella34[[#This Row],[Spain fitted d.t.]]/Spain_dt_at_lockdown</f>
        <v>#NUM!</v>
      </c>
      <c r="K155" s="95">
        <f>Tabella34[[#This Row],[Spain cumul. Fit]]/Kf</f>
        <v>0.98233678975836725</v>
      </c>
      <c r="L155" s="160"/>
      <c r="M155" s="95"/>
      <c r="N155" s="157">
        <f>IFERROR(Kt*_xlfn.LOGNORM.DIST((Tabella34[[#This Row],[Day]]-pt),mu_t,sigma_t,FALSE),0)</f>
        <v>399.31831246371695</v>
      </c>
      <c r="O155" s="157" t="e">
        <f>Kt*EXP(-0.5*Tabella34[[#This Row],[x_t]]^2)/(sigma_t*SQRTPI(2)*(Tabella34[[#This Row],[Day]]-D_bk))</f>
        <v>#NAME?</v>
      </c>
      <c r="P155" s="199">
        <f>Tabella34[[#This Row],[Spain fitted velocity]]/Tabella34[[#This Row],[Spain cumul. Fit]]</f>
        <v>1.4517804646830535E-3</v>
      </c>
      <c r="Q155" s="262">
        <f>(LN(Tabella34[[#This Row],[Day]]-pt)-mu_t)/sigma_t</f>
        <v>2.1045967993096357</v>
      </c>
      <c r="R155" s="262">
        <f>EXP(mu_t+sigma_t*Tabella34[[#This Row],[x_t_alpha©+plus]])-(Tabella34[[#This Row],[Day]]-pt)</f>
        <v>8.7510628627948535</v>
      </c>
      <c r="S155" s="262">
        <f>EXP(mu_t+sigma_t*Tabella34[[#This Row],[x_t_alpha©-minus]])-(Tabella34[[#This Row],[Day]]-pt)</f>
        <v>-84.190306767557018</v>
      </c>
      <c r="T155" s="262">
        <f>-sigma_t+SQRT(sigma_t^2-2*Tabella34[[#This Row],[c_t]])</f>
        <v>2.3806057954533184</v>
      </c>
      <c r="U155" s="262">
        <f>-sigma_t-SQRT(sigma_t^2-2*Tabella34[[#This Row],[c_t]])</f>
        <v>-2.9180451452964853</v>
      </c>
      <c r="V155" s="262">
        <f>mu_t-LN(alpha*Kt/(Tabella34[[#This Row],[Spain fitted velocity]]*sigma_t*SQRTPI(2)))</f>
        <v>-3.4733575921436168</v>
      </c>
      <c r="W155" s="262">
        <f>Tabella34[[#This Row],[Spain fitted g.r.]]/Spain_gr_at_lockdown</f>
        <v>7.0061529547805852E-3</v>
      </c>
      <c r="X155" s="262">
        <f>Tabella34[[#This Row],[t_alpha_t+plus]]</f>
        <v>8.7510628627948535</v>
      </c>
      <c r="Y155" s="262">
        <f>Tabella34[[#This Row],[Spain fitted h.t.]]/Spain_ht_at_lockdown</f>
        <v>0.14215370170744535</v>
      </c>
      <c r="Z155" s="90">
        <f>IFERROR(-Kf*_xlfn.LOGNORM.DIST((Tabella34[[#This Row],[Day]]-pf),mu_f,sigma_f,FALSE)*(1+(LN((Tabella34[[#This Row],[Day]]-pf))-mu_f)/sigma_f^2)/(Tabella34[[#This Row],[Day]]-pf),0)</f>
        <v>-31.027191003674005</v>
      </c>
      <c r="AA155" s="90">
        <f>Tabella34[[#This Row],[Spain acc. fit]]/Spain_acc_at_lockdown</f>
        <v>-0.10573040995799561</v>
      </c>
      <c r="AB155" s="95">
        <f>Tabella34[[#This Row],[Spain acc. fit]]/y_f_peak</f>
        <v>-4.6485010384206523E-3</v>
      </c>
      <c r="AC155" s="157">
        <f>Tabella34[[#This Row],[Colonna4]]*NOT(ISBLANK(Tabella34[[#This Row],[Spain daily cases]]))</f>
        <v>0</v>
      </c>
      <c r="AD155" s="157">
        <f>Tabella34[[#This Row],[Spain acc. fit]]*NOT(ISBLANK(Tabella34[[#This Row],[Spain daily cases]]))</f>
        <v>0</v>
      </c>
      <c r="AE155" s="95">
        <f>Tabella34[[#This Row],[Spain acc. fit]]+CIf</f>
        <v>2311.6612266774187</v>
      </c>
      <c r="AF155" s="95">
        <f>MAX(Tabella34[[#This Row],[Spain acc. fit]]-CIf,0)</f>
        <v>0</v>
      </c>
      <c r="AH155" s="10"/>
      <c r="AI155" s="10"/>
      <c r="AJ155" s="136">
        <f>Tabella34[[#This Row],[Lombardy data]]*NOT(ISBLANK(Tabella34[[#This Row],[Lombardy data]]))</f>
        <v>0</v>
      </c>
      <c r="AK155" s="95">
        <f>Tabella8[[#This Row],[Lombardy fit]]</f>
        <v>84419.10587160557</v>
      </c>
      <c r="AL155" s="157" t="e">
        <f>_xlfn.LOGNORM.INV(alpha*Tabella34[[#This Row],[Lombardy cumul. Fit]]/Kr,mu_r,sigma_r)-(Tabella34[[#This Row],[Day]]-pr)</f>
        <v>#NUM!</v>
      </c>
      <c r="AM155" s="95">
        <f>Tabella34[[#This Row],[Lombardy cumul. Fit]]/Kl</f>
        <v>0.97033455024833992</v>
      </c>
      <c r="AN155" s="95">
        <f>IFERROR(Kr*_xlfn.LOGNORM.DIST((Tabella34[[#This Row],[Day]]-pr),mu_r,sigma_r,FALSE),0)</f>
        <v>147.52691225449914</v>
      </c>
      <c r="AO155" s="202">
        <f>Tabella34[[#This Row],[Lombardy velocity]]/Tabella34[[#This Row],[Lombardy cumul. Fit]]</f>
        <v>1.7475535985760769E-3</v>
      </c>
      <c r="AP155" s="259">
        <f>(LN(Tabella34[[#This Row],[Day]]-pr)-mu_r)/sigma_r</f>
        <v>1.8857333269024039</v>
      </c>
      <c r="AQ155" s="262">
        <f>EXP(mu_r+sigma_r*Tabella34[[#This Row],[x_r_alpha©+plus]])-(Tabella34[[#This Row],[Day]]-pr)</f>
        <v>12.213134580831166</v>
      </c>
      <c r="AR155" s="262">
        <f>EXP(mu_r+sigma_r*Tabella34[[#This Row],[x_r_alpha©-minus]])-(Tabella34[[#This Row],[Day]]-pr)</f>
        <v>-93.55550811483559</v>
      </c>
      <c r="AS155" s="262">
        <f>-sigma_r+SQRT(sigma_r^2-2*Tabella34[[#This Row],[c_r]])</f>
        <v>2.1779224570254927</v>
      </c>
      <c r="AT155" s="262">
        <f>-sigma_r-SQRT(sigma_r^2-2*Tabella34[[#This Row],[c_r]])</f>
        <v>-2.8587770542192219</v>
      </c>
      <c r="AU155" s="262">
        <f>mu_r-LN(alpha*Kr/(Tabella34[[#This Row],[Lombardy velocity]]*sigma_r*SQRTPI(2)))</f>
        <v>-3.1130973730066138</v>
      </c>
      <c r="AV155" s="262">
        <f>Tabella34[[#This Row],[t_alpha_r+plus]]</f>
        <v>12.213134580831166</v>
      </c>
      <c r="AW155" s="90">
        <f>IFERROR(-Kl*_xlfn.LOGNORM.DIST((Tabella34[[#This Row],[Day]]-pl),mu_l,sigma_l,FALSE)*(1+(LN((Tabella34[[#This Row],[Day]]-pl))-mu_l)/sigma_l^2)/(Tabella34[[#This Row],[Day]]-pl),0)</f>
        <v>-8.2612000783621458</v>
      </c>
      <c r="AX155" s="95">
        <f>Tabella34[[#This Row],[Lombardy acc. fit]]/y_l_peak</f>
        <v>-4.6993253860827958E-3</v>
      </c>
      <c r="AY155" s="157">
        <f>Tabella34[[#This Row],[Lombardy acc. fit]]*NOT(ISBLANK(Tabella34[[#This Row],[Lombardy data]]))</f>
        <v>0</v>
      </c>
      <c r="AZ155" s="95">
        <f>Tabella34[[#This Row],[Lombardy acc. fit]]+CIl</f>
        <v>2562.1211228380466</v>
      </c>
      <c r="BA155" s="95">
        <f>MAX(Tabella34[[#This Row],[Lombardy acc. fit]]-CIl,0)</f>
        <v>0</v>
      </c>
      <c r="BC155" s="10"/>
      <c r="BD155" s="10"/>
      <c r="BE155" s="95">
        <f>Tabella34[[#This Row],[rest of Italy data]]*NOT(ISBLANK(Tabella34[[#This Row],[rest of Italy data]]))</f>
        <v>0</v>
      </c>
      <c r="BF155" s="95">
        <f>Tabella8[[#This Row],[rest of Italy fit]]</f>
        <v>144942.05731802669</v>
      </c>
      <c r="BG155" s="157" t="e">
        <f>_xlfn.LOGNORM.INV(alpha*Tabella34[[#This Row],[rest of Italy cumul. Fit]]/Ko,mu_o,sigma_o)-(Tabella34[[#This Row],[Day]]-po)</f>
        <v>#NUM!</v>
      </c>
      <c r="BH155" s="95">
        <f>Tabella34[[#This Row],[rest of Italy cumul. Fit]]/Ka</f>
        <v>0.97933833912805224</v>
      </c>
      <c r="BI155" s="157">
        <f>IFERROR(Ko*_xlfn.LOGNORM.DIST((Tabella34[[#This Row],[Day]]-po),mu_o,sigma_o,FALSE),0)</f>
        <v>207.76959767821637</v>
      </c>
      <c r="BJ155" s="199">
        <f>Tabella34[[#This Row],[rest of Italy velocity]]/Tabella34[[#This Row],[rest of Italy cumul. Fit]]</f>
        <v>1.4334665970853148E-3</v>
      </c>
      <c r="BK155" s="254">
        <f>(LN(Tabella34[[#This Row],[Day]]-po)-mu_o)/sigma_o</f>
        <v>2.0402711989116309</v>
      </c>
      <c r="BL155" s="262">
        <f>EXP(mu_o+sigma_o*Tabella34[[#This Row],[x_o_alpha©+plus]])-(Tabella34[[#This Row],[Day]]-po)</f>
        <v>10.279867845923974</v>
      </c>
      <c r="BM155" s="262">
        <f>EXP(mu_o+sigma_o*Tabella34[[#This Row],[x_o_alpha©-minus]])-(Tabella34[[#This Row],[Day]]-po)</f>
        <v>-88.186980720186114</v>
      </c>
      <c r="BN155" s="262">
        <f>-sigma_o+SQRT(sigma_o^2-2*Tabella34[[#This Row],[c_o]])</f>
        <v>2.3174894095575347</v>
      </c>
      <c r="BO155" s="262">
        <f>-sigma_o-SQRT(sigma_o^2-2*Tabella34[[#This Row],[c_o]])</f>
        <v>-2.960462186856561</v>
      </c>
      <c r="BP155" s="262">
        <f>mu_o-LN(alpha*Ko/(Tabella34[[#This Row],[rest of Italy velocity]]*sigma_o*SQRTPI(2)))</f>
        <v>-3.4304198827178096</v>
      </c>
      <c r="BQ155" s="262">
        <f>Tabella34[[#This Row],[t_alpha_o+plus]]</f>
        <v>10.279867845923974</v>
      </c>
      <c r="BR155" s="90">
        <f>IFERROR(-Ka*_xlfn.LOGNORM.DIST((Tabella34[[#This Row],[Day]]-pa),mu_a,sigma_a,FALSE)*(1+(LN((Tabella34[[#This Row],[Day]]-pa))-mu_a)/sigma_a^2)/(Tabella34[[#This Row],[Day]]-pa),0)</f>
        <v>-13.84037418511226</v>
      </c>
      <c r="BS155" s="95">
        <f>Tabella34[[#This Row],[rest of Italy acc. fit]]/y_a_peak</f>
        <v>-4.0958163562292713E-3</v>
      </c>
      <c r="BT155" s="136">
        <f>Tabella34[[#This Row],[rest of Italy acc. fit]]*NOT(ISBLANK(Tabella34[[#This Row],[rest of Italy data]]))</f>
        <v>0</v>
      </c>
      <c r="BU155" s="205"/>
      <c r="BV155" s="137"/>
    </row>
    <row r="156" spans="2:74" x14ac:dyDescent="0.3">
      <c r="B156" s="281">
        <v>43979</v>
      </c>
      <c r="C156" s="4">
        <v>149</v>
      </c>
      <c r="E156" s="10"/>
      <c r="F156" s="10"/>
      <c r="G156" s="136">
        <f>Tabella34[[#This Row],[Spain daily cases]]*NOT(ISBLANK(Tabella34[[#This Row],[Spain daily cases]]))</f>
        <v>0</v>
      </c>
      <c r="H156" s="157">
        <f>Tabella8[[#This Row],[Spain cum. fit]]</f>
        <v>275438.37345172698</v>
      </c>
      <c r="I156" s="157" t="e">
        <f>_xlfn.LOGNORM.INV(alpha*Tabella34[[#This Row],[Spain cumul. Fit]]/Kt,mu_t,sigma_t)-(Tabella34[[#This Row],[Day]]-pt)</f>
        <v>#NUM!</v>
      </c>
      <c r="J156" s="157" t="e">
        <f>Tabella34[[#This Row],[Spain fitted d.t.]]/Spain_dt_at_lockdown</f>
        <v>#NUM!</v>
      </c>
      <c r="K156" s="95">
        <f>Tabella34[[#This Row],[Spain cumul. Fit]]/Kf</f>
        <v>0.98370884280131954</v>
      </c>
      <c r="L156" s="160"/>
      <c r="M156" s="95"/>
      <c r="N156" s="157">
        <f>IFERROR(Kt*_xlfn.LOGNORM.DIST((Tabella34[[#This Row],[Day]]-pt),mu_t,sigma_t,FALSE),0)</f>
        <v>369.39518330330452</v>
      </c>
      <c r="O156" s="157" t="e">
        <f>Kt*EXP(-0.5*Tabella34[[#This Row],[x_t]]^2)/(sigma_t*SQRTPI(2)*(Tabella34[[#This Row],[Day]]-D_bk))</f>
        <v>#NAME?</v>
      </c>
      <c r="P156" s="199">
        <f>Tabella34[[#This Row],[Spain fitted velocity]]/Tabella34[[#This Row],[Spain cumul. Fit]]</f>
        <v>1.3411173565764769E-3</v>
      </c>
      <c r="Q156" s="262">
        <f>(LN(Tabella34[[#This Row],[Day]]-pt)-mu_t)/sigma_t</f>
        <v>2.137192787919393</v>
      </c>
      <c r="R156" s="262">
        <f>EXP(mu_t+sigma_t*Tabella34[[#This Row],[x_t_alpha©+plus]])-(Tabella34[[#This Row],[Day]]-pt)</f>
        <v>8.7167081696673989</v>
      </c>
      <c r="S156" s="262">
        <f>EXP(mu_t+sigma_t*Tabella34[[#This Row],[x_t_alpha©-minus]])-(Tabella34[[#This Row],[Day]]-pt)</f>
        <v>-85.420999730256455</v>
      </c>
      <c r="T156" s="262">
        <f>-sigma_t+SQRT(sigma_t^2-2*Tabella34[[#This Row],[c_t]])</f>
        <v>2.4098450788175199</v>
      </c>
      <c r="U156" s="262">
        <f>-sigma_t-SQRT(sigma_t^2-2*Tabella34[[#This Row],[c_t]])</f>
        <v>-2.9472844286606867</v>
      </c>
      <c r="V156" s="262">
        <f>mu_t-LN(alpha*Kt/(Tabella34[[#This Row],[Spain fitted velocity]]*sigma_t*SQRTPI(2)))</f>
        <v>-3.5512494381417312</v>
      </c>
      <c r="W156" s="262">
        <f>Tabella34[[#This Row],[Spain fitted g.r.]]/Spain_gr_at_lockdown</f>
        <v>6.4721034337220686E-3</v>
      </c>
      <c r="X156" s="262">
        <f>Tabella34[[#This Row],[t_alpha_t+plus]]</f>
        <v>8.7167081696673989</v>
      </c>
      <c r="Y156" s="262">
        <f>Tabella34[[#This Row],[Spain fitted h.t.]]/Spain_ht_at_lockdown</f>
        <v>0.14159563843265688</v>
      </c>
      <c r="Z156" s="90">
        <f>IFERROR(-Kf*_xlfn.LOGNORM.DIST((Tabella34[[#This Row],[Day]]-pf),mu_f,sigma_f,FALSE)*(1+(LN((Tabella34[[#This Row],[Day]]-pf))-mu_f)/sigma_f^2)/(Tabella34[[#This Row],[Day]]-pf),0)</f>
        <v>-28.842610373472397</v>
      </c>
      <c r="AA156" s="90">
        <f>Tabella34[[#This Row],[Spain acc. fit]]/Spain_acc_at_lockdown</f>
        <v>-9.8286081349899496E-2</v>
      </c>
      <c r="AB156" s="95">
        <f>Tabella34[[#This Row],[Spain acc. fit]]/y_f_peak</f>
        <v>-4.3212066556709101E-3</v>
      </c>
      <c r="AC156" s="157">
        <f>Tabella34[[#This Row],[Colonna4]]*NOT(ISBLANK(Tabella34[[#This Row],[Spain daily cases]]))</f>
        <v>0</v>
      </c>
      <c r="AD156" s="157">
        <f>Tabella34[[#This Row],[Spain acc. fit]]*NOT(ISBLANK(Tabella34[[#This Row],[Spain daily cases]]))</f>
        <v>0</v>
      </c>
      <c r="AE156" s="95">
        <f>Tabella34[[#This Row],[Spain acc. fit]]+CIf</f>
        <v>2313.8458073076204</v>
      </c>
      <c r="AF156" s="95">
        <f>MAX(Tabella34[[#This Row],[Spain acc. fit]]-CIf,0)</f>
        <v>0</v>
      </c>
      <c r="AH156" s="10"/>
      <c r="AI156" s="10"/>
      <c r="AJ156" s="136">
        <f>Tabella34[[#This Row],[Lombardy data]]*NOT(ISBLANK(Tabella34[[#This Row],[Lombardy data]]))</f>
        <v>0</v>
      </c>
      <c r="AK156" s="95">
        <f>Tabella8[[#This Row],[Lombardy fit]]</f>
        <v>84562.574652415191</v>
      </c>
      <c r="AL156" s="157" t="e">
        <f>_xlfn.LOGNORM.INV(alpha*Tabella34[[#This Row],[Lombardy cumul. Fit]]/Kr,mu_r,sigma_r)-(Tabella34[[#This Row],[Day]]-pr)</f>
        <v>#NUM!</v>
      </c>
      <c r="AM156" s="95">
        <f>Tabella34[[#This Row],[Lombardy cumul. Fit]]/Kl</f>
        <v>0.97198361669442745</v>
      </c>
      <c r="AN156" s="95">
        <f>IFERROR(Kr*_xlfn.LOGNORM.DIST((Tabella34[[#This Row],[Day]]-pr),mu_r,sigma_r,FALSE),0)</f>
        <v>139.48225835302821</v>
      </c>
      <c r="AO156" s="202">
        <f>Tabella34[[#This Row],[Lombardy velocity]]/Tabella34[[#This Row],[Lombardy cumul. Fit]]</f>
        <v>1.6494561444747172E-3</v>
      </c>
      <c r="AP156" s="259">
        <f>(LN(Tabella34[[#This Row],[Day]]-pr)-mu_r)/sigma_r</f>
        <v>1.9107807182033902</v>
      </c>
      <c r="AQ156" s="262">
        <f>EXP(mu_r+sigma_r*Tabella34[[#This Row],[x_r_alpha©+plus]])-(Tabella34[[#This Row],[Day]]-pr)</f>
        <v>12.190271251522148</v>
      </c>
      <c r="AR156" s="262">
        <f>EXP(mu_r+sigma_r*Tabella34[[#This Row],[x_r_alpha©-minus]])-(Tabella34[[#This Row],[Day]]-pr)</f>
        <v>-94.730099767477284</v>
      </c>
      <c r="AS156" s="262">
        <f>-sigma_r+SQRT(sigma_r^2-2*Tabella34[[#This Row],[c_r]])</f>
        <v>2.2000907383447412</v>
      </c>
      <c r="AT156" s="262">
        <f>-sigma_r-SQRT(sigma_r^2-2*Tabella34[[#This Row],[c_r]])</f>
        <v>-2.8809453355384704</v>
      </c>
      <c r="AU156" s="262">
        <f>mu_r-LN(alpha*Kr/(Tabella34[[#This Row],[Lombardy velocity]]*sigma_r*SQRTPI(2)))</f>
        <v>-3.1691705751978354</v>
      </c>
      <c r="AV156" s="262">
        <f>Tabella34[[#This Row],[t_alpha_r+plus]]</f>
        <v>12.190271251522148</v>
      </c>
      <c r="AW156" s="90">
        <f>IFERROR(-Kl*_xlfn.LOGNORM.DIST((Tabella34[[#This Row],[Day]]-pl),mu_l,sigma_l,FALSE)*(1+(LN((Tabella34[[#This Row],[Day]]-pl))-mu_l)/sigma_l^2)/(Tabella34[[#This Row],[Day]]-pl),0)</f>
        <v>-7.8315340191043958</v>
      </c>
      <c r="AX156" s="95">
        <f>Tabella34[[#This Row],[Lombardy acc. fit]]/y_l_peak</f>
        <v>-4.4549128793458306E-3</v>
      </c>
      <c r="AY156" s="157">
        <f>Tabella34[[#This Row],[Lombardy acc. fit]]*NOT(ISBLANK(Tabella34[[#This Row],[Lombardy data]]))</f>
        <v>0</v>
      </c>
      <c r="AZ156" s="95">
        <f>Tabella34[[#This Row],[Lombardy acc. fit]]+CIl</f>
        <v>2562.5507888973043</v>
      </c>
      <c r="BA156" s="95">
        <f>MAX(Tabella34[[#This Row],[Lombardy acc. fit]]-CIl,0)</f>
        <v>0</v>
      </c>
      <c r="BC156" s="10"/>
      <c r="BD156" s="10"/>
      <c r="BE156" s="95">
        <f>Tabella34[[#This Row],[rest of Italy data]]*NOT(ISBLANK(Tabella34[[#This Row],[rest of Italy data]]))</f>
        <v>0</v>
      </c>
      <c r="BF156" s="95">
        <f>Tabella8[[#This Row],[rest of Italy fit]]</f>
        <v>145143.05164218618</v>
      </c>
      <c r="BG156" s="157" t="e">
        <f>_xlfn.LOGNORM.INV(alpha*Tabella34[[#This Row],[rest of Italy cumul. Fit]]/Ko,mu_o,sigma_o)-(Tabella34[[#This Row],[Day]]-po)</f>
        <v>#NUM!</v>
      </c>
      <c r="BH156" s="95">
        <f>Tabella34[[#This Row],[rest of Italy cumul. Fit]]/Ka</f>
        <v>0.98069640904398159</v>
      </c>
      <c r="BI156" s="157">
        <f>IFERROR(Ko*_xlfn.LOGNORM.DIST((Tabella34[[#This Row],[Day]]-po),mu_o,sigma_o,FALSE),0)</f>
        <v>194.36186849445971</v>
      </c>
      <c r="BJ156" s="199">
        <f>Tabella34[[#This Row],[rest of Italy velocity]]/Tabella34[[#This Row],[rest of Italy cumul. Fit]]</f>
        <v>1.3391055672000763E-3</v>
      </c>
      <c r="BK156" s="254">
        <f>(LN(Tabella34[[#This Row],[Day]]-po)-mu_o)/sigma_o</f>
        <v>2.0683493757531348</v>
      </c>
      <c r="BL156" s="262">
        <f>EXP(mu_o+sigma_o*Tabella34[[#This Row],[x_o_alpha©+plus]])-(Tabella34[[#This Row],[Day]]-po)</f>
        <v>10.258928631010406</v>
      </c>
      <c r="BM156" s="262">
        <f>EXP(mu_o+sigma_o*Tabella34[[#This Row],[x_o_alpha©-minus]])-(Tabella34[[#This Row],[Day]]-po)</f>
        <v>-89.364968723304997</v>
      </c>
      <c r="BN156" s="262">
        <f>-sigma_o+SQRT(sigma_o^2-2*Tabella34[[#This Row],[c_o]])</f>
        <v>2.3426474934851442</v>
      </c>
      <c r="BO156" s="262">
        <f>-sigma_o-SQRT(sigma_o^2-2*Tabella34[[#This Row],[c_o]])</f>
        <v>-2.9856202707841706</v>
      </c>
      <c r="BP156" s="262">
        <f>mu_o-LN(alpha*Ko/(Tabella34[[#This Row],[rest of Italy velocity]]*sigma_o*SQRTPI(2)))</f>
        <v>-3.4971279219254869</v>
      </c>
      <c r="BQ156" s="262">
        <f>Tabella34[[#This Row],[t_alpha_o+plus]]</f>
        <v>10.258928631010406</v>
      </c>
      <c r="BR156" s="90">
        <f>IFERROR(-Ka*_xlfn.LOGNORM.DIST((Tabella34[[#This Row],[Day]]-pa),mu_a,sigma_a,FALSE)*(1+(LN((Tabella34[[#This Row],[Day]]-pa))-mu_a)/sigma_a^2)/(Tabella34[[#This Row],[Day]]-pa),0)</f>
        <v>-12.983427790059627</v>
      </c>
      <c r="BS156" s="95">
        <f>Tabella34[[#This Row],[rest of Italy acc. fit]]/y_a_peak</f>
        <v>-3.8422180781535389E-3</v>
      </c>
      <c r="BT156" s="136">
        <f>Tabella34[[#This Row],[rest of Italy acc. fit]]*NOT(ISBLANK(Tabella34[[#This Row],[rest of Italy data]]))</f>
        <v>0</v>
      </c>
      <c r="BU156" s="205"/>
      <c r="BV156" s="137"/>
    </row>
    <row r="157" spans="2:74" x14ac:dyDescent="0.3">
      <c r="B157" s="281">
        <v>43980</v>
      </c>
      <c r="C157" s="4">
        <v>150</v>
      </c>
      <c r="E157" s="10"/>
      <c r="F157" s="10"/>
      <c r="G157" s="136">
        <f>Tabella34[[#This Row],[Spain daily cases]]*NOT(ISBLANK(Tabella34[[#This Row],[Spain daily cases]]))</f>
        <v>0</v>
      </c>
      <c r="H157" s="157">
        <f>Tabella8[[#This Row],[Spain cum. fit]]</f>
        <v>275793.69406395667</v>
      </c>
      <c r="I157" s="157" t="e">
        <f>_xlfn.LOGNORM.INV(alpha*Tabella34[[#This Row],[Spain cumul. Fit]]/Kt,mu_t,sigma_t)-(Tabella34[[#This Row],[Day]]-pt)</f>
        <v>#NUM!</v>
      </c>
      <c r="J157" s="157" t="e">
        <f>Tabella34[[#This Row],[Spain fitted d.t.]]/Spain_dt_at_lockdown</f>
        <v>#NUM!</v>
      </c>
      <c r="K157" s="95">
        <f>Tabella34[[#This Row],[Spain cumul. Fit]]/Kf</f>
        <v>0.98497784546024358</v>
      </c>
      <c r="L157" s="160"/>
      <c r="M157" s="95"/>
      <c r="N157" s="157">
        <f>IFERROR(Kt*_xlfn.LOGNORM.DIST((Tabella34[[#This Row],[Day]]-pt),mu_t,sigma_t,FALSE),0)</f>
        <v>341.5871457608398</v>
      </c>
      <c r="O157" s="157" t="e">
        <f>Kt*EXP(-0.5*Tabella34[[#This Row],[x_t]]^2)/(sigma_t*SQRTPI(2)*(Tabella34[[#This Row],[Day]]-D_bk))</f>
        <v>#NAME?</v>
      </c>
      <c r="P157" s="199">
        <f>Tabella34[[#This Row],[Spain fitted velocity]]/Tabella34[[#This Row],[Spain cumul. Fit]]</f>
        <v>1.2385603917456705E-3</v>
      </c>
      <c r="Q157" s="262">
        <f>(LN(Tabella34[[#This Row],[Day]]-pt)-mu_t)/sigma_t</f>
        <v>2.1695057396626911</v>
      </c>
      <c r="R157" s="262">
        <f>EXP(mu_t+sigma_t*Tabella34[[#This Row],[x_t_alpha©+plus]])-(Tabella34[[#This Row],[Day]]-pt)</f>
        <v>8.6840149580351067</v>
      </c>
      <c r="S157" s="262">
        <f>EXP(mu_t+sigma_t*Tabella34[[#This Row],[x_t_alpha©-minus]])-(Tabella34[[#This Row],[Day]]-pt)</f>
        <v>-86.6484974750487</v>
      </c>
      <c r="T157" s="262">
        <f>-sigma_t+SQRT(sigma_t^2-2*Tabella34[[#This Row],[c_t]])</f>
        <v>2.4389061362725237</v>
      </c>
      <c r="U157" s="262">
        <f>-sigma_t-SQRT(sigma_t^2-2*Tabella34[[#This Row],[c_t]])</f>
        <v>-2.9763454861156906</v>
      </c>
      <c r="V157" s="262">
        <f>mu_t-LN(alpha*Kt/(Tabella34[[#This Row],[Spain fitted velocity]]*sigma_t*SQRTPI(2)))</f>
        <v>-3.6295136348772932</v>
      </c>
      <c r="W157" s="262">
        <f>Tabella34[[#This Row],[Spain fitted g.r.]]/Spain_gr_at_lockdown</f>
        <v>5.9771733808235061E-3</v>
      </c>
      <c r="X157" s="262">
        <f>Tabella34[[#This Row],[t_alpha_t+plus]]</f>
        <v>8.6840149580351067</v>
      </c>
      <c r="Y157" s="262">
        <f>Tabella34[[#This Row],[Spain fitted h.t.]]/Spain_ht_at_lockdown</f>
        <v>0.14106456453602267</v>
      </c>
      <c r="Z157" s="90">
        <f>IFERROR(-Kf*_xlfn.LOGNORM.DIST((Tabella34[[#This Row],[Day]]-pf),mu_f,sigma_f,FALSE)*(1+(LN((Tabella34[[#This Row],[Day]]-pf))-mu_f)/sigma_f^2)/(Tabella34[[#This Row],[Day]]-pf),0)</f>
        <v>-26.795869420008792</v>
      </c>
      <c r="AA157" s="90">
        <f>Tabella34[[#This Row],[Spain acc. fit]]/Spain_acc_at_lockdown</f>
        <v>-9.131146479302521E-2</v>
      </c>
      <c r="AB157" s="95">
        <f>Tabella34[[#This Row],[Spain acc. fit]]/y_f_peak</f>
        <v>-4.0145634456417775E-3</v>
      </c>
      <c r="AC157" s="157">
        <f>Tabella34[[#This Row],[Colonna4]]*NOT(ISBLANK(Tabella34[[#This Row],[Spain daily cases]]))</f>
        <v>0</v>
      </c>
      <c r="AD157" s="157">
        <f>Tabella34[[#This Row],[Spain acc. fit]]*NOT(ISBLANK(Tabella34[[#This Row],[Spain daily cases]]))</f>
        <v>0</v>
      </c>
      <c r="AE157" s="95">
        <f>Tabella34[[#This Row],[Spain acc. fit]]+CIf</f>
        <v>2315.8925482610839</v>
      </c>
      <c r="AF157" s="95">
        <f>MAX(Tabella34[[#This Row],[Spain acc. fit]]-CIf,0)</f>
        <v>0</v>
      </c>
      <c r="AH157" s="10"/>
      <c r="AI157" s="10"/>
      <c r="AJ157" s="136">
        <f>Tabella34[[#This Row],[Lombardy data]]*NOT(ISBLANK(Tabella34[[#This Row],[Lombardy data]]))</f>
        <v>0</v>
      </c>
      <c r="AK157" s="95">
        <f>Tabella8[[#This Row],[Lombardy fit]]</f>
        <v>84698.210216405729</v>
      </c>
      <c r="AL157" s="157" t="e">
        <f>_xlfn.LOGNORM.INV(alpha*Tabella34[[#This Row],[Lombardy cumul. Fit]]/Kr,mu_r,sigma_r)-(Tabella34[[#This Row],[Day]]-pr)</f>
        <v>#NUM!</v>
      </c>
      <c r="AM157" s="95">
        <f>Tabella34[[#This Row],[Lombardy cumul. Fit]]/Kl</f>
        <v>0.97354264616558306</v>
      </c>
      <c r="AN157" s="95">
        <f>IFERROR(Kr*_xlfn.LOGNORM.DIST((Tabella34[[#This Row],[Day]]-pr),mu_r,sigma_r,FALSE),0)</f>
        <v>131.85711302205891</v>
      </c>
      <c r="AO157" s="202">
        <f>Tabella34[[#This Row],[Lombardy velocity]]/Tabella34[[#This Row],[Lombardy cumul. Fit]]</f>
        <v>1.5567874773877888E-3</v>
      </c>
      <c r="AP157" s="259">
        <f>(LN(Tabella34[[#This Row],[Day]]-pr)-mu_r)/sigma_r</f>
        <v>1.9356163394654162</v>
      </c>
      <c r="AQ157" s="262">
        <f>EXP(mu_r+sigma_r*Tabella34[[#This Row],[x_r_alpha©+plus]])-(Tabella34[[#This Row],[Day]]-pr)</f>
        <v>12.168789603381555</v>
      </c>
      <c r="AR157" s="262">
        <f>EXP(mu_r+sigma_r*Tabella34[[#This Row],[x_r_alpha©-minus]])-(Tabella34[[#This Row],[Day]]-pr)</f>
        <v>-95.90232712389043</v>
      </c>
      <c r="AS157" s="262">
        <f>-sigma_r+SQRT(sigma_r^2-2*Tabella34[[#This Row],[c_r]])</f>
        <v>2.2221239698626905</v>
      </c>
      <c r="AT157" s="262">
        <f>-sigma_r-SQRT(sigma_r^2-2*Tabella34[[#This Row],[c_r]])</f>
        <v>-2.9029785670564197</v>
      </c>
      <c r="AU157" s="262">
        <f>mu_r-LN(alpha*Kr/(Tabella34[[#This Row],[Lombardy velocity]]*sigma_r*SQRTPI(2)))</f>
        <v>-3.2253891289268584</v>
      </c>
      <c r="AV157" s="262">
        <f>Tabella34[[#This Row],[t_alpha_r+plus]]</f>
        <v>12.168789603381555</v>
      </c>
      <c r="AW157" s="90">
        <f>IFERROR(-Kl*_xlfn.LOGNORM.DIST((Tabella34[[#This Row],[Day]]-pl),mu_l,sigma_l,FALSE)*(1+(LN((Tabella34[[#This Row],[Day]]-pl))-mu_l)/sigma_l^2)/(Tabella34[[#This Row],[Day]]-pl),0)</f>
        <v>-7.422061508663786</v>
      </c>
      <c r="AX157" s="95">
        <f>Tabella34[[#This Row],[Lombardy acc. fit]]/y_l_peak</f>
        <v>-4.2219873303984551E-3</v>
      </c>
      <c r="AY157" s="157">
        <f>Tabella34[[#This Row],[Lombardy acc. fit]]*NOT(ISBLANK(Tabella34[[#This Row],[Lombardy data]]))</f>
        <v>0</v>
      </c>
      <c r="AZ157" s="95">
        <f>Tabella34[[#This Row],[Lombardy acc. fit]]+CIl</f>
        <v>2562.9602614077448</v>
      </c>
      <c r="BA157" s="95">
        <f>MAX(Tabella34[[#This Row],[Lombardy acc. fit]]-CIl,0)</f>
        <v>0</v>
      </c>
      <c r="BC157" s="10"/>
      <c r="BD157" s="10"/>
      <c r="BE157" s="95">
        <f>Tabella34[[#This Row],[rest of Italy data]]*NOT(ISBLANK(Tabella34[[#This Row],[rest of Italy data]]))</f>
        <v>0</v>
      </c>
      <c r="BF157" s="95">
        <f>Tabella8[[#This Row],[rest of Italy fit]]</f>
        <v>145331.05846446479</v>
      </c>
      <c r="BG157" s="157" t="e">
        <f>_xlfn.LOGNORM.INV(alpha*Tabella34[[#This Row],[rest of Italy cumul. Fit]]/Ko,mu_o,sigma_o)-(Tabella34[[#This Row],[Day]]-po)</f>
        <v>#NUM!</v>
      </c>
      <c r="BH157" s="95">
        <f>Tabella34[[#This Row],[rest of Italy cumul. Fit]]/Ka</f>
        <v>0.98196672555860842</v>
      </c>
      <c r="BI157" s="157">
        <f>IFERROR(Ko*_xlfn.LOGNORM.DIST((Tabella34[[#This Row],[Day]]-po),mu_o,sigma_o,FALSE),0)</f>
        <v>181.78644548575426</v>
      </c>
      <c r="BJ157" s="199">
        <f>Tabella34[[#This Row],[rest of Italy velocity]]/Tabella34[[#This Row],[rest of Italy cumul. Fit]]</f>
        <v>1.2508437453526374E-3</v>
      </c>
      <c r="BK157" s="254">
        <f>(LN(Tabella34[[#This Row],[Day]]-po)-mu_o)/sigma_o</f>
        <v>2.0961763635952395</v>
      </c>
      <c r="BL157" s="262">
        <f>EXP(mu_o+sigma_o*Tabella34[[#This Row],[x_o_alpha©+plus]])-(Tabella34[[#This Row],[Day]]-po)</f>
        <v>10.239321426952799</v>
      </c>
      <c r="BM157" s="262">
        <f>EXP(mu_o+sigma_o*Tabella34[[#This Row],[x_o_alpha©-minus]])-(Tabella34[[#This Row],[Day]]-po)</f>
        <v>-90.54034850086046</v>
      </c>
      <c r="BN157" s="262">
        <f>-sigma_o+SQRT(sigma_o^2-2*Tabella34[[#This Row],[c_o]])</f>
        <v>2.3676375476374636</v>
      </c>
      <c r="BO157" s="262">
        <f>-sigma_o-SQRT(sigma_o^2-2*Tabella34[[#This Row],[c_o]])</f>
        <v>-3.0106103249364899</v>
      </c>
      <c r="BP157" s="262">
        <f>mu_o-LN(alpha*Ko/(Tabella34[[#This Row],[rest of Italy velocity]]*sigma_o*SQRTPI(2)))</f>
        <v>-3.5640170233123296</v>
      </c>
      <c r="BQ157" s="262">
        <f>Tabella34[[#This Row],[t_alpha_o+plus]]</f>
        <v>10.239321426952799</v>
      </c>
      <c r="BR157" s="90">
        <f>IFERROR(-Ka*_xlfn.LOGNORM.DIST((Tabella34[[#This Row],[Day]]-pa),mu_a,sigma_a,FALSE)*(1+(LN((Tabella34[[#This Row],[Day]]-pa))-mu_a)/sigma_a^2)/(Tabella34[[#This Row],[Day]]-pa),0)</f>
        <v>-12.175372725427158</v>
      </c>
      <c r="BS157" s="95">
        <f>Tabella34[[#This Row],[rest of Italy acc. fit]]/y_a_peak</f>
        <v>-3.6030883330910339E-3</v>
      </c>
      <c r="BT157" s="136">
        <f>Tabella34[[#This Row],[rest of Italy acc. fit]]*NOT(ISBLANK(Tabella34[[#This Row],[rest of Italy data]]))</f>
        <v>0</v>
      </c>
      <c r="BU157" s="205"/>
      <c r="BV157" s="137"/>
    </row>
    <row r="158" spans="2:74" x14ac:dyDescent="0.3">
      <c r="B158" s="281">
        <v>43981</v>
      </c>
      <c r="C158" s="4">
        <v>151</v>
      </c>
      <c r="E158" s="10"/>
      <c r="F158" s="10"/>
      <c r="G158" s="136">
        <f>Tabella34[[#This Row],[Spain daily cases]]*NOT(ISBLANK(Tabella34[[#This Row],[Spain daily cases]]))</f>
        <v>0</v>
      </c>
      <c r="H158" s="157">
        <f>Tabella8[[#This Row],[Spain cum. fit]]</f>
        <v>276122.20788677584</v>
      </c>
      <c r="I158" s="157" t="e">
        <f>_xlfn.LOGNORM.INV(alpha*Tabella34[[#This Row],[Spain cumul. Fit]]/Kt,mu_t,sigma_t)-(Tabella34[[#This Row],[Day]]-pt)</f>
        <v>#NUM!</v>
      </c>
      <c r="J158" s="157" t="e">
        <f>Tabella34[[#This Row],[Spain fitted d.t.]]/Spain_dt_at_lockdown</f>
        <v>#NUM!</v>
      </c>
      <c r="K158" s="95">
        <f>Tabella34[[#This Row],[Spain cumul. Fit]]/Kf</f>
        <v>0.98615110954991958</v>
      </c>
      <c r="L158" s="160"/>
      <c r="M158" s="95"/>
      <c r="N158" s="157">
        <f>IFERROR(Kt*_xlfn.LOGNORM.DIST((Tabella34[[#This Row],[Day]]-pt),mu_t,sigma_t,FALSE),0)</f>
        <v>315.75976396446225</v>
      </c>
      <c r="O158" s="157" t="e">
        <f>Kt*EXP(-0.5*Tabella34[[#This Row],[x_t]]^2)/(sigma_t*SQRTPI(2)*(Tabella34[[#This Row],[Day]]-D_bk))</f>
        <v>#NAME?</v>
      </c>
      <c r="P158" s="199">
        <f>Tabella34[[#This Row],[Spain fitted velocity]]/Tabella34[[#This Row],[Spain cumul. Fit]]</f>
        <v>1.1435507718884381E-3</v>
      </c>
      <c r="Q158" s="262">
        <f>(LN(Tabella34[[#This Row],[Day]]-pt)-mu_t)/sigma_t</f>
        <v>2.2015405275770612</v>
      </c>
      <c r="R158" s="262">
        <f>EXP(mu_t+sigma_t*Tabella34[[#This Row],[x_t_alpha©+plus]])-(Tabella34[[#This Row],[Day]]-pt)</f>
        <v>8.6529049453424562</v>
      </c>
      <c r="S158" s="262">
        <f>EXP(mu_t+sigma_t*Tabella34[[#This Row],[x_t_alpha©-minus]])-(Tabella34[[#This Row],[Day]]-pt)</f>
        <v>-87.872846956020837</v>
      </c>
      <c r="T158" s="262">
        <f>-sigma_t+SQRT(sigma_t^2-2*Tabella34[[#This Row],[c_t]])</f>
        <v>2.4677890184993849</v>
      </c>
      <c r="U158" s="262">
        <f>-sigma_t-SQRT(sigma_t^2-2*Tabella34[[#This Row],[c_t]])</f>
        <v>-3.0052283683425518</v>
      </c>
      <c r="V158" s="262">
        <f>mu_t-LN(alpha*Kt/(Tabella34[[#This Row],[Spain fitted velocity]]*sigma_t*SQRTPI(2)))</f>
        <v>-3.708134782739287</v>
      </c>
      <c r="W158" s="262">
        <f>Tabella34[[#This Row],[Spain fitted g.r.]]/Spain_gr_at_lockdown</f>
        <v>5.5186660891989071E-3</v>
      </c>
      <c r="X158" s="262">
        <f>Tabella34[[#This Row],[t_alpha_t+plus]]</f>
        <v>8.6529049453424562</v>
      </c>
      <c r="Y158" s="262">
        <f>Tabella34[[#This Row],[Spain fitted h.t.]]/Spain_ht_at_lockdown</f>
        <v>0.1405592083828601</v>
      </c>
      <c r="Z158" s="90">
        <f>IFERROR(-Kf*_xlfn.LOGNORM.DIST((Tabella34[[#This Row],[Day]]-pf),mu_f,sigma_f,FALSE)*(1+(LN((Tabella34[[#This Row],[Day]]-pf))-mu_f)/sigma_f^2)/(Tabella34[[#This Row],[Day]]-pf),0)</f>
        <v>-24.880173181000682</v>
      </c>
      <c r="AA158" s="90">
        <f>Tabella34[[#This Row],[Spain acc. fit]]/Spain_acc_at_lockdown</f>
        <v>-8.478340530219558E-2</v>
      </c>
      <c r="AB158" s="95">
        <f>Tabella34[[#This Row],[Spain acc. fit]]/y_f_peak</f>
        <v>-3.7275533854892722E-3</v>
      </c>
      <c r="AC158" s="157">
        <f>Tabella34[[#This Row],[Colonna4]]*NOT(ISBLANK(Tabella34[[#This Row],[Spain daily cases]]))</f>
        <v>0</v>
      </c>
      <c r="AD158" s="157">
        <f>Tabella34[[#This Row],[Spain acc. fit]]*NOT(ISBLANK(Tabella34[[#This Row],[Spain daily cases]]))</f>
        <v>0</v>
      </c>
      <c r="AE158" s="95">
        <f>Tabella34[[#This Row],[Spain acc. fit]]+CIf</f>
        <v>2317.8082445000919</v>
      </c>
      <c r="AF158" s="95">
        <f>MAX(Tabella34[[#This Row],[Spain acc. fit]]-CIf,0)</f>
        <v>0</v>
      </c>
      <c r="AH158" s="10"/>
      <c r="AI158" s="10"/>
      <c r="AJ158" s="136">
        <f>Tabella34[[#This Row],[Lombardy data]]*NOT(ISBLANK(Tabella34[[#This Row],[Lombardy data]]))</f>
        <v>0</v>
      </c>
      <c r="AK158" s="95">
        <f>Tabella8[[#This Row],[Lombardy fit]]</f>
        <v>84826.422096802387</v>
      </c>
      <c r="AL158" s="157" t="e">
        <f>_xlfn.LOGNORM.INV(alpha*Tabella34[[#This Row],[Lombardy cumul. Fit]]/Kr,mu_r,sigma_r)-(Tabella34[[#This Row],[Day]]-pr)</f>
        <v>#NUM!</v>
      </c>
      <c r="AM158" s="95">
        <f>Tabella34[[#This Row],[Lombardy cumul. Fit]]/Kl</f>
        <v>0.97501634594025732</v>
      </c>
      <c r="AN158" s="95">
        <f>IFERROR(Kr*_xlfn.LOGNORM.DIST((Tabella34[[#This Row],[Day]]-pr),mu_r,sigma_r,FALSE),0)</f>
        <v>124.63164698013571</v>
      </c>
      <c r="AO158" s="202">
        <f>Tabella34[[#This Row],[Lombardy velocity]]/Tabella34[[#This Row],[Lombardy cumul. Fit]]</f>
        <v>1.469255025726634E-3</v>
      </c>
      <c r="AP158" s="259">
        <f>(LN(Tabella34[[#This Row],[Day]]-pr)-mu_r)/sigma_r</f>
        <v>1.9602437416228511</v>
      </c>
      <c r="AQ158" s="262">
        <f>EXP(mu_r+sigma_r*Tabella34[[#This Row],[x_r_alpha©+plus]])-(Tabella34[[#This Row],[Day]]-pr)</f>
        <v>12.148632631081853</v>
      </c>
      <c r="AR158" s="262">
        <f>EXP(mu_r+sigma_r*Tabella34[[#This Row],[x_r_alpha©-minus]])-(Tabella34[[#This Row],[Day]]-pr)</f>
        <v>-97.072227570764881</v>
      </c>
      <c r="AS158" s="262">
        <f>-sigma_r+SQRT(sigma_r^2-2*Tabella34[[#This Row],[c_r]])</f>
        <v>2.2440226615349932</v>
      </c>
      <c r="AT158" s="262">
        <f>-sigma_r-SQRT(sigma_r^2-2*Tabella34[[#This Row],[c_r]])</f>
        <v>-2.9248772587287224</v>
      </c>
      <c r="AU158" s="262">
        <f>mu_r-LN(alpha*Kr/(Tabella34[[#This Row],[Lombardy velocity]]*sigma_r*SQRTPI(2)))</f>
        <v>-3.2817454253978013</v>
      </c>
      <c r="AV158" s="262">
        <f>Tabella34[[#This Row],[t_alpha_r+plus]]</f>
        <v>12.148632631081853</v>
      </c>
      <c r="AW158" s="90">
        <f>IFERROR(-Kl*_xlfn.LOGNORM.DIST((Tabella34[[#This Row],[Day]]-pl),mu_l,sigma_l,FALSE)*(1+(LN((Tabella34[[#This Row],[Day]]-pl))-mu_l)/sigma_l^2)/(Tabella34[[#This Row],[Day]]-pl),0)</f>
        <v>-7.032054152847282</v>
      </c>
      <c r="AX158" s="95">
        <f>Tabella34[[#This Row],[Lombardy acc. fit]]/y_l_peak</f>
        <v>-4.0001343973424036E-3</v>
      </c>
      <c r="AY158" s="157">
        <f>Tabella34[[#This Row],[Lombardy acc. fit]]*NOT(ISBLANK(Tabella34[[#This Row],[Lombardy data]]))</f>
        <v>0</v>
      </c>
      <c r="AZ158" s="95">
        <f>Tabella34[[#This Row],[Lombardy acc. fit]]+CIl</f>
        <v>2563.3502687635614</v>
      </c>
      <c r="BA158" s="95">
        <f>MAX(Tabella34[[#This Row],[Lombardy acc. fit]]-CIl,0)</f>
        <v>0</v>
      </c>
      <c r="BC158" s="10"/>
      <c r="BD158" s="10"/>
      <c r="BE158" s="95">
        <f>Tabella34[[#This Row],[rest of Italy data]]*NOT(ISBLANK(Tabella34[[#This Row],[rest of Italy data]]))</f>
        <v>0</v>
      </c>
      <c r="BF158" s="95">
        <f>Tabella8[[#This Row],[rest of Italy fit]]</f>
        <v>145506.8860325217</v>
      </c>
      <c r="BG158" s="157" t="e">
        <f>_xlfn.LOGNORM.INV(alpha*Tabella34[[#This Row],[rest of Italy cumul. Fit]]/Ko,mu_o,sigma_o)-(Tabella34[[#This Row],[Day]]-po)</f>
        <v>#NUM!</v>
      </c>
      <c r="BH158" s="95">
        <f>Tabella34[[#This Row],[rest of Italy cumul. Fit]]/Ka</f>
        <v>0.98315474980540063</v>
      </c>
      <c r="BI158" s="157">
        <f>IFERROR(Ko*_xlfn.LOGNORM.DIST((Tabella34[[#This Row],[Day]]-po),mu_o,sigma_o,FALSE),0)</f>
        <v>169.99559676494684</v>
      </c>
      <c r="BJ158" s="199">
        <f>Tabella34[[#This Row],[rest of Italy velocity]]/Tabella34[[#This Row],[rest of Italy cumul. Fit]]</f>
        <v>1.1682993252082362E-3</v>
      </c>
      <c r="BK158" s="254">
        <f>(LN(Tabella34[[#This Row],[Day]]-po)-mu_o)/sigma_o</f>
        <v>2.1237566169200575</v>
      </c>
      <c r="BL158" s="262">
        <f>EXP(mu_o+sigma_o*Tabella34[[#This Row],[x_o_alpha©+plus]])-(Tabella34[[#This Row],[Day]]-po)</f>
        <v>10.220987500932836</v>
      </c>
      <c r="BM158" s="262">
        <f>EXP(mu_o+sigma_o*Tabella34[[#This Row],[x_o_alpha©-minus]])-(Tabella34[[#This Row],[Day]]-po)</f>
        <v>-91.7131662345043</v>
      </c>
      <c r="BN158" s="262">
        <f>-sigma_o+SQRT(sigma_o^2-2*Tabella34[[#This Row],[c_o]])</f>
        <v>2.3924605005520423</v>
      </c>
      <c r="BO158" s="262">
        <f>-sigma_o-SQRT(sigma_o^2-2*Tabella34[[#This Row],[c_o]])</f>
        <v>-3.0354332778510686</v>
      </c>
      <c r="BP158" s="262">
        <f>mu_o-LN(alpha*Ko/(Tabella34[[#This Row],[rest of Italy velocity]]*sigma_o*SQRTPI(2)))</f>
        <v>-3.6310771096599463</v>
      </c>
      <c r="BQ158" s="262">
        <f>Tabella34[[#This Row],[t_alpha_o+plus]]</f>
        <v>10.220987500932836</v>
      </c>
      <c r="BR158" s="90">
        <f>IFERROR(-Ka*_xlfn.LOGNORM.DIST((Tabella34[[#This Row],[Day]]-pa),mu_a,sigma_a,FALSE)*(1+(LN((Tabella34[[#This Row],[Day]]-pa))-mu_a)/sigma_a^2)/(Tabella34[[#This Row],[Day]]-pa),0)</f>
        <v>-11.413898257708926</v>
      </c>
      <c r="BS158" s="95">
        <f>Tabella34[[#This Row],[rest of Italy acc. fit]]/y_a_peak</f>
        <v>-3.3777432999281161E-3</v>
      </c>
      <c r="BT158" s="136">
        <f>Tabella34[[#This Row],[rest of Italy acc. fit]]*NOT(ISBLANK(Tabella34[[#This Row],[rest of Italy data]]))</f>
        <v>0</v>
      </c>
      <c r="BU158" s="205"/>
      <c r="BV158" s="137"/>
    </row>
    <row r="159" spans="2:74" x14ac:dyDescent="0.3">
      <c r="B159" s="281">
        <v>43982</v>
      </c>
      <c r="C159" s="4">
        <v>152</v>
      </c>
      <c r="E159" s="10"/>
      <c r="F159" s="10"/>
      <c r="G159" s="136">
        <f>Tabella34[[#This Row],[Spain daily cases]]*NOT(ISBLANK(Tabella34[[#This Row],[Spain daily cases]]))</f>
        <v>0</v>
      </c>
      <c r="H159" s="157">
        <f>Tabella8[[#This Row],[Spain cum. fit]]</f>
        <v>276425.83117484231</v>
      </c>
      <c r="I159" s="157" t="e">
        <f>_xlfn.LOGNORM.INV(alpha*Tabella34[[#This Row],[Spain cumul. Fit]]/Kt,mu_t,sigma_t)-(Tabella34[[#This Row],[Day]]-pt)</f>
        <v>#NUM!</v>
      </c>
      <c r="J159" s="157" t="e">
        <f>Tabella34[[#This Row],[Spain fitted d.t.]]/Spain_dt_at_lockdown</f>
        <v>#NUM!</v>
      </c>
      <c r="K159" s="95">
        <f>Tabella34[[#This Row],[Spain cumul. Fit]]/Kf</f>
        <v>0.98723547883953033</v>
      </c>
      <c r="L159" s="160"/>
      <c r="M159" s="95"/>
      <c r="N159" s="157">
        <f>IFERROR(Kt*_xlfn.LOGNORM.DIST((Tabella34[[#This Row],[Day]]-pt),mu_t,sigma_t,FALSE),0)</f>
        <v>291.7853523798405</v>
      </c>
      <c r="O159" s="157" t="e">
        <f>Kt*EXP(-0.5*Tabella34[[#This Row],[x_t]]^2)/(sigma_t*SQRTPI(2)*(Tabella34[[#This Row],[Day]]-D_bk))</f>
        <v>#NAME?</v>
      </c>
      <c r="P159" s="199">
        <f>Tabella34[[#This Row],[Spain fitted velocity]]/Tabella34[[#This Row],[Spain cumul. Fit]]</f>
        <v>1.0555647102143762E-3</v>
      </c>
      <c r="Q159" s="262">
        <f>(LN(Tabella34[[#This Row],[Day]]-pt)-mu_t)/sigma_t</f>
        <v>2.2333018999249687</v>
      </c>
      <c r="R159" s="262">
        <f>EXP(mu_t+sigma_t*Tabella34[[#This Row],[x_t_alpha©+plus]])-(Tabella34[[#This Row],[Day]]-pt)</f>
        <v>8.6233045220509581</v>
      </c>
      <c r="S159" s="262">
        <f>EXP(mu_t+sigma_t*Tabella34[[#This Row],[x_t_alpha©-minus]])-(Tabella34[[#This Row],[Day]]-pt)</f>
        <v>-89.094095541798396</v>
      </c>
      <c r="T159" s="262">
        <f>-sigma_t+SQRT(sigma_t^2-2*Tabella34[[#This Row],[c_t]])</f>
        <v>2.496493937463093</v>
      </c>
      <c r="U159" s="262">
        <f>-sigma_t-SQRT(sigma_t^2-2*Tabella34[[#This Row],[c_t]])</f>
        <v>-3.0339332873062599</v>
      </c>
      <c r="V159" s="262">
        <f>mu_t-LN(alpha*Kt/(Tabella34[[#This Row],[Spain fitted velocity]]*sigma_t*SQRTPI(2)))</f>
        <v>-3.7870980292137748</v>
      </c>
      <c r="W159" s="262">
        <f>Tabella34[[#This Row],[Spain fitted g.r.]]/Spain_gr_at_lockdown</f>
        <v>5.0940538141523387E-3</v>
      </c>
      <c r="X159" s="262">
        <f>Tabella34[[#This Row],[t_alpha_t+plus]]</f>
        <v>8.6233045220509581</v>
      </c>
      <c r="Y159" s="262">
        <f>Tabella34[[#This Row],[Spain fitted h.t.]]/Spain_ht_at_lockdown</f>
        <v>0.14007837424774228</v>
      </c>
      <c r="Z159" s="90">
        <f>IFERROR(-Kf*_xlfn.LOGNORM.DIST((Tabella34[[#This Row],[Day]]-pf),mu_f,sigma_f,FALSE)*(1+(LN((Tabella34[[#This Row],[Day]]-pf))-mu_f)/sigma_f^2)/(Tabella34[[#This Row],[Day]]-pf),0)</f>
        <v>-23.088822389688033</v>
      </c>
      <c r="AA159" s="90">
        <f>Tabella34[[#This Row],[Spain acc. fit]]/Spain_acc_at_lockdown</f>
        <v>-7.8679073990938986E-2</v>
      </c>
      <c r="AB159" s="95">
        <f>Tabella34[[#This Row],[Spain acc. fit]]/y_f_peak</f>
        <v>-3.459172789495053E-3</v>
      </c>
      <c r="AC159" s="157">
        <f>Tabella34[[#This Row],[Colonna4]]*NOT(ISBLANK(Tabella34[[#This Row],[Spain daily cases]]))</f>
        <v>0</v>
      </c>
      <c r="AD159" s="157">
        <f>Tabella34[[#This Row],[Spain acc. fit]]*NOT(ISBLANK(Tabella34[[#This Row],[Spain daily cases]]))</f>
        <v>0</v>
      </c>
      <c r="AE159" s="95">
        <f>Tabella34[[#This Row],[Spain acc. fit]]+CIf</f>
        <v>2319.5995952914045</v>
      </c>
      <c r="AF159" s="95">
        <f>MAX(Tabella34[[#This Row],[Spain acc. fit]]-CIf,0)</f>
        <v>0</v>
      </c>
      <c r="AH159" s="10"/>
      <c r="AI159" s="10"/>
      <c r="AJ159" s="136">
        <f>Tabella34[[#This Row],[Lombardy data]]*NOT(ISBLANK(Tabella34[[#This Row],[Lombardy data]]))</f>
        <v>0</v>
      </c>
      <c r="AK159" s="95">
        <f>Tabella8[[#This Row],[Lombardy fit]]</f>
        <v>84947.600361458666</v>
      </c>
      <c r="AL159" s="157" t="e">
        <f>_xlfn.LOGNORM.INV(alpha*Tabella34[[#This Row],[Lombardy cumul. Fit]]/Kr,mu_r,sigma_r)-(Tabella34[[#This Row],[Day]]-pr)</f>
        <v>#NUM!</v>
      </c>
      <c r="AM159" s="95">
        <f>Tabella34[[#This Row],[Lombardy cumul. Fit]]/Kl</f>
        <v>0.97640919955699612</v>
      </c>
      <c r="AN159" s="95">
        <f>IFERROR(Kr*_xlfn.LOGNORM.DIST((Tabella34[[#This Row],[Day]]-pr),mu_r,sigma_r,FALSE),0)</f>
        <v>117.78675833389015</v>
      </c>
      <c r="AO159" s="202">
        <f>Tabella34[[#This Row],[Lombardy velocity]]/Tabella34[[#This Row],[Lombardy cumul. Fit]]</f>
        <v>1.3865813493577016E-3</v>
      </c>
      <c r="AP159" s="259">
        <f>(LN(Tabella34[[#This Row],[Day]]-pr)-mu_r)/sigma_r</f>
        <v>1.9846663870396628</v>
      </c>
      <c r="AQ159" s="262">
        <f>EXP(mu_r+sigma_r*Tabella34[[#This Row],[x_r_alpha©+plus]])-(Tabella34[[#This Row],[Day]]-pr)</f>
        <v>12.129746291493888</v>
      </c>
      <c r="AR159" s="262">
        <f>EXP(mu_r+sigma_r*Tabella34[[#This Row],[x_r_alpha©-minus]])-(Tabella34[[#This Row],[Day]]-pr)</f>
        <v>-98.239838328008815</v>
      </c>
      <c r="AS159" s="262">
        <f>-sigma_r+SQRT(sigma_r^2-2*Tabella34[[#This Row],[c_r]])</f>
        <v>2.2657873909685868</v>
      </c>
      <c r="AT159" s="262">
        <f>-sigma_r-SQRT(sigma_r^2-2*Tabella34[[#This Row],[c_r]])</f>
        <v>-2.946641988162316</v>
      </c>
      <c r="AU159" s="262">
        <f>mu_r-LN(alpha*Kr/(Tabella34[[#This Row],[Lombardy velocity]]*sigma_r*SQRTPI(2)))</f>
        <v>-3.3382321312383922</v>
      </c>
      <c r="AV159" s="262">
        <f>Tabella34[[#This Row],[t_alpha_r+plus]]</f>
        <v>12.129746291493888</v>
      </c>
      <c r="AW159" s="90">
        <f>IFERROR(-Kl*_xlfn.LOGNORM.DIST((Tabella34[[#This Row],[Day]]-pl),mu_l,sigma_l,FALSE)*(1+(LN((Tabella34[[#This Row],[Day]]-pl))-mu_l)/sigma_l^2)/(Tabella34[[#This Row],[Day]]-pl),0)</f>
        <v>-6.6607861381723907</v>
      </c>
      <c r="AX159" s="95">
        <f>Tabella34[[#This Row],[Lombardy acc. fit]]/y_l_peak</f>
        <v>-3.7889412062983995E-3</v>
      </c>
      <c r="AY159" s="157">
        <f>Tabella34[[#This Row],[Lombardy acc. fit]]*NOT(ISBLANK(Tabella34[[#This Row],[Lombardy data]]))</f>
        <v>0</v>
      </c>
      <c r="AZ159" s="95">
        <f>Tabella34[[#This Row],[Lombardy acc. fit]]+CIl</f>
        <v>2563.7215367782364</v>
      </c>
      <c r="BA159" s="95">
        <f>MAX(Tabella34[[#This Row],[Lombardy acc. fit]]-CIl,0)</f>
        <v>0</v>
      </c>
      <c r="BC159" s="10"/>
      <c r="BD159" s="10"/>
      <c r="BE159" s="95">
        <f>Tabella34[[#This Row],[rest of Italy data]]*NOT(ISBLANK(Tabella34[[#This Row],[rest of Italy data]]))</f>
        <v>0</v>
      </c>
      <c r="BF159" s="95">
        <f>Tabella8[[#This Row],[rest of Italy fit]]</f>
        <v>145671.29600902554</v>
      </c>
      <c r="BG159" s="157" t="e">
        <f>_xlfn.LOGNORM.INV(alpha*Tabella34[[#This Row],[rest of Italy cumul. Fit]]/Ko,mu_o,sigma_o)-(Tabella34[[#This Row],[Day]]-po)</f>
        <v>#NUM!</v>
      </c>
      <c r="BH159" s="95">
        <f>Tabella34[[#This Row],[rest of Italy cumul. Fit]]/Ka</f>
        <v>0.98426562815434027</v>
      </c>
      <c r="BI159" s="157">
        <f>IFERROR(Ko*_xlfn.LOGNORM.DIST((Tabella34[[#This Row],[Day]]-po),mu_o,sigma_o,FALSE),0)</f>
        <v>158.94387545912204</v>
      </c>
      <c r="BJ159" s="199">
        <f>Tabella34[[#This Row],[rest of Italy velocity]]/Tabella34[[#This Row],[rest of Italy cumul. Fit]]</f>
        <v>1.0911132104520725E-3</v>
      </c>
      <c r="BK159" s="254">
        <f>(LN(Tabella34[[#This Row],[Day]]-po)-mu_o)/sigma_o</f>
        <v>2.1510944727594321</v>
      </c>
      <c r="BL159" s="262">
        <f>EXP(mu_o+sigma_o*Tabella34[[#This Row],[x_o_alpha©+plus]])-(Tabella34[[#This Row],[Day]]-po)</f>
        <v>10.203871386882113</v>
      </c>
      <c r="BM159" s="262">
        <f>EXP(mu_o+sigma_o*Tabella34[[#This Row],[x_o_alpha©-minus]])-(Tabella34[[#This Row],[Day]]-po)</f>
        <v>-92.88346769751557</v>
      </c>
      <c r="BN159" s="262">
        <f>-sigma_o+SQRT(sigma_o^2-2*Tabella34[[#This Row],[c_o]])</f>
        <v>2.4171173572994498</v>
      </c>
      <c r="BO159" s="262">
        <f>-sigma_o-SQRT(sigma_o^2-2*Tabella34[[#This Row],[c_o]])</f>
        <v>-3.0600901345984761</v>
      </c>
      <c r="BP159" s="262">
        <f>mu_o-LN(alpha*Ko/(Tabella34[[#This Row],[rest of Italy velocity]]*sigma_o*SQRTPI(2)))</f>
        <v>-3.6982984896193924</v>
      </c>
      <c r="BQ159" s="262">
        <f>Tabella34[[#This Row],[t_alpha_o+plus]]</f>
        <v>10.203871386882113</v>
      </c>
      <c r="BR159" s="90">
        <f>IFERROR(-Ka*_xlfn.LOGNORM.DIST((Tabella34[[#This Row],[Day]]-pa),mu_a,sigma_a,FALSE)*(1+(LN((Tabella34[[#This Row],[Day]]-pa))-mu_a)/sigma_a^2)/(Tabella34[[#This Row],[Day]]-pa),0)</f>
        <v>-10.696746301728808</v>
      </c>
      <c r="BS159" s="95">
        <f>Tabella34[[#This Row],[rest of Italy acc. fit]]/y_a_peak</f>
        <v>-3.1655147379023303E-3</v>
      </c>
      <c r="BT159" s="136">
        <f>Tabella34[[#This Row],[rest of Italy acc. fit]]*NOT(ISBLANK(Tabella34[[#This Row],[rest of Italy data]]))</f>
        <v>0</v>
      </c>
      <c r="BU159" s="205"/>
      <c r="BV159" s="137"/>
    </row>
    <row r="160" spans="2:74" x14ac:dyDescent="0.3">
      <c r="B160" s="281">
        <v>43983</v>
      </c>
      <c r="C160" s="4">
        <v>153</v>
      </c>
      <c r="E160" s="10"/>
      <c r="F160" s="10"/>
      <c r="G160" s="136">
        <f>Tabella34[[#This Row],[Spain daily cases]]*NOT(ISBLANK(Tabella34[[#This Row],[Spain daily cases]]))</f>
        <v>0</v>
      </c>
      <c r="H160" s="157">
        <f>Tabella8[[#This Row],[Spain cum. fit]]</f>
        <v>276706.35582642589</v>
      </c>
      <c r="I160" s="157" t="e">
        <f>_xlfn.LOGNORM.INV(alpha*Tabella34[[#This Row],[Spain cumul. Fit]]/Kt,mu_t,sigma_t)-(Tabella34[[#This Row],[Day]]-pt)</f>
        <v>#NUM!</v>
      </c>
      <c r="J160" s="157" t="e">
        <f>Tabella34[[#This Row],[Spain fitted d.t.]]/Spain_dt_at_lockdown</f>
        <v>#NUM!</v>
      </c>
      <c r="K160" s="95">
        <f>Tabella34[[#This Row],[Spain cumul. Fit]]/Kf</f>
        <v>0.98823735296813608</v>
      </c>
      <c r="L160" s="160"/>
      <c r="M160" s="95"/>
      <c r="N160" s="157">
        <f>IFERROR(Kt*_xlfn.LOGNORM.DIST((Tabella34[[#This Row],[Day]]-pt),mu_t,sigma_t,FALSE),0)</f>
        <v>269.54286191969862</v>
      </c>
      <c r="O160" s="157" t="e">
        <f>Kt*EXP(-0.5*Tabella34[[#This Row],[x_t]]^2)/(sigma_t*SQRTPI(2)*(Tabella34[[#This Row],[Day]]-D_bk))</f>
        <v>#NAME?</v>
      </c>
      <c r="P160" s="199">
        <f>Tabella34[[#This Row],[Spain fitted velocity]]/Tabella34[[#This Row],[Spain cumul. Fit]]</f>
        <v>9.7411156716898533E-4</v>
      </c>
      <c r="Q160" s="262">
        <f>(LN(Tabella34[[#This Row],[Day]]-pt)-mu_t)/sigma_t</f>
        <v>2.2647944844176506</v>
      </c>
      <c r="R160" s="262">
        <f>EXP(mu_t+sigma_t*Tabella34[[#This Row],[x_t_alpha©+plus]])-(Tabella34[[#This Row],[Day]]-pt)</f>
        <v>8.5951444168514115</v>
      </c>
      <c r="S160" s="262">
        <f>EXP(mu_t+sigma_t*Tabella34[[#This Row],[x_t_alpha©-minus]])-(Tabella34[[#This Row],[Day]]-pt)</f>
        <v>-90.312290860146845</v>
      </c>
      <c r="T160" s="262">
        <f>-sigma_t+SQRT(sigma_t^2-2*Tabella34[[#This Row],[c_t]])</f>
        <v>2.525021250198761</v>
      </c>
      <c r="U160" s="262">
        <f>-sigma_t-SQRT(sigma_t^2-2*Tabella34[[#This Row],[c_t]])</f>
        <v>-3.0624606000419279</v>
      </c>
      <c r="V160" s="262">
        <f>mu_t-LN(alpha*Kt/(Tabella34[[#This Row],[Spain fitted velocity]]*sigma_t*SQRTPI(2)))</f>
        <v>-3.8663890465011583</v>
      </c>
      <c r="W160" s="262">
        <f>Tabella34[[#This Row],[Spain fitted g.r.]]/Spain_gr_at_lockdown</f>
        <v>4.7009687763617126E-3</v>
      </c>
      <c r="X160" s="262">
        <f>Tabella34[[#This Row],[t_alpha_t+plus]]</f>
        <v>8.5951444168514115</v>
      </c>
      <c r="Y160" s="262">
        <f>Tabella34[[#This Row],[Spain fitted h.t.]]/Spain_ht_at_lockdown</f>
        <v>0.13962093687615104</v>
      </c>
      <c r="Z160" s="90">
        <f>IFERROR(-Kf*_xlfn.LOGNORM.DIST((Tabella34[[#This Row],[Day]]-pf),mu_f,sigma_f,FALSE)*(1+(LN((Tabella34[[#This Row],[Day]]-pf))-mu_f)/sigma_f^2)/(Tabella34[[#This Row],[Day]]-pf),0)</f>
        <v>-21.415248746943398</v>
      </c>
      <c r="AA160" s="90">
        <f>Tabella34[[#This Row],[Spain acc. fit]]/Spain_acc_at_lockdown</f>
        <v>-7.2976088267180314E-2</v>
      </c>
      <c r="AB160" s="95">
        <f>Tabella34[[#This Row],[Spain acc. fit]]/y_f_peak</f>
        <v>-3.2084375935422299E-3</v>
      </c>
      <c r="AC160" s="157">
        <f>Tabella34[[#This Row],[Colonna4]]*NOT(ISBLANK(Tabella34[[#This Row],[Spain daily cases]]))</f>
        <v>0</v>
      </c>
      <c r="AD160" s="157">
        <f>Tabella34[[#This Row],[Spain acc. fit]]*NOT(ISBLANK(Tabella34[[#This Row],[Spain daily cases]]))</f>
        <v>0</v>
      </c>
      <c r="AE160" s="95">
        <f>Tabella34[[#This Row],[Spain acc. fit]]+CIf</f>
        <v>2321.2731689341495</v>
      </c>
      <c r="AF160" s="95">
        <f>MAX(Tabella34[[#This Row],[Spain acc. fit]]-CIf,0)</f>
        <v>0</v>
      </c>
      <c r="AH160" s="10"/>
      <c r="AI160" s="10"/>
      <c r="AJ160" s="136">
        <f>Tabella34[[#This Row],[Lombardy data]]*NOT(ISBLANK(Tabella34[[#This Row],[Lombardy data]]))</f>
        <v>0</v>
      </c>
      <c r="AK160" s="95">
        <f>Tabella8[[#This Row],[Lombardy fit]]</f>
        <v>85062.116338405118</v>
      </c>
      <c r="AL160" s="157" t="e">
        <f>_xlfn.LOGNORM.INV(alpha*Tabella34[[#This Row],[Lombardy cumul. Fit]]/Kr,mu_r,sigma_r)-(Tabella34[[#This Row],[Day]]-pr)</f>
        <v>#NUM!</v>
      </c>
      <c r="AM160" s="95">
        <f>Tabella34[[#This Row],[Lombardy cumul. Fit]]/Kl</f>
        <v>0.97772547515408181</v>
      </c>
      <c r="AN160" s="95">
        <f>IFERROR(Kr*_xlfn.LOGNORM.DIST((Tabella34[[#This Row],[Day]]-pr),mu_r,sigma_r,FALSE),0)</f>
        <v>111.30406836968926</v>
      </c>
      <c r="AO160" s="202">
        <f>Tabella34[[#This Row],[Lombardy velocity]]/Tabella34[[#This Row],[Lombardy cumul. Fit]]</f>
        <v>1.3085033991734349E-3</v>
      </c>
      <c r="AP160" s="259">
        <f>(LN(Tabella34[[#This Row],[Day]]-pr)-mu_r)/sigma_r</f>
        <v>2.0088876524307455</v>
      </c>
      <c r="AQ160" s="262">
        <f>EXP(mu_r+sigma_r*Tabella34[[#This Row],[x_r_alpha©+plus]])-(Tabella34[[#This Row],[Day]]-pr)</f>
        <v>12.112079318707629</v>
      </c>
      <c r="AR160" s="262">
        <f>EXP(mu_r+sigma_r*Tabella34[[#This Row],[x_r_alpha©-minus]])-(Tabella34[[#This Row],[Day]]-pr)</f>
        <v>-99.405196392218357</v>
      </c>
      <c r="AS160" s="262">
        <f>-sigma_r+SQRT(sigma_r^2-2*Tabella34[[#This Row],[c_r]])</f>
        <v>2.2874187966381192</v>
      </c>
      <c r="AT160" s="262">
        <f>-sigma_r-SQRT(sigma_r^2-2*Tabella34[[#This Row],[c_r]])</f>
        <v>-2.9682733938318484</v>
      </c>
      <c r="AU160" s="262">
        <f>mu_r-LN(alpha*Kr/(Tabella34[[#This Row],[Lombardy velocity]]*sigma_r*SQRTPI(2)))</f>
        <v>-3.3948421773058959</v>
      </c>
      <c r="AV160" s="262">
        <f>Tabella34[[#This Row],[t_alpha_r+plus]]</f>
        <v>12.112079318707629</v>
      </c>
      <c r="AW160" s="90">
        <f>IFERROR(-Kl*_xlfn.LOGNORM.DIST((Tabella34[[#This Row],[Day]]-pl),mu_l,sigma_l,FALSE)*(1+(LN((Tabella34[[#This Row],[Day]]-pl))-mu_l)/sigma_l^2)/(Tabella34[[#This Row],[Day]]-pl),0)</f>
        <v>-6.3075374107600348</v>
      </c>
      <c r="AX160" s="95">
        <f>Tabella34[[#This Row],[Lombardy acc. fit]]/y_l_peak</f>
        <v>-3.5879981596969378E-3</v>
      </c>
      <c r="AY160" s="157">
        <f>Tabella34[[#This Row],[Lombardy acc. fit]]*NOT(ISBLANK(Tabella34[[#This Row],[Lombardy data]]))</f>
        <v>0</v>
      </c>
      <c r="AZ160" s="95">
        <f>Tabella34[[#This Row],[Lombardy acc. fit]]+CIl</f>
        <v>2564.0747855056484</v>
      </c>
      <c r="BA160" s="95">
        <f>MAX(Tabella34[[#This Row],[Lombardy acc. fit]]-CIl,0)</f>
        <v>0</v>
      </c>
      <c r="BC160" s="10"/>
      <c r="BD160" s="10"/>
      <c r="BE160" s="95">
        <f>Tabella34[[#This Row],[rest of Italy data]]*NOT(ISBLANK(Tabella34[[#This Row],[rest of Italy data]]))</f>
        <v>0</v>
      </c>
      <c r="BF160" s="95">
        <f>Tabella8[[#This Row],[rest of Italy fit]]</f>
        <v>145825.00572919563</v>
      </c>
      <c r="BG160" s="157" t="e">
        <f>_xlfn.LOGNORM.INV(alpha*Tabella34[[#This Row],[rest of Italy cumul. Fit]]/Ko,mu_o,sigma_o)-(Tabella34[[#This Row],[Day]]-po)</f>
        <v>#NUM!</v>
      </c>
      <c r="BH160" s="95">
        <f>Tabella34[[#This Row],[rest of Italy cumul. Fit]]/Ka</f>
        <v>0.98530420746558134</v>
      </c>
      <c r="BI160" s="157">
        <f>IFERROR(Ko*_xlfn.LOGNORM.DIST((Tabella34[[#This Row],[Day]]-po),mu_o,sigma_o,FALSE),0)</f>
        <v>148.58806367499781</v>
      </c>
      <c r="BJ160" s="199">
        <f>Tabella34[[#This Row],[rest of Italy velocity]]/Tabella34[[#This Row],[rest of Italy cumul. Fit]]</f>
        <v>1.0189477650419799E-3</v>
      </c>
      <c r="BK160" s="254">
        <f>(LN(Tabella34[[#This Row],[Day]]-po)-mu_o)/sigma_o</f>
        <v>2.1781941547880224</v>
      </c>
      <c r="BL160" s="262">
        <f>EXP(mu_o+sigma_o*Tabella34[[#This Row],[x_o_alpha©+plus]])-(Tabella34[[#This Row],[Day]]-po)</f>
        <v>10.187920666807585</v>
      </c>
      <c r="BM160" s="262">
        <f>EXP(mu_o+sigma_o*Tabella34[[#This Row],[x_o_alpha©-minus]])-(Tabella34[[#This Row],[Day]]-po)</f>
        <v>-94.051298195500266</v>
      </c>
      <c r="BN160" s="262">
        <f>-sigma_o+SQRT(sigma_o^2-2*Tabella34[[#This Row],[c_o]])</f>
        <v>2.4416091906528137</v>
      </c>
      <c r="BO160" s="262">
        <f>-sigma_o-SQRT(sigma_o^2-2*Tabella34[[#This Row],[c_o]])</f>
        <v>-3.08458196795184</v>
      </c>
      <c r="BP160" s="262">
        <f>mu_o-LN(alpha*Ko/(Tabella34[[#This Row],[rest of Italy velocity]]*sigma_o*SQRTPI(2)))</f>
        <v>-3.7656718411365775</v>
      </c>
      <c r="BQ160" s="262">
        <f>Tabella34[[#This Row],[t_alpha_o+plus]]</f>
        <v>10.187920666807585</v>
      </c>
      <c r="BR160" s="90">
        <f>IFERROR(-Ka*_xlfn.LOGNORM.DIST((Tabella34[[#This Row],[Day]]-pa),mu_a,sigma_a,FALSE)*(1+(LN((Tabella34[[#This Row],[Day]]-pa))-mu_a)/sigma_a^2)/(Tabella34[[#This Row],[Day]]-pa),0)</f>
        <v>-10.021717955865695</v>
      </c>
      <c r="BS160" s="95">
        <f>Tabella34[[#This Row],[rest of Italy acc. fit]]/y_a_peak</f>
        <v>-2.9657519205878572E-3</v>
      </c>
      <c r="BT160" s="136">
        <f>Tabella34[[#This Row],[rest of Italy acc. fit]]*NOT(ISBLANK(Tabella34[[#This Row],[rest of Italy data]]))</f>
        <v>0</v>
      </c>
      <c r="BU160" s="205"/>
      <c r="BV160" s="137"/>
    </row>
    <row r="161" spans="2:74" x14ac:dyDescent="0.3">
      <c r="B161" s="281">
        <v>43984</v>
      </c>
      <c r="C161" s="4">
        <v>154</v>
      </c>
      <c r="E161" s="10"/>
      <c r="F161" s="10"/>
      <c r="G161" s="136">
        <f>Tabella34[[#This Row],[Spain daily cases]]*NOT(ISBLANK(Tabella34[[#This Row],[Spain daily cases]]))</f>
        <v>0</v>
      </c>
      <c r="H161" s="157">
        <f>Tabella8[[#This Row],[Spain cum. fit]]</f>
        <v>276965.45594929904</v>
      </c>
      <c r="I161" s="157" t="e">
        <f>_xlfn.LOGNORM.INV(alpha*Tabella34[[#This Row],[Spain cumul. Fit]]/Kt,mu_t,sigma_t)-(Tabella34[[#This Row],[Day]]-pt)</f>
        <v>#NUM!</v>
      </c>
      <c r="J161" s="157" t="e">
        <f>Tabella34[[#This Row],[Spain fitted d.t.]]/Spain_dt_at_lockdown</f>
        <v>#NUM!</v>
      </c>
      <c r="K161" s="95">
        <f>Tabella34[[#This Row],[Spain cumul. Fit]]/Kf</f>
        <v>0.98916271089429264</v>
      </c>
      <c r="L161" s="160"/>
      <c r="M161" s="95"/>
      <c r="N161" s="157">
        <f>IFERROR(Kt*_xlfn.LOGNORM.DIST((Tabella34[[#This Row],[Day]]-pt),mu_t,sigma_t,FALSE),0)</f>
        <v>248.91773401072231</v>
      </c>
      <c r="O161" s="157" t="e">
        <f>Kt*EXP(-0.5*Tabella34[[#This Row],[x_t]]^2)/(sigma_t*SQRTPI(2)*(Tabella34[[#This Row],[Day]]-D_bk))</f>
        <v>#NAME?</v>
      </c>
      <c r="P161" s="199">
        <f>Tabella34[[#This Row],[Spain fitted velocity]]/Tabella34[[#This Row],[Spain cumul. Fit]]</f>
        <v>8.987320572435896E-4</v>
      </c>
      <c r="Q161" s="262">
        <f>(LN(Tabella34[[#This Row],[Day]]-pt)-mu_t)/sigma_t</f>
        <v>2.2960227922617049</v>
      </c>
      <c r="R161" s="262">
        <f>EXP(mu_t+sigma_t*Tabella34[[#This Row],[x_t_alpha©+plus]])-(Tabella34[[#This Row],[Day]]-pt)</f>
        <v>8.5683593895334837</v>
      </c>
      <c r="S161" s="262">
        <f>EXP(mu_t+sigma_t*Tabella34[[#This Row],[x_t_alpha©-minus]])-(Tabella34[[#This Row],[Day]]-pt)</f>
        <v>-91.52748066123975</v>
      </c>
      <c r="T161" s="262">
        <f>-sigma_t+SQRT(sigma_t^2-2*Tabella34[[#This Row],[c_t]])</f>
        <v>2.5533714441058146</v>
      </c>
      <c r="U161" s="262">
        <f>-sigma_t-SQRT(sigma_t^2-2*Tabella34[[#This Row],[c_t]])</f>
        <v>-3.0908107939489815</v>
      </c>
      <c r="V161" s="262">
        <f>mu_t-LN(alpha*Kt/(Tabella34[[#This Row],[Spain fitted velocity]]*sigma_t*SQRTPI(2)))</f>
        <v>-3.9459940102016748</v>
      </c>
      <c r="W161" s="262">
        <f>Tabella34[[#This Row],[Spain fitted g.r.]]/Spain_gr_at_lockdown</f>
        <v>4.3371945081158454E-3</v>
      </c>
      <c r="X161" s="262">
        <f>Tabella34[[#This Row],[t_alpha_t+plus]]</f>
        <v>8.5683593895334837</v>
      </c>
      <c r="Y161" s="262">
        <f>Tabella34[[#This Row],[Spain fitted h.t.]]/Spain_ht_at_lockdown</f>
        <v>0.13918583649539998</v>
      </c>
      <c r="Z161" s="90">
        <f>IFERROR(-Kf*_xlfn.LOGNORM.DIST((Tabella34[[#This Row],[Day]]-pf),mu_f,sigma_f,FALSE)*(1+(LN((Tabella34[[#This Row],[Day]]-pf))-mu_f)/sigma_f^2)/(Tabella34[[#This Row],[Day]]-pf),0)</f>
        <v>-19.853043856526515</v>
      </c>
      <c r="AA161" s="90">
        <f>Tabella34[[#This Row],[Spain acc. fit]]/Spain_acc_at_lockdown</f>
        <v>-6.7652610435023214E-2</v>
      </c>
      <c r="AB161" s="95">
        <f>Tabella34[[#This Row],[Spain acc. fit]]/y_f_peak</f>
        <v>-2.9743876902020017E-3</v>
      </c>
      <c r="AC161" s="157">
        <f>Tabella34[[#This Row],[Colonna4]]*NOT(ISBLANK(Tabella34[[#This Row],[Spain daily cases]]))</f>
        <v>0</v>
      </c>
      <c r="AD161" s="157">
        <f>Tabella34[[#This Row],[Spain acc. fit]]*NOT(ISBLANK(Tabella34[[#This Row],[Spain daily cases]]))</f>
        <v>0</v>
      </c>
      <c r="AE161" s="95">
        <f>Tabella34[[#This Row],[Spain acc. fit]]+CIf</f>
        <v>2322.835373824566</v>
      </c>
      <c r="AF161" s="95">
        <f>MAX(Tabella34[[#This Row],[Spain acc. fit]]-CIf,0)</f>
        <v>0</v>
      </c>
      <c r="AH161" s="10"/>
      <c r="AI161" s="10"/>
      <c r="AJ161" s="136">
        <f>Tabella34[[#This Row],[Lombardy data]]*NOT(ISBLANK(Tabella34[[#This Row],[Lombardy data]]))</f>
        <v>0</v>
      </c>
      <c r="AK161" s="95">
        <f>Tabella8[[#This Row],[Lombardy fit]]</f>
        <v>85170.323335674941</v>
      </c>
      <c r="AL161" s="157" t="e">
        <f>_xlfn.LOGNORM.INV(alpha*Tabella34[[#This Row],[Lombardy cumul. Fit]]/Kr,mu_r,sigma_r)-(Tabella34[[#This Row],[Day]]-pr)</f>
        <v>#NUM!</v>
      </c>
      <c r="AM161" s="95">
        <f>Tabella34[[#This Row],[Lombardy cumul. Fit]]/Kl</f>
        <v>0.97896923374339018</v>
      </c>
      <c r="AN161" s="95">
        <f>IFERROR(Kr*_xlfn.LOGNORM.DIST((Tabella34[[#This Row],[Day]]-pr),mu_r,sigma_r,FALSE),0)</f>
        <v>105.16591438836666</v>
      </c>
      <c r="AO161" s="202">
        <f>Tabella34[[#This Row],[Lombardy velocity]]/Tabella34[[#This Row],[Lombardy cumul. Fit]]</f>
        <v>1.2347718109967096E-3</v>
      </c>
      <c r="AP161" s="259">
        <f>(LN(Tabella34[[#This Row],[Day]]-pr)-mu_r)/sigma_r</f>
        <v>2.0329108316637776</v>
      </c>
      <c r="AQ161" s="262">
        <f>EXP(mu_r+sigma_r*Tabella34[[#This Row],[x_r_alpha©+plus]])-(Tabella34[[#This Row],[Day]]-pr)</f>
        <v>12.095583052407989</v>
      </c>
      <c r="AR161" s="262">
        <f>EXP(mu_r+sigma_r*Tabella34[[#This Row],[x_r_alpha©-minus]])-(Tabella34[[#This Row],[Day]]-pr)</f>
        <v>-100.56833848723002</v>
      </c>
      <c r="AS161" s="262">
        <f>-sigma_r+SQRT(sigma_r^2-2*Tabella34[[#This Row],[c_r]])</f>
        <v>2.3089175716812522</v>
      </c>
      <c r="AT161" s="262">
        <f>-sigma_r-SQRT(sigma_r^2-2*Tabella34[[#This Row],[c_r]])</f>
        <v>-2.9897721688749814</v>
      </c>
      <c r="AU161" s="262">
        <f>mu_r-LN(alpha*Kr/(Tabella34[[#This Row],[Lombardy velocity]]*sigma_r*SQRTPI(2)))</f>
        <v>-3.4515687480195059</v>
      </c>
      <c r="AV161" s="262">
        <f>Tabella34[[#This Row],[t_alpha_r+plus]]</f>
        <v>12.095583052407989</v>
      </c>
      <c r="AW161" s="90">
        <f>IFERROR(-Kl*_xlfn.LOGNORM.DIST((Tabella34[[#This Row],[Day]]-pl),mu_l,sigma_l,FALSE)*(1+(LN((Tabella34[[#This Row],[Day]]-pl))-mu_l)/sigma_l^2)/(Tabella34[[#This Row],[Day]]-pl),0)</f>
        <v>-5.9715964183716927</v>
      </c>
      <c r="AX161" s="95">
        <f>Tabella34[[#This Row],[Lombardy acc. fit]]/y_l_peak</f>
        <v>-3.3969004960667675E-3</v>
      </c>
      <c r="AY161" s="157">
        <f>Tabella34[[#This Row],[Lombardy acc. fit]]*NOT(ISBLANK(Tabella34[[#This Row],[Lombardy data]]))</f>
        <v>0</v>
      </c>
      <c r="AZ161" s="95">
        <f>Tabella34[[#This Row],[Lombardy acc. fit]]+CIl</f>
        <v>2564.4107264980371</v>
      </c>
      <c r="BA161" s="95">
        <f>MAX(Tabella34[[#This Row],[Lombardy acc. fit]]-CIl,0)</f>
        <v>0</v>
      </c>
      <c r="BC161" s="10"/>
      <c r="BD161" s="10"/>
      <c r="BE161" s="95">
        <f>Tabella34[[#This Row],[rest of Italy data]]*NOT(ISBLANK(Tabella34[[#This Row],[rest of Italy data]]))</f>
        <v>0</v>
      </c>
      <c r="BF161" s="95">
        <f>Tabella8[[#This Row],[rest of Italy fit]]</f>
        <v>145968.69039927144</v>
      </c>
      <c r="BG161" s="157" t="e">
        <f>_xlfn.LOGNORM.INV(alpha*Tabella34[[#This Row],[rest of Italy cumul. Fit]]/Ko,mu_o,sigma_o)-(Tabella34[[#This Row],[Day]]-po)</f>
        <v>#NUM!</v>
      </c>
      <c r="BH161" s="95">
        <f>Tabella34[[#This Row],[rest of Italy cumul. Fit]]/Ka</f>
        <v>0.98627504994397563</v>
      </c>
      <c r="BI161" s="157">
        <f>IFERROR(Ko*_xlfn.LOGNORM.DIST((Tabella34[[#This Row],[Day]]-po),mu_o,sigma_o,FALSE),0)</f>
        <v>138.88711061289575</v>
      </c>
      <c r="BJ161" s="199">
        <f>Tabella34[[#This Row],[rest of Italy velocity]]/Tabella34[[#This Row],[rest of Italy cumul. Fit]]</f>
        <v>9.5148562498570562E-4</v>
      </c>
      <c r="BK161" s="254">
        <f>(LN(Tabella34[[#This Row],[Day]]-po)-mu_o)/sigma_o</f>
        <v>2.205059777239641</v>
      </c>
      <c r="BL161" s="262">
        <f>EXP(mu_o+sigma_o*Tabella34[[#This Row],[x_o_alpha©+plus]])-(Tabella34[[#This Row],[Day]]-po)</f>
        <v>10.173085769072685</v>
      </c>
      <c r="BM161" s="262">
        <f>EXP(mu_o+sigma_o*Tabella34[[#This Row],[x_o_alpha©-minus]])-(Tabella34[[#This Row],[Day]]-po)</f>
        <v>-95.216702515825929</v>
      </c>
      <c r="BN161" s="262">
        <f>-sigma_o+SQRT(sigma_o^2-2*Tabella34[[#This Row],[c_o]])</f>
        <v>2.4659371330796618</v>
      </c>
      <c r="BO161" s="262">
        <f>-sigma_o-SQRT(sigma_o^2-2*Tabella34[[#This Row],[c_o]])</f>
        <v>-3.1089099103786881</v>
      </c>
      <c r="BP161" s="262">
        <f>mu_o-LN(alpha*Ko/(Tabella34[[#This Row],[rest of Italy velocity]]*sigma_o*SQRTPI(2)))</f>
        <v>-3.8331881957010854</v>
      </c>
      <c r="BQ161" s="262">
        <f>Tabella34[[#This Row],[t_alpha_o+plus]]</f>
        <v>10.173085769072685</v>
      </c>
      <c r="BR161" s="90">
        <f>IFERROR(-Ka*_xlfn.LOGNORM.DIST((Tabella34[[#This Row],[Day]]-pa),mu_a,sigma_a,FALSE)*(1+(LN((Tabella34[[#This Row],[Day]]-pa))-mu_a)/sigma_a^2)/(Tabella34[[#This Row],[Day]]-pa),0)</f>
        <v>-9.3866786973639833</v>
      </c>
      <c r="BS161" s="95">
        <f>Tabella34[[#This Row],[rest of Italy acc. fit]]/y_a_peak</f>
        <v>-2.7778231733566697E-3</v>
      </c>
      <c r="BT161" s="136">
        <f>Tabella34[[#This Row],[rest of Italy acc. fit]]*NOT(ISBLANK(Tabella34[[#This Row],[rest of Italy data]]))</f>
        <v>0</v>
      </c>
      <c r="BU161" s="205"/>
      <c r="BV161" s="137"/>
    </row>
    <row r="162" spans="2:74" x14ac:dyDescent="0.3">
      <c r="B162" s="281">
        <v>43985</v>
      </c>
      <c r="C162" s="4">
        <v>155</v>
      </c>
      <c r="E162" s="10"/>
      <c r="F162" s="10"/>
      <c r="G162" s="136">
        <f>Tabella34[[#This Row],[Spain daily cases]]*NOT(ISBLANK(Tabella34[[#This Row],[Spain daily cases]]))</f>
        <v>0</v>
      </c>
      <c r="H162" s="157">
        <f>Tabella8[[#This Row],[Spain cum. fit]]</f>
        <v>277204.69426719396</v>
      </c>
      <c r="I162" s="157" t="e">
        <f>_xlfn.LOGNORM.INV(alpha*Tabella34[[#This Row],[Spain cumul. Fit]]/Kt,mu_t,sigma_t)-(Tabella34[[#This Row],[Day]]-pt)</f>
        <v>#NUM!</v>
      </c>
      <c r="J162" s="157" t="e">
        <f>Tabella34[[#This Row],[Spain fitted d.t.]]/Spain_dt_at_lockdown</f>
        <v>#NUM!</v>
      </c>
      <c r="K162" s="95">
        <f>Tabella34[[#This Row],[Spain cumul. Fit]]/Kf</f>
        <v>0.99001713377626399</v>
      </c>
      <c r="L162" s="160"/>
      <c r="M162" s="95"/>
      <c r="N162" s="157">
        <f>IFERROR(Kt*_xlfn.LOGNORM.DIST((Tabella34[[#This Row],[Day]]-pt),mu_t,sigma_t,FALSE),0)</f>
        <v>229.80172859720099</v>
      </c>
      <c r="O162" s="157" t="e">
        <f>Kt*EXP(-0.5*Tabella34[[#This Row],[x_t]]^2)/(sigma_t*SQRTPI(2)*(Tabella34[[#This Row],[Day]]-D_bk))</f>
        <v>#NAME?</v>
      </c>
      <c r="P162" s="199">
        <f>Tabella34[[#This Row],[Spain fitted velocity]]/Tabella34[[#This Row],[Spain cumul. Fit]]</f>
        <v>8.2899652621213596E-4</v>
      </c>
      <c r="Q162" s="262">
        <f>(LN(Tabella34[[#This Row],[Day]]-pt)-mu_t)/sigma_t</f>
        <v>2.3269912220373214</v>
      </c>
      <c r="R162" s="262">
        <f>EXP(mu_t+sigma_t*Tabella34[[#This Row],[x_t_alpha©+plus]])-(Tabella34[[#This Row],[Day]]-pt)</f>
        <v>8.5428879489572154</v>
      </c>
      <c r="S162" s="262">
        <f>EXP(mu_t+sigma_t*Tabella34[[#This Row],[x_t_alpha©-minus]])-(Tabella34[[#This Row],[Day]]-pt)</f>
        <v>-92.739712697556484</v>
      </c>
      <c r="T162" s="262">
        <f>-sigma_t+SQRT(sigma_t^2-2*Tabella34[[#This Row],[c_t]])</f>
        <v>2.5815451236034757</v>
      </c>
      <c r="U162" s="262">
        <f>-sigma_t-SQRT(sigma_t^2-2*Tabella34[[#This Row],[c_t]])</f>
        <v>-3.1189844734466425</v>
      </c>
      <c r="V162" s="262">
        <f>mu_t-LN(alpha*Kt/(Tabella34[[#This Row],[Spain fitted velocity]]*sigma_t*SQRTPI(2)))</f>
        <v>-4.0258995790105665</v>
      </c>
      <c r="W162" s="262">
        <f>Tabella34[[#This Row],[Spain fitted g.r.]]/Spain_gr_at_lockdown</f>
        <v>4.0006575394248688E-3</v>
      </c>
      <c r="X162" s="262">
        <f>Tabella34[[#This Row],[t_alpha_t+plus]]</f>
        <v>8.5428879489572154</v>
      </c>
      <c r="Y162" s="262">
        <f>Tabella34[[#This Row],[Spain fitted h.t.]]/Spain_ht_at_lockdown</f>
        <v>0.13877207423331728</v>
      </c>
      <c r="Z162" s="90">
        <f>IFERROR(-Kf*_xlfn.LOGNORM.DIST((Tabella34[[#This Row],[Day]]-pf),mu_f,sigma_f,FALSE)*(1+(LN((Tabella34[[#This Row],[Day]]-pf))-mu_f)/sigma_f^2)/(Tabella34[[#This Row],[Day]]-pf),0)</f>
        <v>-18.395982529598971</v>
      </c>
      <c r="AA162" s="90">
        <f>Tabella34[[#This Row],[Spain acc. fit]]/Spain_acc_at_lockdown</f>
        <v>-6.2687427108832058E-2</v>
      </c>
      <c r="AB162" s="95">
        <f>Tabella34[[#This Row],[Spain acc. fit]]/y_f_peak</f>
        <v>-2.7560904202215113E-3</v>
      </c>
      <c r="AC162" s="157">
        <f>Tabella34[[#This Row],[Colonna4]]*NOT(ISBLANK(Tabella34[[#This Row],[Spain daily cases]]))</f>
        <v>0</v>
      </c>
      <c r="AD162" s="157">
        <f>Tabella34[[#This Row],[Spain acc. fit]]*NOT(ISBLANK(Tabella34[[#This Row],[Spain daily cases]]))</f>
        <v>0</v>
      </c>
      <c r="AE162" s="95">
        <f>Tabella34[[#This Row],[Spain acc. fit]]+CIf</f>
        <v>2324.2924351514939</v>
      </c>
      <c r="AF162" s="95">
        <f>MAX(Tabella34[[#This Row],[Spain acc. fit]]-CIf,0)</f>
        <v>0</v>
      </c>
      <c r="AH162" s="10"/>
      <c r="AI162" s="10"/>
      <c r="AJ162" s="136">
        <f>Tabella34[[#This Row],[Lombardy data]]*NOT(ISBLANK(Tabella34[[#This Row],[Lombardy data]]))</f>
        <v>0</v>
      </c>
      <c r="AK162" s="95">
        <f>Tabella8[[#This Row],[Lombardy fit]]</f>
        <v>85272.55735266082</v>
      </c>
      <c r="AL162" s="157" t="e">
        <f>_xlfn.LOGNORM.INV(alpha*Tabella34[[#This Row],[Lombardy cumul. Fit]]/Kr,mu_r,sigma_r)-(Tabella34[[#This Row],[Day]]-pr)</f>
        <v>#NUM!</v>
      </c>
      <c r="AM162" s="95">
        <f>Tabella34[[#This Row],[Lombardy cumul. Fit]]/Kl</f>
        <v>0.98014433738690598</v>
      </c>
      <c r="AN162" s="95">
        <f>IFERROR(Kr*_xlfn.LOGNORM.DIST((Tabella34[[#This Row],[Day]]-pr),mu_r,sigma_r,FALSE),0)</f>
        <v>99.355339999105652</v>
      </c>
      <c r="AO162" s="202">
        <f>Tabella34[[#This Row],[Lombardy velocity]]/Tabella34[[#This Row],[Lombardy cumul. Fit]]</f>
        <v>1.1651502321925542E-3</v>
      </c>
      <c r="AP162" s="259">
        <f>(LN(Tabella34[[#This Row],[Day]]-pr)-mu_r)/sigma_r</f>
        <v>2.0567391384474529</v>
      </c>
      <c r="AQ162" s="262">
        <f>EXP(mu_r+sigma_r*Tabella34[[#This Row],[x_r_alpha©+plus]])-(Tabella34[[#This Row],[Day]]-pr)</f>
        <v>12.080211278525638</v>
      </c>
      <c r="AR162" s="262">
        <f>EXP(mu_r+sigma_r*Tabella34[[#This Row],[x_r_alpha©-minus]])-(Tabella34[[#This Row],[Day]]-pr)</f>
        <v>-101.7293010210268</v>
      </c>
      <c r="AS162" s="262">
        <f>-sigma_r+SQRT(sigma_r^2-2*Tabella34[[#This Row],[c_r]])</f>
        <v>2.330284458222212</v>
      </c>
      <c r="AT162" s="262">
        <f>-sigma_r-SQRT(sigma_r^2-2*Tabella34[[#This Row],[c_r]])</f>
        <v>-3.0111390554159412</v>
      </c>
      <c r="AU162" s="262">
        <f>mu_r-LN(alpha*Kr/(Tabella34[[#This Row],[Lombardy velocity]]*sigma_r*SQRTPI(2)))</f>
        <v>-3.5084052711908393</v>
      </c>
      <c r="AV162" s="262">
        <f>Tabella34[[#This Row],[t_alpha_r+plus]]</f>
        <v>12.080211278525638</v>
      </c>
      <c r="AW162" s="90">
        <f>IFERROR(-Kl*_xlfn.LOGNORM.DIST((Tabella34[[#This Row],[Day]]-pl),mu_l,sigma_l,FALSE)*(1+(LN((Tabella34[[#This Row],[Day]]-pl))-mu_l)/sigma_l^2)/(Tabella34[[#This Row],[Day]]-pl),0)</f>
        <v>-5.6522624566664277</v>
      </c>
      <c r="AX162" s="95">
        <f>Tabella34[[#This Row],[Lombardy acc. fit]]/y_l_peak</f>
        <v>-3.2152496246866547E-3</v>
      </c>
      <c r="AY162" s="157">
        <f>Tabella34[[#This Row],[Lombardy acc. fit]]*NOT(ISBLANK(Tabella34[[#This Row],[Lombardy data]]))</f>
        <v>0</v>
      </c>
      <c r="AZ162" s="95">
        <f>Tabella34[[#This Row],[Lombardy acc. fit]]+CIl</f>
        <v>2564.7300604597422</v>
      </c>
      <c r="BA162" s="95">
        <f>MAX(Tabella34[[#This Row],[Lombardy acc. fit]]-CIl,0)</f>
        <v>0</v>
      </c>
      <c r="BC162" s="10"/>
      <c r="BD162" s="10"/>
      <c r="BE162" s="95">
        <f>Tabella34[[#This Row],[rest of Italy data]]*NOT(ISBLANK(Tabella34[[#This Row],[rest of Italy data]]))</f>
        <v>0</v>
      </c>
      <c r="BF162" s="95">
        <f>Tabella8[[#This Row],[rest of Italy fit]]</f>
        <v>146102.98523070125</v>
      </c>
      <c r="BG162" s="157" t="e">
        <f>_xlfn.LOGNORM.INV(alpha*Tabella34[[#This Row],[rest of Italy cumul. Fit]]/Ko,mu_o,sigma_o)-(Tabella34[[#This Row],[Day]]-po)</f>
        <v>#NUM!</v>
      </c>
      <c r="BH162" s="95">
        <f>Tabella34[[#This Row],[rest of Italy cumul. Fit]]/Ka</f>
        <v>0.98718244755926798</v>
      </c>
      <c r="BI162" s="157">
        <f>IFERROR(Ko*_xlfn.LOGNORM.DIST((Tabella34[[#This Row],[Day]]-po),mu_o,sigma_o,FALSE),0)</f>
        <v>129.80206608856005</v>
      </c>
      <c r="BJ162" s="199">
        <f>Tabella34[[#This Row],[rest of Italy velocity]]/Tabella34[[#This Row],[rest of Italy cumul. Fit]]</f>
        <v>8.8842856895496336E-4</v>
      </c>
      <c r="BK162" s="254">
        <f>(LN(Tabella34[[#This Row],[Day]]-po)-mu_o)/sigma_o</f>
        <v>2.2316953486559008</v>
      </c>
      <c r="BL162" s="262">
        <f>EXP(mu_o+sigma_o*Tabella34[[#This Row],[x_o_alpha©+plus]])-(Tabella34[[#This Row],[Day]]-po)</f>
        <v>10.159319782152991</v>
      </c>
      <c r="BM162" s="262">
        <f>EXP(mu_o+sigma_o*Tabella34[[#This Row],[x_o_alpha©-minus]])-(Tabella34[[#This Row],[Day]]-po)</f>
        <v>-96.379724884801277</v>
      </c>
      <c r="BN162" s="262">
        <f>-sigma_o+SQRT(sigma_o^2-2*Tabella34[[#This Row],[c_o]])</f>
        <v>2.4901023694781368</v>
      </c>
      <c r="BO162" s="262">
        <f>-sigma_o-SQRT(sigma_o^2-2*Tabella34[[#This Row],[c_o]])</f>
        <v>-3.1330751467771631</v>
      </c>
      <c r="BP162" s="262">
        <f>mu_o-LN(alpha*Ko/(Tabella34[[#This Row],[rest of Italy velocity]]*sigma_o*SQRTPI(2)))</f>
        <v>-3.9008389233714373</v>
      </c>
      <c r="BQ162" s="262">
        <f>Tabella34[[#This Row],[t_alpha_o+plus]]</f>
        <v>10.159319782152991</v>
      </c>
      <c r="BR162" s="90">
        <f>IFERROR(-Ka*_xlfn.LOGNORM.DIST((Tabella34[[#This Row],[Day]]-pa),mu_a,sigma_a,FALSE)*(1+(LN((Tabella34[[#This Row],[Day]]-pa))-mu_a)/sigma_a^2)/(Tabella34[[#This Row],[Day]]-pa),0)</f>
        <v>-8.7895623966090124</v>
      </c>
      <c r="BS162" s="95">
        <f>Tabella34[[#This Row],[rest of Italy acc. fit]]/y_a_peak</f>
        <v>-2.601117061333045E-3</v>
      </c>
      <c r="BT162" s="136">
        <f>Tabella34[[#This Row],[rest of Italy acc. fit]]*NOT(ISBLANK(Tabella34[[#This Row],[rest of Italy data]]))</f>
        <v>0</v>
      </c>
      <c r="BU162" s="205"/>
      <c r="BV162" s="137"/>
    </row>
    <row r="163" spans="2:74" x14ac:dyDescent="0.3">
      <c r="B163" s="281">
        <v>43986</v>
      </c>
      <c r="C163" s="4">
        <v>156</v>
      </c>
      <c r="E163" s="10"/>
      <c r="F163" s="10"/>
      <c r="G163" s="136">
        <f>Tabella34[[#This Row],[Spain daily cases]]*NOT(ISBLANK(Tabella34[[#This Row],[Spain daily cases]]))</f>
        <v>0</v>
      </c>
      <c r="H163" s="157">
        <f>Tabella8[[#This Row],[Spain cum. fit]]</f>
        <v>277425.52834346675</v>
      </c>
      <c r="I163" s="157" t="e">
        <f>_xlfn.LOGNORM.INV(alpha*Tabella34[[#This Row],[Spain cumul. Fit]]/Kt,mu_t,sigma_t)-(Tabella34[[#This Row],[Day]]-pt)</f>
        <v>#NUM!</v>
      </c>
      <c r="J163" s="157" t="e">
        <f>Tabella34[[#This Row],[Spain fitted d.t.]]/Spain_dt_at_lockdown</f>
        <v>#NUM!</v>
      </c>
      <c r="K163" s="95">
        <f>Tabella34[[#This Row],[Spain cumul. Fit]]/Kf</f>
        <v>0.9908058271994028</v>
      </c>
      <c r="L163" s="160"/>
      <c r="M163" s="95"/>
      <c r="N163" s="157">
        <f>IFERROR(Kt*_xlfn.LOGNORM.DIST((Tabella34[[#This Row],[Day]]-pt),mu_t,sigma_t,FALSE),0)</f>
        <v>212.09273138111331</v>
      </c>
      <c r="O163" s="157" t="e">
        <f>Kt*EXP(-0.5*Tabella34[[#This Row],[x_t]]^2)/(sigma_t*SQRTPI(2)*(Tabella34[[#This Row],[Day]]-D_bk))</f>
        <v>#NAME?</v>
      </c>
      <c r="P163" s="199">
        <f>Tabella34[[#This Row],[Spain fitted velocity]]/Tabella34[[#This Row],[Spain cumul. Fit]]</f>
        <v>7.645032980473659E-4</v>
      </c>
      <c r="Q163" s="262">
        <f>(LN(Tabella34[[#This Row],[Day]]-pt)-mu_t)/sigma_t</f>
        <v>2.3577040634164397</v>
      </c>
      <c r="R163" s="262">
        <f>EXP(mu_t+sigma_t*Tabella34[[#This Row],[x_t_alpha©+plus]])-(Tabella34[[#This Row],[Day]]-pt)</f>
        <v>8.5186720938209106</v>
      </c>
      <c r="S163" s="262">
        <f>EXP(mu_t+sigma_t*Tabella34[[#This Row],[x_t_alpha©-minus]])-(Tabella34[[#This Row],[Day]]-pt)</f>
        <v>-93.949034618597238</v>
      </c>
      <c r="T163" s="262">
        <f>-sigma_t+SQRT(sigma_t^2-2*Tabella34[[#This Row],[c_t]])</f>
        <v>2.6095429980159248</v>
      </c>
      <c r="U163" s="262">
        <f>-sigma_t-SQRT(sigma_t^2-2*Tabella34[[#This Row],[c_t]])</f>
        <v>-3.1469823478590917</v>
      </c>
      <c r="V163" s="262">
        <f>mu_t-LN(alpha*Kt/(Tabella34[[#This Row],[Spain fitted velocity]]*sigma_t*SQRTPI(2)))</f>
        <v>-4.106092875367704</v>
      </c>
      <c r="W163" s="262">
        <f>Tabella34[[#This Row],[Spain fitted g.r.]]/Spain_gr_at_lockdown</f>
        <v>3.6894194203965979E-3</v>
      </c>
      <c r="X163" s="262">
        <f>Tabella34[[#This Row],[t_alpha_t+plus]]</f>
        <v>8.5186720938209106</v>
      </c>
      <c r="Y163" s="262">
        <f>Tabella34[[#This Row],[Spain fitted h.t.]]/Spain_ht_at_lockdown</f>
        <v>0.1383787079072368</v>
      </c>
      <c r="Z163" s="90">
        <f>IFERROR(-Kf*_xlfn.LOGNORM.DIST((Tabella34[[#This Row],[Day]]-pf),mu_f,sigma_f,FALSE)*(1+(LN((Tabella34[[#This Row],[Day]]-pf))-mu_f)/sigma_f^2)/(Tabella34[[#This Row],[Day]]-pf),0)</f>
        <v>-17.038041111911863</v>
      </c>
      <c r="AA163" s="90">
        <f>Tabella34[[#This Row],[Spain acc. fit]]/Spain_acc_at_lockdown</f>
        <v>-5.8060011666228879E-2</v>
      </c>
      <c r="AB163" s="95">
        <f>Tabella34[[#This Row],[Spain acc. fit]]/y_f_peak</f>
        <v>-2.5526433183074041E-3</v>
      </c>
      <c r="AC163" s="157">
        <f>Tabella34[[#This Row],[Colonna4]]*NOT(ISBLANK(Tabella34[[#This Row],[Spain daily cases]]))</f>
        <v>0</v>
      </c>
      <c r="AD163" s="157">
        <f>Tabella34[[#This Row],[Spain acc. fit]]*NOT(ISBLANK(Tabella34[[#This Row],[Spain daily cases]]))</f>
        <v>0</v>
      </c>
      <c r="AE163" s="95">
        <f>Tabella34[[#This Row],[Spain acc. fit]]+CIf</f>
        <v>2325.6503765691809</v>
      </c>
      <c r="AF163" s="95">
        <f>MAX(Tabella34[[#This Row],[Spain acc. fit]]-CIf,0)</f>
        <v>0</v>
      </c>
      <c r="AH163" s="10"/>
      <c r="AI163" s="10"/>
      <c r="AJ163" s="136">
        <f>Tabella34[[#This Row],[Lombardy data]]*NOT(ISBLANK(Tabella34[[#This Row],[Lombardy data]]))</f>
        <v>0</v>
      </c>
      <c r="AK163" s="95">
        <f>Tabella8[[#This Row],[Lombardy fit]]</f>
        <v>85369.137780653706</v>
      </c>
      <c r="AL163" s="157" t="e">
        <f>_xlfn.LOGNORM.INV(alpha*Tabella34[[#This Row],[Lombardy cumul. Fit]]/Kr,mu_r,sigma_r)-(Tabella34[[#This Row],[Day]]-pr)</f>
        <v>#NUM!</v>
      </c>
      <c r="AM163" s="95">
        <f>Tabella34[[#This Row],[Lombardy cumul. Fit]]/Kl</f>
        <v>0.98125445724889315</v>
      </c>
      <c r="AN163" s="95">
        <f>IFERROR(Kr*_xlfn.LOGNORM.DIST((Tabella34[[#This Row],[Day]]-pr),mu_r,sigma_r,FALSE),0)</f>
        <v>93.856083248924762</v>
      </c>
      <c r="AO163" s="202">
        <f>Tabella34[[#This Row],[Lombardy velocity]]/Tabella34[[#This Row],[Lombardy cumul. Fit]]</f>
        <v>1.0994146794603608E-3</v>
      </c>
      <c r="AP163" s="259">
        <f>(LN(Tabella34[[#This Row],[Day]]-pr)-mu_r)/sigma_r</f>
        <v>2.0803757089115407</v>
      </c>
      <c r="AQ163" s="262">
        <f>EXP(mu_r+sigma_r*Tabella34[[#This Row],[x_r_alpha©+plus]])-(Tabella34[[#This Row],[Day]]-pr)</f>
        <v>12.065920081173914</v>
      </c>
      <c r="AR163" s="262">
        <f>EXP(mu_r+sigma_r*Tabella34[[#This Row],[x_r_alpha©-minus]])-(Tabella34[[#This Row],[Day]]-pr)</f>
        <v>-102.88812004834331</v>
      </c>
      <c r="AS163" s="262">
        <f>-sigma_r+SQRT(sigma_r^2-2*Tabella34[[#This Row],[c_r]])</f>
        <v>2.3515202421775894</v>
      </c>
      <c r="AT163" s="262">
        <f>-sigma_r-SQRT(sigma_r^2-2*Tabella34[[#This Row],[c_r]])</f>
        <v>-3.0323748393713186</v>
      </c>
      <c r="AU163" s="262">
        <f>mu_r-LN(alpha*Kr/(Tabella34[[#This Row],[Lombardy velocity]]*sigma_r*SQRTPI(2)))</f>
        <v>-3.565345408325836</v>
      </c>
      <c r="AV163" s="262">
        <f>Tabella34[[#This Row],[t_alpha_r+plus]]</f>
        <v>12.065920081173914</v>
      </c>
      <c r="AW163" s="90">
        <f>IFERROR(-Kl*_xlfn.LOGNORM.DIST((Tabella34[[#This Row],[Day]]-pl),mu_l,sigma_l,FALSE)*(1+(LN((Tabella34[[#This Row],[Day]]-pl))-mu_l)/sigma_l^2)/(Tabella34[[#This Row],[Day]]-pl),0)</f>
        <v>-5.3488476578705031</v>
      </c>
      <c r="AX163" s="95">
        <f>Tabella34[[#This Row],[Lombardy acc. fit]]/y_l_peak</f>
        <v>-3.0426542568260592E-3</v>
      </c>
      <c r="AY163" s="157">
        <f>Tabella34[[#This Row],[Lombardy acc. fit]]*NOT(ISBLANK(Tabella34[[#This Row],[Lombardy data]]))</f>
        <v>0</v>
      </c>
      <c r="AZ163" s="95">
        <f>Tabella34[[#This Row],[Lombardy acc. fit]]+CIl</f>
        <v>2565.0334752585381</v>
      </c>
      <c r="BA163" s="95">
        <f>MAX(Tabella34[[#This Row],[Lombardy acc. fit]]-CIl,0)</f>
        <v>0</v>
      </c>
      <c r="BC163" s="10"/>
      <c r="BD163" s="10"/>
      <c r="BE163" s="95">
        <f>Tabella34[[#This Row],[rest of Italy data]]*NOT(ISBLANK(Tabella34[[#This Row],[rest of Italy data]]))</f>
        <v>0</v>
      </c>
      <c r="BF163" s="95">
        <f>Tabella8[[#This Row],[rest of Italy fit]]</f>
        <v>146228.48750602425</v>
      </c>
      <c r="BG163" s="157" t="e">
        <f>_xlfn.LOGNORM.INV(alpha*Tabella34[[#This Row],[rest of Italy cumul. Fit]]/Ko,mu_o,sigma_o)-(Tabella34[[#This Row],[Day]]-po)</f>
        <v>#NUM!</v>
      </c>
      <c r="BH163" s="95">
        <f>Tabella34[[#This Row],[rest of Italy cumul. Fit]]/Ka</f>
        <v>0.9880304360047607</v>
      </c>
      <c r="BI163" s="157">
        <f>IFERROR(Ko*_xlfn.LOGNORM.DIST((Tabella34[[#This Row],[Day]]-po),mu_o,sigma_o,FALSE),0)</f>
        <v>121.29601057036058</v>
      </c>
      <c r="BJ163" s="199">
        <f>Tabella34[[#This Row],[rest of Italy velocity]]/Tabella34[[#This Row],[rest of Italy cumul. Fit]]</f>
        <v>8.294964451804474E-4</v>
      </c>
      <c r="BK163" s="254">
        <f>(LN(Tabella34[[#This Row],[Day]]-po)-mu_o)/sigma_o</f>
        <v>2.2581047754757204</v>
      </c>
      <c r="BL163" s="262">
        <f>EXP(mu_o+sigma_o*Tabella34[[#This Row],[x_o_alpha©+plus]])-(Tabella34[[#This Row],[Day]]-po)</f>
        <v>10.146578282529291</v>
      </c>
      <c r="BM163" s="262">
        <f>EXP(mu_o+sigma_o*Tabella34[[#This Row],[x_o_alpha©-minus]])-(Tabella34[[#This Row],[Day]]-po)</f>
        <v>-97.540408931720279</v>
      </c>
      <c r="BN163" s="262">
        <f>-sigma_o+SQRT(sigma_o^2-2*Tabella34[[#This Row],[c_o]])</f>
        <v>2.5141061305874923</v>
      </c>
      <c r="BO163" s="262">
        <f>-sigma_o-SQRT(sigma_o^2-2*Tabella34[[#This Row],[c_o]])</f>
        <v>-3.1570789078865187</v>
      </c>
      <c r="BP163" s="262">
        <f>mu_o-LN(alpha*Ko/(Tabella34[[#This Row],[rest of Italy velocity]]*sigma_o*SQRTPI(2)))</f>
        <v>-3.9686157185329813</v>
      </c>
      <c r="BQ163" s="262">
        <f>Tabella34[[#This Row],[t_alpha_o+plus]]</f>
        <v>10.146578282529291</v>
      </c>
      <c r="BR163" s="90">
        <f>IFERROR(-Ka*_xlfn.LOGNORM.DIST((Tabella34[[#This Row],[Day]]-pa),mu_a,sigma_a,FALSE)*(1+(LN((Tabella34[[#This Row],[Day]]-pa))-mu_a)/sigma_a^2)/(Tabella34[[#This Row],[Day]]-pa),0)</f>
        <v>-8.2283742950501981</v>
      </c>
      <c r="BS163" s="95">
        <f>Tabella34[[#This Row],[rest of Italy acc. fit]]/y_a_peak</f>
        <v>-2.4350432706577679E-3</v>
      </c>
      <c r="BT163" s="136">
        <f>Tabella34[[#This Row],[rest of Italy acc. fit]]*NOT(ISBLANK(Tabella34[[#This Row],[rest of Italy data]]))</f>
        <v>0</v>
      </c>
      <c r="BU163" s="205"/>
      <c r="BV163" s="137"/>
    </row>
    <row r="164" spans="2:74" x14ac:dyDescent="0.3">
      <c r="B164" s="281">
        <v>43987</v>
      </c>
      <c r="C164" s="4">
        <v>157</v>
      </c>
      <c r="E164" s="10"/>
      <c r="F164" s="10"/>
      <c r="G164" s="136">
        <f>Tabella34[[#This Row],[Spain daily cases]]*NOT(ISBLANK(Tabella34[[#This Row],[Spain daily cases]]))</f>
        <v>0</v>
      </c>
      <c r="H164" s="157">
        <f>Tabella8[[#This Row],[Spain cum. fit]]</f>
        <v>277629.31660359091</v>
      </c>
      <c r="I164" s="157" t="e">
        <f>_xlfn.LOGNORM.INV(alpha*Tabella34[[#This Row],[Spain cumul. Fit]]/Kt,mu_t,sigma_t)-(Tabella34[[#This Row],[Day]]-pt)</f>
        <v>#NUM!</v>
      </c>
      <c r="J164" s="157" t="e">
        <f>Tabella34[[#This Row],[Spain fitted d.t.]]/Spain_dt_at_lockdown</f>
        <v>#NUM!</v>
      </c>
      <c r="K164" s="95">
        <f>Tabella34[[#This Row],[Spain cumul. Fit]]/Kf</f>
        <v>0.99153364268506294</v>
      </c>
      <c r="L164" s="160"/>
      <c r="M164" s="95"/>
      <c r="N164" s="157">
        <f>IFERROR(Kt*_xlfn.LOGNORM.DIST((Tabella34[[#This Row],[Day]]-pt),mu_t,sigma_t,FALSE),0)</f>
        <v>195.69454497095879</v>
      </c>
      <c r="O164" s="157" t="e">
        <f>Kt*EXP(-0.5*Tabella34[[#This Row],[x_t]]^2)/(sigma_t*SQRTPI(2)*(Tabella34[[#This Row],[Day]]-D_bk))</f>
        <v>#NAME?</v>
      </c>
      <c r="P164" s="199">
        <f>Tabella34[[#This Row],[Spain fitted velocity]]/Tabella34[[#This Row],[Spain cumul. Fit]]</f>
        <v>7.04877090665387E-4</v>
      </c>
      <c r="Q164" s="262">
        <f>(LN(Tabella34[[#This Row],[Day]]-pt)-mu_t)/sigma_t</f>
        <v>2.3881655007287521</v>
      </c>
      <c r="R164" s="262">
        <f>EXP(mu_t+sigma_t*Tabella34[[#This Row],[x_t_alpha©+plus]])-(Tabella34[[#This Row],[Day]]-pt)</f>
        <v>8.4956570741641571</v>
      </c>
      <c r="S164" s="262">
        <f>EXP(mu_t+sigma_t*Tabella34[[#This Row],[x_t_alpha©-minus]])-(Tabella34[[#This Row],[Day]]-pt)</f>
        <v>-95.155493878802147</v>
      </c>
      <c r="T164" s="262">
        <f>-sigma_t+SQRT(sigma_t^2-2*Tabella34[[#This Row],[c_t]])</f>
        <v>2.63736587056919</v>
      </c>
      <c r="U164" s="262">
        <f>-sigma_t-SQRT(sigma_t^2-2*Tabella34[[#This Row],[c_t]])</f>
        <v>-3.1748052204123569</v>
      </c>
      <c r="V164" s="262">
        <f>mu_t-LN(alpha*Kt/(Tabella34[[#This Row],[Spain fitted velocity]]*sigma_t*SQRTPI(2)))</f>
        <v>-4.1865614670102218</v>
      </c>
      <c r="W164" s="262">
        <f>Tabella34[[#This Row],[Spain fitted g.r.]]/Spain_gr_at_lockdown</f>
        <v>3.4016690757721351E-3</v>
      </c>
      <c r="X164" s="262">
        <f>Tabella34[[#This Row],[t_alpha_t+plus]]</f>
        <v>8.4956570741641571</v>
      </c>
      <c r="Y164" s="262">
        <f>Tabella34[[#This Row],[Spain fitted h.t.]]/Spain_ht_at_lockdown</f>
        <v>0.1380048481498139</v>
      </c>
      <c r="Z164" s="90">
        <f>IFERROR(-Kf*_xlfn.LOGNORM.DIST((Tabella34[[#This Row],[Day]]-pf),mu_f,sigma_f,FALSE)*(1+(LN((Tabella34[[#This Row],[Day]]-pf))-mu_f)/sigma_f^2)/(Tabella34[[#This Row],[Day]]-pf),0)</f>
        <v>-15.773411435031907</v>
      </c>
      <c r="AA164" s="90">
        <f>Tabella34[[#This Row],[Spain acc. fit]]/Spain_acc_at_lockdown</f>
        <v>-5.3750571789259925E-2</v>
      </c>
      <c r="AB164" s="95">
        <f>Tabella34[[#This Row],[Spain acc. fit]]/y_f_peak</f>
        <v>-2.3631762033017971E-3</v>
      </c>
      <c r="AC164" s="157">
        <f>Tabella34[[#This Row],[Colonna4]]*NOT(ISBLANK(Tabella34[[#This Row],[Spain daily cases]]))</f>
        <v>0</v>
      </c>
      <c r="AD164" s="157">
        <f>Tabella34[[#This Row],[Spain acc. fit]]*NOT(ISBLANK(Tabella34[[#This Row],[Spain daily cases]]))</f>
        <v>0</v>
      </c>
      <c r="AE164" s="95">
        <f>Tabella34[[#This Row],[Spain acc. fit]]+CIf</f>
        <v>2326.9150062460608</v>
      </c>
      <c r="AF164" s="95">
        <f>MAX(Tabella34[[#This Row],[Spain acc. fit]]-CIf,0)</f>
        <v>0</v>
      </c>
      <c r="AH164" s="10"/>
      <c r="AI164" s="10"/>
      <c r="AJ164" s="136">
        <f>Tabella34[[#This Row],[Lombardy data]]*NOT(ISBLANK(Tabella34[[#This Row],[Lombardy data]]))</f>
        <v>0</v>
      </c>
      <c r="AK164" s="95">
        <f>Tabella8[[#This Row],[Lombardy fit]]</f>
        <v>85460.368090571821</v>
      </c>
      <c r="AL164" s="157" t="e">
        <f>_xlfn.LOGNORM.INV(alpha*Tabella34[[#This Row],[Lombardy cumul. Fit]]/Kr,mu_r,sigma_r)-(Tabella34[[#This Row],[Day]]-pr)</f>
        <v>#NUM!</v>
      </c>
      <c r="AM164" s="95">
        <f>Tabella34[[#This Row],[Lombardy cumul. Fit]]/Kl</f>
        <v>0.98230308150082557</v>
      </c>
      <c r="AN164" s="95">
        <f>IFERROR(Kr*_xlfn.LOGNORM.DIST((Tabella34[[#This Row],[Day]]-pr),mu_r,sigma_r,FALSE),0)</f>
        <v>88.652562927420973</v>
      </c>
      <c r="AO164" s="202">
        <f>Tabella34[[#This Row],[Lombardy velocity]]/Tabella34[[#This Row],[Lombardy cumul. Fit]]</f>
        <v>1.0373529263701044E-3</v>
      </c>
      <c r="AP164" s="259">
        <f>(LN(Tabella34[[#This Row],[Day]]-pr)-mu_r)/sigma_r</f>
        <v>2.1038236040839733</v>
      </c>
      <c r="AQ164" s="262">
        <f>EXP(mu_r+sigma_r*Tabella34[[#This Row],[x_r_alpha©+plus]])-(Tabella34[[#This Row],[Day]]-pr)</f>
        <v>12.052667704972436</v>
      </c>
      <c r="AR164" s="262">
        <f>EXP(mu_r+sigma_r*Tabella34[[#This Row],[x_r_alpha©-minus]])-(Tabella34[[#This Row],[Day]]-pr)</f>
        <v>-104.04483123838034</v>
      </c>
      <c r="AS164" s="262">
        <f>-sigma_r+SQRT(sigma_r^2-2*Tabella34[[#This Row],[c_r]])</f>
        <v>2.3726257485026534</v>
      </c>
      <c r="AT164" s="262">
        <f>-sigma_r-SQRT(sigma_r^2-2*Tabella34[[#This Row],[c_r]])</f>
        <v>-3.0534803456963826</v>
      </c>
      <c r="AU164" s="262">
        <f>mu_r-LN(alpha*Kr/(Tabella34[[#This Row],[Lombardy velocity]]*sigma_r*SQRTPI(2)))</f>
        <v>-3.6223830453730104</v>
      </c>
      <c r="AV164" s="262">
        <f>Tabella34[[#This Row],[t_alpha_r+plus]]</f>
        <v>12.052667704972436</v>
      </c>
      <c r="AW164" s="90">
        <f>IFERROR(-Kl*_xlfn.LOGNORM.DIST((Tabella34[[#This Row],[Day]]-pl),mu_l,sigma_l,FALSE)*(1+(LN((Tabella34[[#This Row],[Day]]-pl))-mu_l)/sigma_l^2)/(Tabella34[[#This Row],[Day]]-pl),0)</f>
        <v>-5.0606786572708176</v>
      </c>
      <c r="AX164" s="95">
        <f>Tabella34[[#This Row],[Lombardy acc. fit]]/y_l_peak</f>
        <v>-2.8787313537181744E-3</v>
      </c>
      <c r="AY164" s="157">
        <f>Tabella34[[#This Row],[Lombardy acc. fit]]*NOT(ISBLANK(Tabella34[[#This Row],[Lombardy data]]))</f>
        <v>0</v>
      </c>
      <c r="AZ164" s="95">
        <f>Tabella34[[#This Row],[Lombardy acc. fit]]+CIl</f>
        <v>2565.3216442591379</v>
      </c>
      <c r="BA164" s="95">
        <f>MAX(Tabella34[[#This Row],[Lombardy acc. fit]]-CIl,0)</f>
        <v>0</v>
      </c>
      <c r="BC164" s="10"/>
      <c r="BD164" s="10"/>
      <c r="BE164" s="95">
        <f>Tabella34[[#This Row],[rest of Italy data]]*NOT(ISBLANK(Tabella34[[#This Row],[rest of Italy data]]))</f>
        <v>0</v>
      </c>
      <c r="BF164" s="95">
        <f>Tabella8[[#This Row],[rest of Italy fit]]</f>
        <v>146345.7585734569</v>
      </c>
      <c r="BG164" s="157" t="e">
        <f>_xlfn.LOGNORM.INV(alpha*Tabella34[[#This Row],[rest of Italy cumul. Fit]]/Ko,mu_o,sigma_o)-(Tabella34[[#This Row],[Day]]-po)</f>
        <v>#NUM!</v>
      </c>
      <c r="BH164" s="95">
        <f>Tabella34[[#This Row],[rest of Italy cumul. Fit]]/Ka</f>
        <v>0.9888228081742495</v>
      </c>
      <c r="BI164" s="157">
        <f>IFERROR(Ko*_xlfn.LOGNORM.DIST((Tabella34[[#This Row],[Day]]-po),mu_o,sigma_o,FALSE),0)</f>
        <v>113.33398270149605</v>
      </c>
      <c r="BJ164" s="199">
        <f>Tabella34[[#This Row],[rest of Italy velocity]]/Tabella34[[#This Row],[rest of Italy cumul. Fit]]</f>
        <v>7.7442615219086867E-4</v>
      </c>
      <c r="BK164" s="254">
        <f>(LN(Tabella34[[#This Row],[Day]]-po)-mu_o)/sigma_o</f>
        <v>2.2842918654737487</v>
      </c>
      <c r="BL164" s="262">
        <f>EXP(mu_o+sigma_o*Tabella34[[#This Row],[x_o_alpha©+plus]])-(Tabella34[[#This Row],[Day]]-po)</f>
        <v>10.134819175506763</v>
      </c>
      <c r="BM164" s="262">
        <f>EXP(mu_o+sigma_o*Tabella34[[#This Row],[x_o_alpha©-minus]])-(Tabella34[[#This Row],[Day]]-po)</f>
        <v>-98.698797658987118</v>
      </c>
      <c r="BN164" s="262">
        <f>-sigma_o+SQRT(sigma_o^2-2*Tabella34[[#This Row],[c_o]])</f>
        <v>2.537949687009736</v>
      </c>
      <c r="BO164" s="262">
        <f>-sigma_o-SQRT(sigma_o^2-2*Tabella34[[#This Row],[c_o]])</f>
        <v>-3.1809224643087624</v>
      </c>
      <c r="BP164" s="262">
        <f>mu_o-LN(alpha*Ko/(Tabella34[[#This Row],[rest of Italy velocity]]*sigma_o*SQRTPI(2)))</f>
        <v>-4.0365105863473305</v>
      </c>
      <c r="BQ164" s="262">
        <f>Tabella34[[#This Row],[t_alpha_o+plus]]</f>
        <v>10.134819175506763</v>
      </c>
      <c r="BR164" s="90">
        <f>IFERROR(-Ka*_xlfn.LOGNORM.DIST((Tabella34[[#This Row],[Day]]-pa),mu_a,sigma_a,FALSE)*(1+(LN((Tabella34[[#This Row],[Day]]-pa))-mu_a)/sigma_a^2)/(Tabella34[[#This Row],[Day]]-pa),0)</f>
        <v>-7.7011930780913449</v>
      </c>
      <c r="BS164" s="95">
        <f>Tabella34[[#This Row],[rest of Italy acc. fit]]/y_a_peak</f>
        <v>-2.2790332219237127E-3</v>
      </c>
      <c r="BT164" s="136">
        <f>Tabella34[[#This Row],[rest of Italy acc. fit]]*NOT(ISBLANK(Tabella34[[#This Row],[rest of Italy data]]))</f>
        <v>0</v>
      </c>
      <c r="BU164" s="205"/>
      <c r="BV164" s="137"/>
    </row>
    <row r="165" spans="2:74" x14ac:dyDescent="0.3">
      <c r="B165" s="281">
        <v>43988</v>
      </c>
      <c r="C165" s="4">
        <v>158</v>
      </c>
      <c r="E165" s="10"/>
      <c r="F165" s="10"/>
      <c r="G165" s="136">
        <f>Tabella34[[#This Row],[Spain daily cases]]*NOT(ISBLANK(Tabella34[[#This Row],[Spain daily cases]]))</f>
        <v>0</v>
      </c>
      <c r="H165" s="157">
        <f>Tabella8[[#This Row],[Spain cum. fit]]</f>
        <v>277817.32414248458</v>
      </c>
      <c r="I165" s="157" t="e">
        <f>_xlfn.LOGNORM.INV(alpha*Tabella34[[#This Row],[Spain cumul. Fit]]/Kt,mu_t,sigma_t)-(Tabella34[[#This Row],[Day]]-pt)</f>
        <v>#NUM!</v>
      </c>
      <c r="J165" s="157" t="e">
        <f>Tabella34[[#This Row],[Spain fitted d.t.]]/Spain_dt_at_lockdown</f>
        <v>#NUM!</v>
      </c>
      <c r="K165" s="95">
        <f>Tabella34[[#This Row],[Spain cumul. Fit]]/Kf</f>
        <v>0.99220509843106286</v>
      </c>
      <c r="L165" s="160"/>
      <c r="M165" s="95"/>
      <c r="N165" s="157">
        <f>IFERROR(Kt*_xlfn.LOGNORM.DIST((Tabella34[[#This Row],[Day]]-pt),mu_t,sigma_t,FALSE),0)</f>
        <v>180.51666803584135</v>
      </c>
      <c r="O165" s="157" t="e">
        <f>Kt*EXP(-0.5*Tabella34[[#This Row],[x_t]]^2)/(sigma_t*SQRTPI(2)*(Tabella34[[#This Row],[Day]]-D_bk))</f>
        <v>#NAME?</v>
      </c>
      <c r="P165" s="199">
        <f>Tabella34[[#This Row],[Spain fitted velocity]]/Tabella34[[#This Row],[Spain cumul. Fit]]</f>
        <v>6.497674995359883E-4</v>
      </c>
      <c r="Q165" s="262">
        <f>(LN(Tabella34[[#This Row],[Day]]-pt)-mu_t)/sigma_t</f>
        <v>2.4183796163829285</v>
      </c>
      <c r="R165" s="262">
        <f>EXP(mu_t+sigma_t*Tabella34[[#This Row],[x_t_alpha©+plus]])-(Tabella34[[#This Row],[Day]]-pt)</f>
        <v>8.4737911717372327</v>
      </c>
      <c r="S165" s="262">
        <f>EXP(mu_t+sigma_t*Tabella34[[#This Row],[x_t_alpha©-minus]])-(Tabella34[[#This Row],[Day]]-pt)</f>
        <v>-96.359137657237369</v>
      </c>
      <c r="T165" s="262">
        <f>-sigma_t+SQRT(sigma_t^2-2*Tabella34[[#This Row],[c_t]])</f>
        <v>2.6650146283937501</v>
      </c>
      <c r="U165" s="262">
        <f>-sigma_t-SQRT(sigma_t^2-2*Tabella34[[#This Row],[c_t]])</f>
        <v>-3.202453978236917</v>
      </c>
      <c r="V165" s="262">
        <f>mu_t-LN(alpha*Kt/(Tabella34[[#This Row],[Spain fitted velocity]]*sigma_t*SQRTPI(2)))</f>
        <v>-4.2672933493795711</v>
      </c>
      <c r="W165" s="262">
        <f>Tabella34[[#This Row],[Spain fitted g.r.]]/Spain_gr_at_lockdown</f>
        <v>3.13571548697503E-3</v>
      </c>
      <c r="X165" s="262">
        <f>Tabella34[[#This Row],[t_alpha_t+plus]]</f>
        <v>8.4737911717372327</v>
      </c>
      <c r="Y165" s="262">
        <f>Tabella34[[#This Row],[Spain fitted h.t.]]/Spain_ht_at_lockdown</f>
        <v>0.13764965484131006</v>
      </c>
      <c r="Z165" s="90">
        <f>IFERROR(-Kf*_xlfn.LOGNORM.DIST((Tabella34[[#This Row],[Day]]-pf),mu_f,sigma_f,FALSE)*(1+(LN((Tabella34[[#This Row],[Day]]-pf))-mu_f)/sigma_f^2)/(Tabella34[[#This Row],[Day]]-pf),0)</f>
        <v>-14.596510942269758</v>
      </c>
      <c r="AA165" s="90">
        <f>Tabella34[[#This Row],[Spain acc. fit]]/Spain_acc_at_lockdown</f>
        <v>-4.9740083970211964E-2</v>
      </c>
      <c r="AB165" s="95">
        <f>Tabella34[[#This Row],[Spain acc. fit]]/y_f_peak</f>
        <v>-2.186852695251235E-3</v>
      </c>
      <c r="AC165" s="157">
        <f>Tabella34[[#This Row],[Colonna4]]*NOT(ISBLANK(Tabella34[[#This Row],[Spain daily cases]]))</f>
        <v>0</v>
      </c>
      <c r="AD165" s="157">
        <f>Tabella34[[#This Row],[Spain acc. fit]]*NOT(ISBLANK(Tabella34[[#This Row],[Spain daily cases]]))</f>
        <v>0</v>
      </c>
      <c r="AE165" s="95">
        <f>Tabella34[[#This Row],[Spain acc. fit]]+CIf</f>
        <v>2328.0919067388231</v>
      </c>
      <c r="AF165" s="95">
        <f>MAX(Tabella34[[#This Row],[Spain acc. fit]]-CIf,0)</f>
        <v>0</v>
      </c>
      <c r="AH165" s="10"/>
      <c r="AI165" s="10"/>
      <c r="AJ165" s="136">
        <f>Tabella34[[#This Row],[Lombardy data]]*NOT(ISBLANK(Tabella34[[#This Row],[Lombardy data]]))</f>
        <v>0</v>
      </c>
      <c r="AK165" s="95">
        <f>Tabella8[[#This Row],[Lombardy fit]]</f>
        <v>85546.536506210832</v>
      </c>
      <c r="AL165" s="157" t="e">
        <f>_xlfn.LOGNORM.INV(alpha*Tabella34[[#This Row],[Lombardy cumul. Fit]]/Kr,mu_r,sigma_r)-(Tabella34[[#This Row],[Day]]-pr)</f>
        <v>#NUM!</v>
      </c>
      <c r="AM165" s="95">
        <f>Tabella34[[#This Row],[Lombardy cumul. Fit]]/Kl</f>
        <v>0.98329352305989459</v>
      </c>
      <c r="AN165" s="95">
        <f>IFERROR(Kr*_xlfn.LOGNORM.DIST((Tabella34[[#This Row],[Day]]-pr),mu_r,sigma_r,FALSE),0)</f>
        <v>83.729863352353661</v>
      </c>
      <c r="AO165" s="202">
        <f>Tabella34[[#This Row],[Lombardy velocity]]/Tabella34[[#This Row],[Lombardy cumul. Fit]]</f>
        <v>9.7876391928824287E-4</v>
      </c>
      <c r="AP165" s="259">
        <f>(LN(Tabella34[[#This Row],[Day]]-pr)-mu_r)/sigma_r</f>
        <v>2.1270858122698537</v>
      </c>
      <c r="AQ165" s="262">
        <f>EXP(mu_r+sigma_r*Tabella34[[#This Row],[x_r_alpha©+plus]])-(Tabella34[[#This Row],[Day]]-pr)</f>
        <v>12.040414426937048</v>
      </c>
      <c r="AR165" s="262">
        <f>EXP(mu_r+sigma_r*Tabella34[[#This Row],[x_r_alpha©-minus]])-(Tabella34[[#This Row],[Day]]-pr)</f>
        <v>-105.19946984709986</v>
      </c>
      <c r="AS165" s="262">
        <f>-sigma_r+SQRT(sigma_r^2-2*Tabella34[[#This Row],[c_r]])</f>
        <v>2.3936018368402538</v>
      </c>
      <c r="AT165" s="262">
        <f>-sigma_r-SQRT(sigma_r^2-2*Tabella34[[#This Row],[c_r]])</f>
        <v>-3.0744564340339831</v>
      </c>
      <c r="AU165" s="262">
        <f>mu_r-LN(alpha*Kr/(Tabella34[[#This Row],[Lombardy velocity]]*sigma_r*SQRTPI(2)))</f>
        <v>-3.6795122838945398</v>
      </c>
      <c r="AV165" s="262">
        <f>Tabella34[[#This Row],[t_alpha_r+plus]]</f>
        <v>12.040414426937048</v>
      </c>
      <c r="AW165" s="90">
        <f>IFERROR(-Kl*_xlfn.LOGNORM.DIST((Tabella34[[#This Row],[Day]]-pl),mu_l,sigma_l,FALSE)*(1+(LN((Tabella34[[#This Row],[Day]]-pl))-mu_l)/sigma_l^2)/(Tabella34[[#This Row],[Day]]-pl),0)</f>
        <v>-4.7870979702756422</v>
      </c>
      <c r="AX165" s="95">
        <f>Tabella34[[#This Row],[Lombardy acc. fit]]/y_l_peak</f>
        <v>-2.7231069098912083E-3</v>
      </c>
      <c r="AY165" s="157">
        <f>Tabella34[[#This Row],[Lombardy acc. fit]]*NOT(ISBLANK(Tabella34[[#This Row],[Lombardy data]]))</f>
        <v>0</v>
      </c>
      <c r="AZ165" s="95">
        <f>Tabella34[[#This Row],[Lombardy acc. fit]]+CIl</f>
        <v>2565.5952249461329</v>
      </c>
      <c r="BA165" s="95">
        <f>MAX(Tabella34[[#This Row],[Lombardy acc. fit]]-CIl,0)</f>
        <v>0</v>
      </c>
      <c r="BC165" s="10"/>
      <c r="BD165" s="10"/>
      <c r="BE165" s="95">
        <f>Tabella34[[#This Row],[rest of Italy data]]*NOT(ISBLANK(Tabella34[[#This Row],[rest of Italy data]]))</f>
        <v>0</v>
      </c>
      <c r="BF165" s="95">
        <f>Tabella8[[#This Row],[rest of Italy fit]]</f>
        <v>146455.32576810059</v>
      </c>
      <c r="BG165" s="157" t="e">
        <f>_xlfn.LOGNORM.INV(alpha*Tabella34[[#This Row],[rest of Italy cumul. Fit]]/Ko,mu_o,sigma_o)-(Tabella34[[#This Row],[Day]]-po)</f>
        <v>#NUM!</v>
      </c>
      <c r="BH165" s="95">
        <f>Tabella34[[#This Row],[rest of Italy cumul. Fit]]/Ka</f>
        <v>0.98956312714315886</v>
      </c>
      <c r="BI165" s="157">
        <f>IFERROR(Ko*_xlfn.LOGNORM.DIST((Tabella34[[#This Row],[Day]]-po),mu_o,sigma_o,FALSE),0)</f>
        <v>105.88290515183097</v>
      </c>
      <c r="BJ165" s="199">
        <f>Tabella34[[#This Row],[rest of Italy velocity]]/Tabella34[[#This Row],[rest of Italy cumul. Fit]]</f>
        <v>7.2297067106653012E-4</v>
      </c>
      <c r="BK165" s="254">
        <f>(LN(Tabella34[[#This Row],[Day]]-po)-mu_o)/sigma_o</f>
        <v>2.3102603310552214</v>
      </c>
      <c r="BL165" s="262">
        <f>EXP(mu_o+sigma_o*Tabella34[[#This Row],[x_o_alpha©+plus]])-(Tabella34[[#This Row],[Day]]-po)</f>
        <v>10.124002547865942</v>
      </c>
      <c r="BM165" s="262">
        <f>EXP(mu_o+sigma_o*Tabella34[[#This Row],[x_o_alpha©-minus]])-(Tabella34[[#This Row],[Day]]-po)</f>
        <v>-99.854933417624181</v>
      </c>
      <c r="BN165" s="262">
        <f>-sigma_o+SQRT(sigma_o^2-2*Tabella34[[#This Row],[c_o]])</f>
        <v>2.5616343437854847</v>
      </c>
      <c r="BO165" s="262">
        <f>-sigma_o-SQRT(sigma_o^2-2*Tabella34[[#This Row],[c_o]])</f>
        <v>-3.2046071210845111</v>
      </c>
      <c r="BP165" s="262">
        <f>mu_o-LN(alpha*Ko/(Tabella34[[#This Row],[rest of Italy velocity]]*sigma_o*SQRTPI(2)))</f>
        <v>-4.1045158298548072</v>
      </c>
      <c r="BQ165" s="262">
        <f>Tabella34[[#This Row],[t_alpha_o+plus]]</f>
        <v>10.124002547865942</v>
      </c>
      <c r="BR165" s="90">
        <f>IFERROR(-Ka*_xlfn.LOGNORM.DIST((Tabella34[[#This Row],[Day]]-pa),mu_a,sigma_a,FALSE)*(1+(LN((Tabella34[[#This Row],[Day]]-pa))-mu_a)/sigma_a^2)/(Tabella34[[#This Row],[Day]]-pa),0)</f>
        <v>-7.2061721617528951</v>
      </c>
      <c r="BS165" s="95">
        <f>Tabella34[[#This Row],[rest of Italy acc. fit]]/y_a_peak</f>
        <v>-2.1325404509410055E-3</v>
      </c>
      <c r="BT165" s="136">
        <f>Tabella34[[#This Row],[rest of Italy acc. fit]]*NOT(ISBLANK(Tabella34[[#This Row],[rest of Italy data]]))</f>
        <v>0</v>
      </c>
      <c r="BU165" s="205"/>
      <c r="BV165" s="137"/>
    </row>
    <row r="166" spans="2:74" x14ac:dyDescent="0.3">
      <c r="B166" s="281">
        <v>43989</v>
      </c>
      <c r="C166" s="4">
        <v>159</v>
      </c>
      <c r="E166" s="10"/>
      <c r="F166" s="10"/>
      <c r="G166" s="136">
        <f>Tabella34[[#This Row],[Spain daily cases]]*NOT(ISBLANK(Tabella34[[#This Row],[Spain daily cases]]))</f>
        <v>0</v>
      </c>
      <c r="H166" s="157">
        <f>Tabella8[[#This Row],[Spain cum. fit]]</f>
        <v>277990.72830650187</v>
      </c>
      <c r="I166" s="157" t="e">
        <f>_xlfn.LOGNORM.INV(alpha*Tabella34[[#This Row],[Spain cumul. Fit]]/Kt,mu_t,sigma_t)-(Tabella34[[#This Row],[Day]]-pt)</f>
        <v>#NUM!</v>
      </c>
      <c r="J166" s="157" t="e">
        <f>Tabella34[[#This Row],[Spain fitted d.t.]]/Spain_dt_at_lockdown</f>
        <v>#NUM!</v>
      </c>
      <c r="K166" s="95">
        <f>Tabella34[[#This Row],[Spain cumul. Fit]]/Kf</f>
        <v>0.99282439924737509</v>
      </c>
      <c r="L166" s="160"/>
      <c r="M166" s="95"/>
      <c r="N166" s="157">
        <f>IFERROR(Kt*_xlfn.LOGNORM.DIST((Tabella34[[#This Row],[Day]]-pt),mu_t,sigma_t,FALSE),0)</f>
        <v>166.47406603522003</v>
      </c>
      <c r="O166" s="157" t="e">
        <f>Kt*EXP(-0.5*Tabella34[[#This Row],[x_t]]^2)/(sigma_t*SQRTPI(2)*(Tabella34[[#This Row],[Day]]-D_bk))</f>
        <v>#NAME?</v>
      </c>
      <c r="P166" s="199">
        <f>Tabella34[[#This Row],[Spain fitted velocity]]/Tabella34[[#This Row],[Spain cumul. Fit]]</f>
        <v>5.988475480796329E-4</v>
      </c>
      <c r="Q166" s="262">
        <f>(LN(Tabella34[[#This Row],[Day]]-pt)-mu_t)/sigma_t</f>
        <v>2.4483503941500642</v>
      </c>
      <c r="R166" s="262">
        <f>EXP(mu_t+sigma_t*Tabella34[[#This Row],[x_t_alpha©+plus]])-(Tabella34[[#This Row],[Day]]-pt)</f>
        <v>8.4530254975600343</v>
      </c>
      <c r="S166" s="262">
        <f>EXP(mu_t+sigma_t*Tabella34[[#This Row],[x_t_alpha©-minus]])-(Tabella34[[#This Row],[Day]]-pt)</f>
        <v>-97.560012787768031</v>
      </c>
      <c r="T166" s="262">
        <f>-sigma_t+SQRT(sigma_t^2-2*Tabella34[[#This Row],[c_t]])</f>
        <v>2.6924902334376504</v>
      </c>
      <c r="U166" s="262">
        <f>-sigma_t-SQRT(sigma_t^2-2*Tabella34[[#This Row],[c_t]])</f>
        <v>-3.2299295832808173</v>
      </c>
      <c r="V166" s="262">
        <f>mu_t-LN(alpha*Kt/(Tabella34[[#This Row],[Spain fitted velocity]]*sigma_t*SQRTPI(2)))</f>
        <v>-4.3482769288374694</v>
      </c>
      <c r="W166" s="262">
        <f>Tabella34[[#This Row],[Spain fitted g.r.]]/Spain_gr_at_lockdown</f>
        <v>2.8899806964665267E-3</v>
      </c>
      <c r="X166" s="262">
        <f>Tabella34[[#This Row],[t_alpha_t+plus]]</f>
        <v>8.4530254975600343</v>
      </c>
      <c r="Y166" s="262">
        <f>Tabella34[[#This Row],[Spain fitted h.t.]]/Spain_ht_at_lockdown</f>
        <v>0.13731233382110694</v>
      </c>
      <c r="Z166" s="90">
        <f>IFERROR(-Kf*_xlfn.LOGNORM.DIST((Tabella34[[#This Row],[Day]]-pf),mu_f,sigma_f,FALSE)*(1+(LN((Tabella34[[#This Row],[Day]]-pf))-mu_f)/sigma_f^2)/(Tabella34[[#This Row],[Day]]-pf),0)</f>
        <v>-13.501989491102597</v>
      </c>
      <c r="AA166" s="90">
        <f>Tabella34[[#This Row],[Spain acc. fit]]/Spain_acc_at_lockdown</f>
        <v>-4.6010316692019715E-2</v>
      </c>
      <c r="AB166" s="95">
        <f>Tabella34[[#This Row],[Spain acc. fit]]/y_f_peak</f>
        <v>-2.022871234547243E-3</v>
      </c>
      <c r="AC166" s="157">
        <f>Tabella34[[#This Row],[Colonna4]]*NOT(ISBLANK(Tabella34[[#This Row],[Spain daily cases]]))</f>
        <v>0</v>
      </c>
      <c r="AD166" s="157">
        <f>Tabella34[[#This Row],[Spain acc. fit]]*NOT(ISBLANK(Tabella34[[#This Row],[Spain daily cases]]))</f>
        <v>0</v>
      </c>
      <c r="AE166" s="95">
        <f>Tabella34[[#This Row],[Spain acc. fit]]+CIf</f>
        <v>2329.1864281899902</v>
      </c>
      <c r="AF166" s="95">
        <f>MAX(Tabella34[[#This Row],[Spain acc. fit]]-CIf,0)</f>
        <v>0</v>
      </c>
      <c r="AH166" s="10"/>
      <c r="AI166" s="10"/>
      <c r="AJ166" s="136">
        <f>Tabella34[[#This Row],[Lombardy data]]*NOT(ISBLANK(Tabella34[[#This Row],[Lombardy data]]))</f>
        <v>0</v>
      </c>
      <c r="AK166" s="95">
        <f>Tabella8[[#This Row],[Lombardy fit]]</f>
        <v>85627.916661635274</v>
      </c>
      <c r="AL166" s="157" t="e">
        <f>_xlfn.LOGNORM.INV(alpha*Tabella34[[#This Row],[Lombardy cumul. Fit]]/Kr,mu_r,sigma_r)-(Tabella34[[#This Row],[Day]]-pr)</f>
        <v>#NUM!</v>
      </c>
      <c r="AM166" s="95">
        <f>Tabella34[[#This Row],[Lombardy cumul. Fit]]/Kl</f>
        <v>0.98422892714523302</v>
      </c>
      <c r="AN166" s="95">
        <f>IFERROR(Kr*_xlfn.LOGNORM.DIST((Tabella34[[#This Row],[Day]]-pr),mu_r,sigma_r,FALSE),0)</f>
        <v>79.07371791020195</v>
      </c>
      <c r="AO166" s="202">
        <f>Tabella34[[#This Row],[Lombardy velocity]]/Tabella34[[#This Row],[Lombardy cumul. Fit]]</f>
        <v>9.234572204140771E-4</v>
      </c>
      <c r="AP166" s="259">
        <f>(LN(Tabella34[[#This Row],[Day]]-pr)-mu_r)/sigma_r</f>
        <v>2.1501652513369964</v>
      </c>
      <c r="AQ166" s="262">
        <f>EXP(mu_r+sigma_r*Tabella34[[#This Row],[x_r_alpha©+plus]])-(Tabella34[[#This Row],[Day]]-pr)</f>
        <v>12.029122437185407</v>
      </c>
      <c r="AR166" s="262">
        <f>EXP(mu_r+sigma_r*Tabella34[[#This Row],[x_r_alpha©-minus]])-(Tabella34[[#This Row],[Day]]-pr)</f>
        <v>-106.35207069362386</v>
      </c>
      <c r="AS166" s="262">
        <f>-sigma_r+SQRT(sigma_r^2-2*Tabella34[[#This Row],[c_r]])</f>
        <v>2.4144493975378181</v>
      </c>
      <c r="AT166" s="262">
        <f>-sigma_r-SQRT(sigma_r^2-2*Tabella34[[#This Row],[c_r]])</f>
        <v>-3.0953039947315473</v>
      </c>
      <c r="AU166" s="262">
        <f>mu_r-LN(alpha*Kr/(Tabella34[[#This Row],[Lombardy velocity]]*sigma_r*SQRTPI(2)))</f>
        <v>-3.7367274326379931</v>
      </c>
      <c r="AV166" s="262">
        <f>Tabella34[[#This Row],[t_alpha_r+plus]]</f>
        <v>12.029122437185407</v>
      </c>
      <c r="AW166" s="90">
        <f>IFERROR(-Kl*_xlfn.LOGNORM.DIST((Tabella34[[#This Row],[Day]]-pl),mu_l,sigma_l,FALSE)*(1+(LN((Tabella34[[#This Row],[Day]]-pl))-mu_l)/sigma_l^2)/(Tabella34[[#This Row],[Day]]-pl),0)</f>
        <v>-4.5274651102420895</v>
      </c>
      <c r="AX166" s="95">
        <f>Tabella34[[#This Row],[Lombardy acc. fit]]/y_l_peak</f>
        <v>-2.5754165890366559E-3</v>
      </c>
      <c r="AY166" s="157">
        <f>Tabella34[[#This Row],[Lombardy acc. fit]]*NOT(ISBLANK(Tabella34[[#This Row],[Lombardy data]]))</f>
        <v>0</v>
      </c>
      <c r="AZ166" s="95">
        <f>Tabella34[[#This Row],[Lombardy acc. fit]]+CIl</f>
        <v>2565.8548578061664</v>
      </c>
      <c r="BA166" s="95">
        <f>MAX(Tabella34[[#This Row],[Lombardy acc. fit]]-CIl,0)</f>
        <v>0</v>
      </c>
      <c r="BC166" s="10"/>
      <c r="BD166" s="10"/>
      <c r="BE166" s="95">
        <f>Tabella34[[#This Row],[rest of Italy data]]*NOT(ISBLANK(Tabella34[[#This Row],[rest of Italy data]]))</f>
        <v>0</v>
      </c>
      <c r="BF166" s="95">
        <f>Tabella8[[#This Row],[rest of Italy fit]]</f>
        <v>146557.68425847558</v>
      </c>
      <c r="BG166" s="157" t="e">
        <f>_xlfn.LOGNORM.INV(alpha*Tabella34[[#This Row],[rest of Italy cumul. Fit]]/Ko,mu_o,sigma_o)-(Tabella34[[#This Row],[Day]]-po)</f>
        <v>#NUM!</v>
      </c>
      <c r="BH166" s="95">
        <f>Tabella34[[#This Row],[rest of Italy cumul. Fit]]/Ka</f>
        <v>0.99025473864512303</v>
      </c>
      <c r="BI166" s="157">
        <f>IFERROR(Ko*_xlfn.LOGNORM.DIST((Tabella34[[#This Row],[Day]]-po),mu_o,sigma_o,FALSE),0)</f>
        <v>98.911509531068333</v>
      </c>
      <c r="BJ166" s="199">
        <f>Tabella34[[#This Row],[rest of Italy velocity]]/Tabella34[[#This Row],[rest of Italy cumul. Fit]]</f>
        <v>6.7489814697551883E-4</v>
      </c>
      <c r="BK166" s="254">
        <f>(LN(Tabella34[[#This Row],[Day]]-po)-mu_o)/sigma_o</f>
        <v>2.3360137924144517</v>
      </c>
      <c r="BL166" s="262">
        <f>EXP(mu_o+sigma_o*Tabella34[[#This Row],[x_o_alpha©+plus]])-(Tabella34[[#This Row],[Day]]-po)</f>
        <v>10.114090531350158</v>
      </c>
      <c r="BM166" s="262">
        <f>EXP(mu_o+sigma_o*Tabella34[[#This Row],[x_o_alpha©-minus]])-(Tabella34[[#This Row],[Day]]-po)</f>
        <v>-101.00885788754198</v>
      </c>
      <c r="BN166" s="262">
        <f>-sigma_o+SQRT(sigma_o^2-2*Tabella34[[#This Row],[c_o]])</f>
        <v>2.5851614354727861</v>
      </c>
      <c r="BO166" s="262">
        <f>-sigma_o-SQRT(sigma_o^2-2*Tabella34[[#This Row],[c_o]])</f>
        <v>-3.2281342127718125</v>
      </c>
      <c r="BP166" s="262">
        <f>mu_o-LN(alpha*Ko/(Tabella34[[#This Row],[rest of Italy velocity]]*sigma_o*SQRTPI(2)))</f>
        <v>-4.1726240376939954</v>
      </c>
      <c r="BQ166" s="262">
        <f>Tabella34[[#This Row],[t_alpha_o+plus]]</f>
        <v>10.114090531350158</v>
      </c>
      <c r="BR166" s="90">
        <f>IFERROR(-Ka*_xlfn.LOGNORM.DIST((Tabella34[[#This Row],[Day]]-pa),mu_a,sigma_a,FALSE)*(1+(LN((Tabella34[[#This Row],[Day]]-pa))-mu_a)/sigma_a^2)/(Tabella34[[#This Row],[Day]]-pa),0)</f>
        <v>-6.7415403002450294</v>
      </c>
      <c r="BS166" s="95">
        <f>Tabella34[[#This Row],[rest of Italy acc. fit]]/y_a_peak</f>
        <v>-1.9950407885376414E-3</v>
      </c>
      <c r="BT166" s="136">
        <f>Tabella34[[#This Row],[rest of Italy acc. fit]]*NOT(ISBLANK(Tabella34[[#This Row],[rest of Italy data]]))</f>
        <v>0</v>
      </c>
      <c r="BU166" s="205"/>
      <c r="BV166" s="137"/>
    </row>
    <row r="167" spans="2:74" x14ac:dyDescent="0.3">
      <c r="B167" s="281">
        <v>43990</v>
      </c>
      <c r="C167" s="4">
        <v>160</v>
      </c>
      <c r="E167" s="10"/>
      <c r="F167" s="10"/>
      <c r="G167" s="136">
        <f>Tabella34[[#This Row],[Spain daily cases]]*NOT(ISBLANK(Tabella34[[#This Row],[Spain daily cases]]))</f>
        <v>0</v>
      </c>
      <c r="H167" s="157">
        <f>Tabella8[[#This Row],[Spain cum. fit]]</f>
        <v>278150.62404324947</v>
      </c>
      <c r="I167" s="157" t="e">
        <f>_xlfn.LOGNORM.INV(alpha*Tabella34[[#This Row],[Spain cumul. Fit]]/Kt,mu_t,sigma_t)-(Tabella34[[#This Row],[Day]]-pt)</f>
        <v>#NUM!</v>
      </c>
      <c r="J167" s="157" t="e">
        <f>Tabella34[[#This Row],[Spain fitted d.t.]]/Spain_dt_at_lockdown</f>
        <v>#NUM!</v>
      </c>
      <c r="K167" s="95">
        <f>Tabella34[[#This Row],[Spain cumul. Fit]]/Kf</f>
        <v>0.99339545566262222</v>
      </c>
      <c r="L167" s="160"/>
      <c r="M167" s="95"/>
      <c r="N167" s="157">
        <f>IFERROR(Kt*_xlfn.LOGNORM.DIST((Tabella34[[#This Row],[Day]]-pt),mu_t,sigma_t,FALSE),0)</f>
        <v>153.48693661645916</v>
      </c>
      <c r="O167" s="157" t="e">
        <f>Kt*EXP(-0.5*Tabella34[[#This Row],[x_t]]^2)/(sigma_t*SQRTPI(2)*(Tabella34[[#This Row],[Day]]-D_bk))</f>
        <v>#NAME?</v>
      </c>
      <c r="P167" s="199">
        <f>Tabella34[[#This Row],[Spain fitted velocity]]/Tabella34[[#This Row],[Spain cumul. Fit]]</f>
        <v>5.518123036552799E-4</v>
      </c>
      <c r="Q167" s="262">
        <f>(LN(Tabella34[[#This Row],[Day]]-pt)-mu_t)/sigma_t</f>
        <v>2.4780817223159697</v>
      </c>
      <c r="R167" s="262">
        <f>EXP(mu_t+sigma_t*Tabella34[[#This Row],[x_t_alpha©+plus]])-(Tabella34[[#This Row],[Day]]-pt)</f>
        <v>8.4333138051579368</v>
      </c>
      <c r="S167" s="262">
        <f>EXP(mu_t+sigma_t*Tabella34[[#This Row],[x_t_alpha©-minus]])-(Tabella34[[#This Row],[Day]]-pt)</f>
        <v>-98.758165698576263</v>
      </c>
      <c r="T167" s="262">
        <f>-sigma_t+SQRT(sigma_t^2-2*Tabella34[[#This Row],[c_t]])</f>
        <v>2.7197937142045334</v>
      </c>
      <c r="U167" s="262">
        <f>-sigma_t-SQRT(sigma_t^2-2*Tabella34[[#This Row],[c_t]])</f>
        <v>-3.2572330640477003</v>
      </c>
      <c r="V167" s="262">
        <f>mu_t-LN(alpha*Kt/(Tabella34[[#This Row],[Spain fitted velocity]]*sigma_t*SQRTPI(2)))</f>
        <v>-4.4295010066480529</v>
      </c>
      <c r="W167" s="262">
        <f>Tabella34[[#This Row],[Spain fitted g.r.]]/Spain_gr_at_lockdown</f>
        <v>2.6629931286358418E-3</v>
      </c>
      <c r="X167" s="262">
        <f>Tabella34[[#This Row],[t_alpha_t+plus]]</f>
        <v>8.4333138051579368</v>
      </c>
      <c r="Y167" s="262">
        <f>Tabella34[[#This Row],[Spain fitted h.t.]]/Spain_ht_at_lockdown</f>
        <v>0.13699213385387901</v>
      </c>
      <c r="Z167" s="90">
        <f>IFERROR(-Kf*_xlfn.LOGNORM.DIST((Tabella34[[#This Row],[Day]]-pf),mu_f,sigma_f,FALSE)*(1+(LN((Tabella34[[#This Row],[Day]]-pf))-mu_f)/sigma_f^2)/(Tabella34[[#This Row],[Day]]-pf),0)</f>
        <v>-12.484733287225488</v>
      </c>
      <c r="AA167" s="90">
        <f>Tabella34[[#This Row],[Spain acc. fit]]/Spain_acc_at_lockdown</f>
        <v>-4.2543843834212343E-2</v>
      </c>
      <c r="AB167" s="95">
        <f>Tabella34[[#This Row],[Spain acc. fit]]/y_f_peak</f>
        <v>-1.8704656713268198E-3</v>
      </c>
      <c r="AC167" s="157">
        <f>Tabella34[[#This Row],[Colonna4]]*NOT(ISBLANK(Tabella34[[#This Row],[Spain daily cases]]))</f>
        <v>0</v>
      </c>
      <c r="AD167" s="157">
        <f>Tabella34[[#This Row],[Spain acc. fit]]*NOT(ISBLANK(Tabella34[[#This Row],[Spain daily cases]]))</f>
        <v>0</v>
      </c>
      <c r="AE167" s="95">
        <f>Tabella34[[#This Row],[Spain acc. fit]]+CIf</f>
        <v>2330.2036843938672</v>
      </c>
      <c r="AF167" s="95">
        <f>MAX(Tabella34[[#This Row],[Spain acc. fit]]-CIf,0)</f>
        <v>0</v>
      </c>
      <c r="AH167" s="10"/>
      <c r="AI167" s="10"/>
      <c r="AJ167" s="136">
        <f>Tabella34[[#This Row],[Lombardy data]]*NOT(ISBLANK(Tabella34[[#This Row],[Lombardy data]]))</f>
        <v>0</v>
      </c>
      <c r="AK167" s="95">
        <f>Tabella8[[#This Row],[Lombardy fit]]</f>
        <v>85704.768241591519</v>
      </c>
      <c r="AL167" s="157" t="e">
        <f>_xlfn.LOGNORM.INV(alpha*Tabella34[[#This Row],[Lombardy cumul. Fit]]/Kr,mu_r,sigma_r)-(Tabella34[[#This Row],[Day]]-pr)</f>
        <v>#NUM!</v>
      </c>
      <c r="AM167" s="95">
        <f>Tabella34[[#This Row],[Lombardy cumul. Fit]]/Kl</f>
        <v>0.98511227863898299</v>
      </c>
      <c r="AN167" s="95">
        <f>IFERROR(Kr*_xlfn.LOGNORM.DIST((Tabella34[[#This Row],[Day]]-pr),mu_r,sigma_r,FALSE),0)</f>
        <v>74.670491596837081</v>
      </c>
      <c r="AO167" s="202">
        <f>Tabella34[[#This Row],[Lombardy velocity]]/Tabella34[[#This Row],[Lombardy cumul. Fit]]</f>
        <v>8.7125247671576299E-4</v>
      </c>
      <c r="AP167" s="259">
        <f>(LN(Tabella34[[#This Row],[Day]]-pr)-mu_r)/sigma_r</f>
        <v>2.1730647709123767</v>
      </c>
      <c r="AQ167" s="262">
        <f>EXP(mu_r+sigma_r*Tabella34[[#This Row],[x_r_alpha©+plus]])-(Tabella34[[#This Row],[Day]]-pr)</f>
        <v>12.018755727775243</v>
      </c>
      <c r="AR167" s="262">
        <f>EXP(mu_r+sigma_r*Tabella34[[#This Row],[x_r_alpha©-minus]])-(Tabella34[[#This Row],[Day]]-pr)</f>
        <v>-107.50266814030816</v>
      </c>
      <c r="AS167" s="262">
        <f>-sigma_r+SQRT(sigma_r^2-2*Tabella34[[#This Row],[c_r]])</f>
        <v>2.435169348001077</v>
      </c>
      <c r="AT167" s="262">
        <f>-sigma_r-SQRT(sigma_r^2-2*Tabella34[[#This Row],[c_r]])</f>
        <v>-3.1160239451948062</v>
      </c>
      <c r="AU167" s="262">
        <f>mu_r-LN(alpha*Kr/(Tabella34[[#This Row],[Lombardy velocity]]*sigma_r*SQRTPI(2)))</f>
        <v>-3.7940229994878898</v>
      </c>
      <c r="AV167" s="262">
        <f>Tabella34[[#This Row],[t_alpha_r+plus]]</f>
        <v>12.018755727775243</v>
      </c>
      <c r="AW167" s="90">
        <f>IFERROR(-Kl*_xlfn.LOGNORM.DIST((Tabella34[[#This Row],[Day]]-pl),mu_l,sigma_l,FALSE)*(1+(LN((Tabella34[[#This Row],[Day]]-pl))-mu_l)/sigma_l^2)/(Tabella34[[#This Row],[Day]]-pl),0)</f>
        <v>-4.2811574748531438</v>
      </c>
      <c r="AX167" s="95">
        <f>Tabella34[[#This Row],[Lombardy acc. fit]]/y_l_peak</f>
        <v>-2.4353062282186214E-3</v>
      </c>
      <c r="AY167" s="157">
        <f>Tabella34[[#This Row],[Lombardy acc. fit]]*NOT(ISBLANK(Tabella34[[#This Row],[Lombardy data]]))</f>
        <v>0</v>
      </c>
      <c r="AZ167" s="95">
        <f>Tabella34[[#This Row],[Lombardy acc. fit]]+CIl</f>
        <v>2566.1011654415556</v>
      </c>
      <c r="BA167" s="95">
        <f>MAX(Tabella34[[#This Row],[Lombardy acc. fit]]-CIl,0)</f>
        <v>0</v>
      </c>
      <c r="BC167" s="10"/>
      <c r="BD167" s="10"/>
      <c r="BE167" s="95">
        <f>Tabella34[[#This Row],[rest of Italy data]]*NOT(ISBLANK(Tabella34[[#This Row],[rest of Italy data]]))</f>
        <v>0</v>
      </c>
      <c r="BF167" s="95">
        <f>Tabella8[[#This Row],[rest of Italy fit]]</f>
        <v>146653.29881776491</v>
      </c>
      <c r="BG167" s="157" t="e">
        <f>_xlfn.LOGNORM.INV(alpha*Tabella34[[#This Row],[rest of Italy cumul. Fit]]/Ko,mu_o,sigma_o)-(Tabella34[[#This Row],[Day]]-po)</f>
        <v>#NUM!</v>
      </c>
      <c r="BH167" s="95">
        <f>Tabella34[[#This Row],[rest of Italy cumul. Fit]]/Ka</f>
        <v>0.99090078303985252</v>
      </c>
      <c r="BI167" s="157">
        <f>IFERROR(Ko*_xlfn.LOGNORM.DIST((Tabella34[[#This Row],[Day]]-po),mu_o,sigma_o,FALSE),0)</f>
        <v>92.390260993342054</v>
      </c>
      <c r="BJ167" s="199">
        <f>Tabella34[[#This Row],[rest of Italy velocity]]/Tabella34[[#This Row],[rest of Italy cumul. Fit]]</f>
        <v>6.2999101785053279E-4</v>
      </c>
      <c r="BK167" s="254">
        <f>(LN(Tabella34[[#This Row],[Day]]-po)-mu_o)/sigma_o</f>
        <v>2.3615557805636147</v>
      </c>
      <c r="BL167" s="262">
        <f>EXP(mu_o+sigma_o*Tabella34[[#This Row],[x_o_alpha©+plus]])-(Tabella34[[#This Row],[Day]]-po)</f>
        <v>10.105047176089798</v>
      </c>
      <c r="BM167" s="262">
        <f>EXP(mu_o+sigma_o*Tabella34[[#This Row],[x_o_alpha©-minus]])-(Tabella34[[#This Row],[Day]]-po)</f>
        <v>-102.16061206201712</v>
      </c>
      <c r="BN167" s="262">
        <f>-sigma_o+SQRT(sigma_o^2-2*Tabella34[[#This Row],[c_o]])</f>
        <v>2.6085323216825183</v>
      </c>
      <c r="BO167" s="262">
        <f>-sigma_o-SQRT(sigma_o^2-2*Tabella34[[#This Row],[c_o]])</f>
        <v>-3.2515050989815446</v>
      </c>
      <c r="BP167" s="262">
        <f>mu_o-LN(alpha*Ko/(Tabella34[[#This Row],[rest of Italy velocity]]*sigma_o*SQRTPI(2)))</f>
        <v>-4.2408280724044376</v>
      </c>
      <c r="BQ167" s="262">
        <f>Tabella34[[#This Row],[t_alpha_o+plus]]</f>
        <v>10.105047176089798</v>
      </c>
      <c r="BR167" s="90">
        <f>IFERROR(-Ka*_xlfn.LOGNORM.DIST((Tabella34[[#This Row],[Day]]-pa),mu_a,sigma_a,FALSE)*(1+(LN((Tabella34[[#This Row],[Day]]-pa))-mu_a)/sigma_a^2)/(Tabella34[[#This Row],[Day]]-pa),0)</f>
        <v>-6.3056016107687922</v>
      </c>
      <c r="BS167" s="95">
        <f>Tabella34[[#This Row],[rest of Italy acc. fit]]/y_a_peak</f>
        <v>-1.8660323678989445E-3</v>
      </c>
      <c r="BT167" s="136">
        <f>Tabella34[[#This Row],[rest of Italy acc. fit]]*NOT(ISBLANK(Tabella34[[#This Row],[rest of Italy data]]))</f>
        <v>0</v>
      </c>
      <c r="BU167" s="205"/>
      <c r="BV167" s="137"/>
    </row>
    <row r="168" spans="2:74" x14ac:dyDescent="0.3">
      <c r="B168" s="281">
        <v>43991</v>
      </c>
      <c r="C168" s="4">
        <v>161</v>
      </c>
      <c r="E168" s="10"/>
      <c r="F168" s="10"/>
      <c r="G168" s="136">
        <f>Tabella34[[#This Row],[Spain daily cases]]*NOT(ISBLANK(Tabella34[[#This Row],[Spain daily cases]]))</f>
        <v>0</v>
      </c>
      <c r="H168" s="157">
        <f>Tabella8[[#This Row],[Spain cum. fit]]</f>
        <v>278298.02901525935</v>
      </c>
      <c r="I168" s="157" t="e">
        <f>_xlfn.LOGNORM.INV(alpha*Tabella34[[#This Row],[Spain cumul. Fit]]/Kt,mu_t,sigma_t)-(Tabella34[[#This Row],[Day]]-pt)</f>
        <v>#NUM!</v>
      </c>
      <c r="J168" s="157" t="e">
        <f>Tabella34[[#This Row],[Spain fitted d.t.]]/Spain_dt_at_lockdown</f>
        <v>#NUM!</v>
      </c>
      <c r="K168" s="95">
        <f>Tabella34[[#This Row],[Spain cumul. Fit]]/Kf</f>
        <v>0.9939219021872</v>
      </c>
      <c r="L168" s="160"/>
      <c r="M168" s="95"/>
      <c r="N168" s="157">
        <f>IFERROR(Kt*_xlfn.LOGNORM.DIST((Tabella34[[#This Row],[Day]]-pt),mu_t,sigma_t,FALSE),0)</f>
        <v>141.48047233951266</v>
      </c>
      <c r="O168" s="157" t="e">
        <f>Kt*EXP(-0.5*Tabella34[[#This Row],[x_t]]^2)/(sigma_t*SQRTPI(2)*(Tabella34[[#This Row],[Day]]-D_bk))</f>
        <v>#NAME?</v>
      </c>
      <c r="P168" s="199">
        <f>Tabella34[[#This Row],[Spain fitted velocity]]/Tabella34[[#This Row],[Spain cumul. Fit]]</f>
        <v>5.0837755782939863E-4</v>
      </c>
      <c r="Q168" s="262">
        <f>(LN(Tabella34[[#This Row],[Day]]-pt)-mu_t)/sigma_t</f>
        <v>2.5075773967085326</v>
      </c>
      <c r="R168" s="262">
        <f>EXP(mu_t+sigma_t*Tabella34[[#This Row],[x_t_alpha©+plus]])-(Tabella34[[#This Row],[Day]]-pt)</f>
        <v>8.4146123181025558</v>
      </c>
      <c r="S168" s="262">
        <f>EXP(mu_t+sigma_t*Tabella34[[#This Row],[x_t_alpha©-minus]])-(Tabella34[[#This Row],[Day]]-pt)</f>
        <v>-99.953642360006882</v>
      </c>
      <c r="T168" s="262">
        <f>-sigma_t+SQRT(sigma_t^2-2*Tabella34[[#This Row],[c_t]])</f>
        <v>2.7469261582395079</v>
      </c>
      <c r="U168" s="262">
        <f>-sigma_t-SQRT(sigma_t^2-2*Tabella34[[#This Row],[c_t]])</f>
        <v>-3.2843655080826748</v>
      </c>
      <c r="V168" s="262">
        <f>mu_t-LN(alpha*Kt/(Tabella34[[#This Row],[Spain fitted velocity]]*sigma_t*SQRTPI(2)))</f>
        <v>-4.5109547636859446</v>
      </c>
      <c r="W168" s="262">
        <f>Tabella34[[#This Row],[Spain fitted g.r.]]/Spain_gr_at_lockdown</f>
        <v>2.4533812209053037E-3</v>
      </c>
      <c r="X168" s="262">
        <f>Tabella34[[#This Row],[t_alpha_t+plus]]</f>
        <v>8.4146123181025558</v>
      </c>
      <c r="Y168" s="262">
        <f>Tabella34[[#This Row],[Spain fitted h.t.]]/Spain_ht_at_lockdown</f>
        <v>0.13668834382813724</v>
      </c>
      <c r="Z168" s="90">
        <f>IFERROR(-Kf*_xlfn.LOGNORM.DIST((Tabella34[[#This Row],[Day]]-pf),mu_f,sigma_f,FALSE)*(1+(LN((Tabella34[[#This Row],[Day]]-pf))-mu_f)/sigma_f^2)/(Tabella34[[#This Row],[Day]]-pf),0)</f>
        <v>-11.539866361187073</v>
      </c>
      <c r="AA168" s="90">
        <f>Tabella34[[#This Row],[Spain acc. fit]]/Spain_acc_at_lockdown</f>
        <v>-3.9324049704799746E-2</v>
      </c>
      <c r="AB168" s="95">
        <f>Tabella34[[#This Row],[Spain acc. fit]]/y_f_peak</f>
        <v>-1.7289054867023462E-3</v>
      </c>
      <c r="AC168" s="157">
        <f>Tabella34[[#This Row],[Colonna4]]*NOT(ISBLANK(Tabella34[[#This Row],[Spain daily cases]]))</f>
        <v>0</v>
      </c>
      <c r="AD168" s="157">
        <f>Tabella34[[#This Row],[Spain acc. fit]]*NOT(ISBLANK(Tabella34[[#This Row],[Spain daily cases]]))</f>
        <v>0</v>
      </c>
      <c r="AE168" s="95">
        <f>Tabella34[[#This Row],[Spain acc. fit]]+CIf</f>
        <v>2331.1485513199054</v>
      </c>
      <c r="AF168" s="95">
        <f>MAX(Tabella34[[#This Row],[Spain acc. fit]]-CIf,0)</f>
        <v>0</v>
      </c>
      <c r="AH168" s="10"/>
      <c r="AI168" s="10"/>
      <c r="AJ168" s="136">
        <f>Tabella34[[#This Row],[Lombardy data]]*NOT(ISBLANK(Tabella34[[#This Row],[Lombardy data]]))</f>
        <v>0</v>
      </c>
      <c r="AK168" s="95">
        <f>Tabella8[[#This Row],[Lombardy fit]]</f>
        <v>85777.337604053508</v>
      </c>
      <c r="AL168" s="157" t="e">
        <f>_xlfn.LOGNORM.INV(alpha*Tabella34[[#This Row],[Lombardy cumul. Fit]]/Kr,mu_r,sigma_r)-(Tabella34[[#This Row],[Day]]-pr)</f>
        <v>#NUM!</v>
      </c>
      <c r="AM168" s="95">
        <f>Tabella34[[#This Row],[Lombardy cumul. Fit]]/Kl</f>
        <v>0.98594640924199439</v>
      </c>
      <c r="AN168" s="95">
        <f>IFERROR(Kr*_xlfn.LOGNORM.DIST((Tabella34[[#This Row],[Day]]-pr),mu_r,sigma_r,FALSE),0)</f>
        <v>70.507162776822412</v>
      </c>
      <c r="AO168" s="202">
        <f>Tabella34[[#This Row],[Lombardy velocity]]/Tabella34[[#This Row],[Lombardy cumul. Fit]]</f>
        <v>8.2197891361797772E-4</v>
      </c>
      <c r="AP168" s="259">
        <f>(LN(Tabella34[[#This Row],[Day]]-pr)-mu_r)/sigma_r</f>
        <v>2.1957871544936456</v>
      </c>
      <c r="AQ168" s="262">
        <f>EXP(mu_r+sigma_r*Tabella34[[#This Row],[x_r_alpha©+plus]])-(Tabella34[[#This Row],[Day]]-pr)</f>
        <v>12.009279989049276</v>
      </c>
      <c r="AR168" s="262">
        <f>EXP(mu_r+sigma_r*Tabella34[[#This Row],[x_r_alpha©-minus]])-(Tabella34[[#This Row],[Day]]-pr)</f>
        <v>-108.65129607610622</v>
      </c>
      <c r="AS168" s="262">
        <f>-sigma_r+SQRT(sigma_r^2-2*Tabella34[[#This Row],[c_r]])</f>
        <v>2.4557626293560069</v>
      </c>
      <c r="AT168" s="262">
        <f>-sigma_r-SQRT(sigma_r^2-2*Tabella34[[#This Row],[c_r]])</f>
        <v>-3.1366172265497361</v>
      </c>
      <c r="AU168" s="262">
        <f>mu_r-LN(alpha*Kr/(Tabella34[[#This Row],[Lombardy velocity]]*sigma_r*SQRTPI(2)))</f>
        <v>-3.8513936837775633</v>
      </c>
      <c r="AV168" s="262">
        <f>Tabella34[[#This Row],[t_alpha_r+plus]]</f>
        <v>12.009279989049276</v>
      </c>
      <c r="AW168" s="90">
        <f>IFERROR(-Kl*_xlfn.LOGNORM.DIST((Tabella34[[#This Row],[Day]]-pl),mu_l,sigma_l,FALSE)*(1+(LN((Tabella34[[#This Row],[Day]]-pl))-mu_l)/sigma_l^2)/(Tabella34[[#This Row],[Day]]-pl),0)</f>
        <v>-4.0475710265428066</v>
      </c>
      <c r="AX168" s="95">
        <f>Tabella34[[#This Row],[Lombardy acc. fit]]/y_l_peak</f>
        <v>-2.3024322249288582E-3</v>
      </c>
      <c r="AY168" s="157">
        <f>Tabella34[[#This Row],[Lombardy acc. fit]]*NOT(ISBLANK(Tabella34[[#This Row],[Lombardy data]]))</f>
        <v>0</v>
      </c>
      <c r="AZ168" s="95">
        <f>Tabella34[[#This Row],[Lombardy acc. fit]]+CIl</f>
        <v>2566.3347518898659</v>
      </c>
      <c r="BA168" s="95">
        <f>MAX(Tabella34[[#This Row],[Lombardy acc. fit]]-CIl,0)</f>
        <v>0</v>
      </c>
      <c r="BC168" s="10"/>
      <c r="BD168" s="10"/>
      <c r="BE168" s="95">
        <f>Tabella34[[#This Row],[rest of Italy data]]*NOT(ISBLANK(Tabella34[[#This Row],[rest of Italy data]]))</f>
        <v>0</v>
      </c>
      <c r="BF168" s="95">
        <f>Tabella8[[#This Row],[rest of Italy fit]]</f>
        <v>146742.60551973694</v>
      </c>
      <c r="BG168" s="157" t="e">
        <f>_xlfn.LOGNORM.INV(alpha*Tabella34[[#This Row],[rest of Italy cumul. Fit]]/Ko,mu_o,sigma_o)-(Tabella34[[#This Row],[Day]]-po)</f>
        <v>#NUM!</v>
      </c>
      <c r="BH168" s="95">
        <f>Tabella34[[#This Row],[rest of Italy cumul. Fit]]/Ka</f>
        <v>0.99150420677207118</v>
      </c>
      <c r="BI168" s="157">
        <f>IFERROR(Ko*_xlfn.LOGNORM.DIST((Tabella34[[#This Row],[Day]]-po),mu_o,sigma_o,FALSE),0)</f>
        <v>86.291283072030623</v>
      </c>
      <c r="BJ168" s="199">
        <f>Tabella34[[#This Row],[rest of Italy velocity]]/Tabella34[[#This Row],[rest of Italy cumul. Fit]]</f>
        <v>5.8804518814697211E-4</v>
      </c>
      <c r="BK168" s="254">
        <f>(LN(Tabella34[[#This Row],[Day]]-po)-mu_o)/sigma_o</f>
        <v>2.3868897402381957</v>
      </c>
      <c r="BL168" s="262">
        <f>EXP(mu_o+sigma_o*Tabella34[[#This Row],[x_o_alpha©+plus]])-(Tabella34[[#This Row],[Day]]-po)</f>
        <v>10.096838333145158</v>
      </c>
      <c r="BM168" s="262">
        <f>EXP(mu_o+sigma_o*Tabella34[[#This Row],[x_o_alpha©-minus]])-(Tabella34[[#This Row],[Day]]-po)</f>
        <v>-103.31023623588587</v>
      </c>
      <c r="BN168" s="262">
        <f>-sigma_o+SQRT(sigma_o^2-2*Tabella34[[#This Row],[c_o]])</f>
        <v>2.6317483830285973</v>
      </c>
      <c r="BO168" s="262">
        <f>-sigma_o-SQRT(sigma_o^2-2*Tabella34[[#This Row],[c_o]])</f>
        <v>-3.2747211603276236</v>
      </c>
      <c r="BP168" s="262">
        <f>mu_o-LN(alpha*Ko/(Tabella34[[#This Row],[rest of Italy velocity]]*sigma_o*SQRTPI(2)))</f>
        <v>-4.3091210592808773</v>
      </c>
      <c r="BQ168" s="262">
        <f>Tabella34[[#This Row],[t_alpha_o+plus]]</f>
        <v>10.096838333145158</v>
      </c>
      <c r="BR168" s="90">
        <f>IFERROR(-Ka*_xlfn.LOGNORM.DIST((Tabella34[[#This Row],[Day]]-pa),mu_a,sigma_a,FALSE)*(1+(LN((Tabella34[[#This Row],[Day]]-pa))-mu_a)/sigma_a^2)/(Tabella34[[#This Row],[Day]]-pa),0)</f>
        <v>-5.8967351018564331</v>
      </c>
      <c r="BS168" s="95">
        <f>Tabella34[[#This Row],[rest of Italy acc. fit]]/y_a_peak</f>
        <v>-1.7450354849881508E-3</v>
      </c>
      <c r="BT168" s="136">
        <f>Tabella34[[#This Row],[rest of Italy acc. fit]]*NOT(ISBLANK(Tabella34[[#This Row],[rest of Italy data]]))</f>
        <v>0</v>
      </c>
      <c r="BU168" s="205"/>
      <c r="BV168" s="137"/>
    </row>
    <row r="169" spans="2:74" x14ac:dyDescent="0.3">
      <c r="B169" s="281">
        <v>43992</v>
      </c>
      <c r="C169" s="4">
        <v>162</v>
      </c>
      <c r="E169" s="10"/>
      <c r="F169" s="10"/>
      <c r="G169" s="136">
        <f>Tabella34[[#This Row],[Spain daily cases]]*NOT(ISBLANK(Tabella34[[#This Row],[Spain daily cases]]))</f>
        <v>0</v>
      </c>
      <c r="H169" s="157">
        <f>Tabella8[[#This Row],[Spain cum. fit]]</f>
        <v>278433.88847601041</v>
      </c>
      <c r="I169" s="157" t="e">
        <f>_xlfn.LOGNORM.INV(alpha*Tabella34[[#This Row],[Spain cumul. Fit]]/Kt,mu_t,sigma_t)-(Tabella34[[#This Row],[Day]]-pt)</f>
        <v>#NUM!</v>
      </c>
      <c r="J169" s="157" t="e">
        <f>Tabella34[[#This Row],[Spain fitted d.t.]]/Spain_dt_at_lockdown</f>
        <v>#NUM!</v>
      </c>
      <c r="K169" s="95">
        <f>Tabella34[[#This Row],[Spain cumul. Fit]]/Kf</f>
        <v>0.99440711472764676</v>
      </c>
      <c r="L169" s="160"/>
      <c r="M169" s="95"/>
      <c r="N169" s="157">
        <f>IFERROR(Kt*_xlfn.LOGNORM.DIST((Tabella34[[#This Row],[Day]]-pt),mu_t,sigma_t,FALSE),0)</f>
        <v>130.38462299810527</v>
      </c>
      <c r="O169" s="157" t="e">
        <f>Kt*EXP(-0.5*Tabella34[[#This Row],[x_t]]^2)/(sigma_t*SQRTPI(2)*(Tabella34[[#This Row],[Day]]-D_bk))</f>
        <v>#NAME?</v>
      </c>
      <c r="P169" s="199">
        <f>Tabella34[[#This Row],[Spain fitted velocity]]/Tabella34[[#This Row],[Spain cumul. Fit]]</f>
        <v>4.6827856950803272E-4</v>
      </c>
      <c r="Q169" s="262">
        <f>(LN(Tabella34[[#This Row],[Day]]-pt)-mu_t)/sigma_t</f>
        <v>2.5368411236060258</v>
      </c>
      <c r="R169" s="262">
        <f>EXP(mu_t+sigma_t*Tabella34[[#This Row],[x_t_alpha©+plus]])-(Tabella34[[#This Row],[Day]]-pt)</f>
        <v>8.3968795706250177</v>
      </c>
      <c r="S169" s="262">
        <f>EXP(mu_t+sigma_t*Tabella34[[#This Row],[x_t_alpha©-minus]])-(Tabella34[[#This Row],[Day]]-pt)</f>
        <v>-101.14648823983144</v>
      </c>
      <c r="T169" s="262">
        <f>-sigma_t+SQRT(sigma_t^2-2*Tabella34[[#This Row],[c_t]])</f>
        <v>2.7738887052934529</v>
      </c>
      <c r="U169" s="262">
        <f>-sigma_t-SQRT(sigma_t^2-2*Tabella34[[#This Row],[c_t]])</f>
        <v>-3.3113280551366198</v>
      </c>
      <c r="V169" s="262">
        <f>mu_t-LN(alpha*Kt/(Tabella34[[#This Row],[Spain fitted velocity]]*sigma_t*SQRTPI(2)))</f>
        <v>-4.5926277458324023</v>
      </c>
      <c r="W169" s="262">
        <f>Tabella34[[#This Row],[Spain fitted g.r.]]/Spain_gr_at_lockdown</f>
        <v>2.2598673582065218E-3</v>
      </c>
      <c r="X169" s="262">
        <f>Tabella34[[#This Row],[t_alpha_t+plus]]</f>
        <v>8.3968795706250177</v>
      </c>
      <c r="Y169" s="262">
        <f>Tabella34[[#This Row],[Spain fitted h.t.]]/Spain_ht_at_lockdown</f>
        <v>0.1364002901671251</v>
      </c>
      <c r="Z169" s="90">
        <f>IFERROR(-Kf*_xlfn.LOGNORM.DIST((Tabella34[[#This Row],[Day]]-pf),mu_f,sigma_f,FALSE)*(1+(LN((Tabella34[[#This Row],[Day]]-pf))-mu_f)/sigma_f^2)/(Tabella34[[#This Row],[Day]]-pf),0)</f>
        <v>-10.662749957029003</v>
      </c>
      <c r="AA169" s="90">
        <f>Tabella34[[#This Row],[Spain acc. fit]]/Spain_acc_at_lockdown</f>
        <v>-3.6335126956957883E-2</v>
      </c>
      <c r="AB169" s="95">
        <f>Tabella34[[#This Row],[Spain acc. fit]]/y_f_peak</f>
        <v>-1.597495701167401E-3</v>
      </c>
      <c r="AC169" s="157">
        <f>Tabella34[[#This Row],[Colonna4]]*NOT(ISBLANK(Tabella34[[#This Row],[Spain daily cases]]))</f>
        <v>0</v>
      </c>
      <c r="AD169" s="157">
        <f>Tabella34[[#This Row],[Spain acc. fit]]*NOT(ISBLANK(Tabella34[[#This Row],[Spain daily cases]]))</f>
        <v>0</v>
      </c>
      <c r="AE169" s="95">
        <f>Tabella34[[#This Row],[Spain acc. fit]]+CIf</f>
        <v>2332.0256677240636</v>
      </c>
      <c r="AF169" s="95">
        <f>MAX(Tabella34[[#This Row],[Spain acc. fit]]-CIf,0)</f>
        <v>0</v>
      </c>
      <c r="AH169" s="10"/>
      <c r="AI169" s="10"/>
      <c r="AJ169" s="136">
        <f>Tabella34[[#This Row],[Lombardy data]]*NOT(ISBLANK(Tabella34[[#This Row],[Lombardy data]]))</f>
        <v>0</v>
      </c>
      <c r="AK169" s="95">
        <f>Tabella8[[#This Row],[Lombardy fit]]</f>
        <v>85845.858384218838</v>
      </c>
      <c r="AL169" s="157" t="e">
        <f>_xlfn.LOGNORM.INV(alpha*Tabella34[[#This Row],[Lombardy cumul. Fit]]/Kr,mu_r,sigma_r)-(Tabella34[[#This Row],[Day]]-pr)</f>
        <v>#NUM!</v>
      </c>
      <c r="AM169" s="95">
        <f>Tabella34[[#This Row],[Lombardy cumul. Fit]]/Kl</f>
        <v>0.98673400441630843</v>
      </c>
      <c r="AN169" s="95">
        <f>IFERROR(Kr*_xlfn.LOGNORM.DIST((Tabella34[[#This Row],[Day]]-pr),mu_r,sigma_r,FALSE),0)</f>
        <v>66.571304355456547</v>
      </c>
      <c r="AO169" s="202">
        <f>Tabella34[[#This Row],[Lombardy velocity]]/Tabella34[[#This Row],[Lombardy cumul. Fit]]</f>
        <v>7.7547485235111174E-4</v>
      </c>
      <c r="AP169" s="259">
        <f>(LN(Tabella34[[#This Row],[Day]]-pr)-mu_r)/sigma_r</f>
        <v>2.2183351214795799</v>
      </c>
      <c r="AQ169" s="262">
        <f>EXP(mu_r+sigma_r*Tabella34[[#This Row],[x_r_alpha©+plus]])-(Tabella34[[#This Row],[Day]]-pr)</f>
        <v>12.000662512911731</v>
      </c>
      <c r="AR169" s="262">
        <f>EXP(mu_r+sigma_r*Tabella34[[#This Row],[x_r_alpha©-minus]])-(Tabella34[[#This Row],[Day]]-pr)</f>
        <v>-109.79798790287512</v>
      </c>
      <c r="AS169" s="262">
        <f>-sigma_r+SQRT(sigma_r^2-2*Tabella34[[#This Row],[c_r]])</f>
        <v>2.4762302033929231</v>
      </c>
      <c r="AT169" s="262">
        <f>-sigma_r-SQRT(sigma_r^2-2*Tabella34[[#This Row],[c_r]])</f>
        <v>-3.1570848005866523</v>
      </c>
      <c r="AU169" s="262">
        <f>mu_r-LN(alpha*Kr/(Tabella34[[#This Row],[Lombardy velocity]]*sigma_r*SQRTPI(2)))</f>
        <v>-3.9088343689426965</v>
      </c>
      <c r="AV169" s="262">
        <f>Tabella34[[#This Row],[t_alpha_r+plus]]</f>
        <v>12.000662512911731</v>
      </c>
      <c r="AW169" s="90">
        <f>IFERROR(-Kl*_xlfn.LOGNORM.DIST((Tabella34[[#This Row],[Day]]-pl),mu_l,sigma_l,FALSE)*(1+(LN((Tabella34[[#This Row],[Day]]-pl))-mu_l)/sigma_l^2)/(Tabella34[[#This Row],[Day]]-pl),0)</f>
        <v>-3.8261207903171881</v>
      </c>
      <c r="AX169" s="95">
        <f>Tabella34[[#This Row],[Lombardy acc. fit]]/y_l_peak</f>
        <v>-2.176461820268788E-3</v>
      </c>
      <c r="AY169" s="157">
        <f>Tabella34[[#This Row],[Lombardy acc. fit]]*NOT(ISBLANK(Tabella34[[#This Row],[Lombardy data]]))</f>
        <v>0</v>
      </c>
      <c r="AZ169" s="95">
        <f>Tabella34[[#This Row],[Lombardy acc. fit]]+CIl</f>
        <v>2566.5562021260916</v>
      </c>
      <c r="BA169" s="95">
        <f>MAX(Tabella34[[#This Row],[Lombardy acc. fit]]-CIl,0)</f>
        <v>0</v>
      </c>
      <c r="BC169" s="10"/>
      <c r="BD169" s="10"/>
      <c r="BE169" s="95">
        <f>Tabella34[[#This Row],[rest of Italy data]]*NOT(ISBLANK(Tabella34[[#This Row],[rest of Italy data]]))</f>
        <v>0</v>
      </c>
      <c r="BF169" s="95">
        <f>Tabella8[[#This Row],[rest of Italy fit]]</f>
        <v>146826.01335981127</v>
      </c>
      <c r="BG169" s="157" t="e">
        <f>_xlfn.LOGNORM.INV(alpha*Tabella34[[#This Row],[rest of Italy cumul. Fit]]/Ko,mu_o,sigma_o)-(Tabella34[[#This Row],[Day]]-po)</f>
        <v>#NUM!</v>
      </c>
      <c r="BH169" s="95">
        <f>Tabella34[[#This Row],[rest of Italy cumul. Fit]]/Ka</f>
        <v>0.99206777332466545</v>
      </c>
      <c r="BI169" s="157">
        <f>IFERROR(Ko*_xlfn.LOGNORM.DIST((Tabella34[[#This Row],[Day]]-po),mu_o,sigma_o,FALSE),0)</f>
        <v>80.588283201970967</v>
      </c>
      <c r="BJ169" s="199">
        <f>Tabella34[[#This Row],[rest of Italy velocity]]/Tabella34[[#This Row],[rest of Italy cumul. Fit]]</f>
        <v>5.4886924570022634E-4</v>
      </c>
      <c r="BK169" s="254">
        <f>(LN(Tabella34[[#This Row],[Day]]-po)-mu_o)/sigma_o</f>
        <v>2.4120190326850826</v>
      </c>
      <c r="BL169" s="262">
        <f>EXP(mu_o+sigma_o*Tabella34[[#This Row],[x_o_alpha©+plus]])-(Tabella34[[#This Row],[Day]]-po)</f>
        <v>10.08943154542338</v>
      </c>
      <c r="BM169" s="262">
        <f>EXP(mu_o+sigma_o*Tabella34[[#This Row],[x_o_alpha©-minus]])-(Tabella34[[#This Row],[Day]]-po)</f>
        <v>-104.45776999701326</v>
      </c>
      <c r="BN169" s="262">
        <f>-sigma_o+SQRT(sigma_o^2-2*Tabella34[[#This Row],[c_o]])</f>
        <v>2.6548110174551787</v>
      </c>
      <c r="BO169" s="262">
        <f>-sigma_o-SQRT(sigma_o^2-2*Tabella34[[#This Row],[c_o]])</f>
        <v>-3.297783794754205</v>
      </c>
      <c r="BP169" s="262">
        <f>mu_o-LN(alpha*Ko/(Tabella34[[#This Row],[rest of Italy velocity]]*sigma_o*SQRTPI(2)))</f>
        <v>-4.3774963757493053</v>
      </c>
      <c r="BQ169" s="262">
        <f>Tabella34[[#This Row],[t_alpha_o+plus]]</f>
        <v>10.08943154542338</v>
      </c>
      <c r="BR169" s="90">
        <f>IFERROR(-Ka*_xlfn.LOGNORM.DIST((Tabella34[[#This Row],[Day]]-pa),mu_a,sigma_a,FALSE)*(1+(LN((Tabella34[[#This Row],[Day]]-pa))-mu_a)/sigma_a^2)/(Tabella34[[#This Row],[Day]]-pa),0)</f>
        <v>-5.5133937823516161</v>
      </c>
      <c r="BS169" s="95">
        <f>Tabella34[[#This Row],[rest of Italy acc. fit]]/y_a_peak</f>
        <v>-1.6315923348647059E-3</v>
      </c>
      <c r="BT169" s="136">
        <f>Tabella34[[#This Row],[rest of Italy acc. fit]]*NOT(ISBLANK(Tabella34[[#This Row],[rest of Italy data]]))</f>
        <v>0</v>
      </c>
      <c r="BU169" s="205"/>
      <c r="BV169" s="137"/>
    </row>
    <row r="170" spans="2:74" x14ac:dyDescent="0.3">
      <c r="B170" s="281">
        <v>43993</v>
      </c>
      <c r="C170" s="4">
        <v>163</v>
      </c>
      <c r="E170" s="10"/>
      <c r="F170" s="10"/>
      <c r="G170" s="136">
        <f>Tabella34[[#This Row],[Spain daily cases]]*NOT(ISBLANK(Tabella34[[#This Row],[Spain daily cases]]))</f>
        <v>0</v>
      </c>
      <c r="H170" s="157">
        <f>Tabella8[[#This Row],[Spain cum. fit]]</f>
        <v>278559.07990888343</v>
      </c>
      <c r="I170" s="157" t="e">
        <f>_xlfn.LOGNORM.INV(alpha*Tabella34[[#This Row],[Spain cumul. Fit]]/Kt,mu_t,sigma_t)-(Tabella34[[#This Row],[Day]]-pt)</f>
        <v>#NUM!</v>
      </c>
      <c r="J170" s="157" t="e">
        <f>Tabella34[[#This Row],[Spain fitted d.t.]]/Spain_dt_at_lockdown</f>
        <v>#NUM!</v>
      </c>
      <c r="K170" s="95">
        <f>Tabella34[[#This Row],[Spain cumul. Fit]]/Kf</f>
        <v>0.99485422715434624</v>
      </c>
      <c r="L170" s="160"/>
      <c r="M170" s="95"/>
      <c r="N170" s="157">
        <f>IFERROR(Kt*_xlfn.LOGNORM.DIST((Tabella34[[#This Row],[Day]]-pt),mu_t,sigma_t,FALSE),0)</f>
        <v>120.13385945695818</v>
      </c>
      <c r="O170" s="157" t="e">
        <f>Kt*EXP(-0.5*Tabella34[[#This Row],[x_t]]^2)/(sigma_t*SQRTPI(2)*(Tabella34[[#This Row],[Day]]-D_bk))</f>
        <v>#NAME?</v>
      </c>
      <c r="P170" s="199">
        <f>Tabella34[[#This Row],[Spain fitted velocity]]/Tabella34[[#This Row],[Spain cumul. Fit]]</f>
        <v>4.312688694127433E-4</v>
      </c>
      <c r="Q170" s="262">
        <f>(LN(Tabella34[[#This Row],[Day]]-pt)-mu_t)/sigma_t</f>
        <v>2.5658765225319731</v>
      </c>
      <c r="R170" s="262">
        <f>EXP(mu_t+sigma_t*Tabella34[[#This Row],[x_t_alpha©+plus]])-(Tabella34[[#This Row],[Day]]-pt)</f>
        <v>8.3800762601811414</v>
      </c>
      <c r="S170" s="262">
        <f>EXP(mu_t+sigma_t*Tabella34[[#This Row],[x_t_alpha©-minus]])-(Tabella34[[#This Row],[Day]]-pt)</f>
        <v>-102.3367482651207</v>
      </c>
      <c r="T170" s="262">
        <f>-sigma_t+SQRT(sigma_t^2-2*Tabella34[[#This Row],[c_t]])</f>
        <v>2.800682541103233</v>
      </c>
      <c r="U170" s="262">
        <f>-sigma_t-SQRT(sigma_t^2-2*Tabella34[[#This Row],[c_t]])</f>
        <v>-3.3381218909463999</v>
      </c>
      <c r="V170" s="262">
        <f>mu_t-LN(alpha*Kt/(Tabella34[[#This Row],[Spain fitted velocity]]*sigma_t*SQRTPI(2)))</f>
        <v>-4.6745098500240463</v>
      </c>
      <c r="W170" s="262">
        <f>Tabella34[[#This Row],[Spain fitted g.r.]]/Spain_gr_at_lockdown</f>
        <v>2.0812621034962215E-3</v>
      </c>
      <c r="X170" s="262">
        <f>Tabella34[[#This Row],[t_alpha_t+plus]]</f>
        <v>8.3800762601811414</v>
      </c>
      <c r="Y170" s="262">
        <f>Tabella34[[#This Row],[Spain fitted h.t.]]/Spain_ht_at_lockdown</f>
        <v>0.13612733443386305</v>
      </c>
      <c r="Z170" s="90">
        <f>IFERROR(-Kf*_xlfn.LOGNORM.DIST((Tabella34[[#This Row],[Day]]-pf),mu_f,sigma_f,FALSE)*(1+(LN((Tabella34[[#This Row],[Day]]-pf))-mu_f)/sigma_f^2)/(Tabella34[[#This Row],[Day]]-pf),0)</f>
        <v>-9.8489801635500296</v>
      </c>
      <c r="AA170" s="90">
        <f>Tabella34[[#This Row],[Spain acc. fit]]/Spain_acc_at_lockdown</f>
        <v>-3.3562068517159802E-2</v>
      </c>
      <c r="AB170" s="95">
        <f>Tabella34[[#This Row],[Spain acc. fit]]/y_f_peak</f>
        <v>-1.4755765197121918E-3</v>
      </c>
      <c r="AC170" s="157">
        <f>Tabella34[[#This Row],[Colonna4]]*NOT(ISBLANK(Tabella34[[#This Row],[Spain daily cases]]))</f>
        <v>0</v>
      </c>
      <c r="AD170" s="157">
        <f>Tabella34[[#This Row],[Spain acc. fit]]*NOT(ISBLANK(Tabella34[[#This Row],[Spain daily cases]]))</f>
        <v>0</v>
      </c>
      <c r="AE170" s="95">
        <f>Tabella34[[#This Row],[Spain acc. fit]]+CIf</f>
        <v>2332.8394375175426</v>
      </c>
      <c r="AF170" s="95">
        <f>MAX(Tabella34[[#This Row],[Spain acc. fit]]-CIf,0)</f>
        <v>0</v>
      </c>
      <c r="AH170" s="10"/>
      <c r="AI170" s="10"/>
      <c r="AJ170" s="136">
        <f>Tabella34[[#This Row],[Lombardy data]]*NOT(ISBLANK(Tabella34[[#This Row],[Lombardy data]]))</f>
        <v>0</v>
      </c>
      <c r="AK170" s="95">
        <f>Tabella8[[#This Row],[Lombardy fit]]</f>
        <v>85910.552079455883</v>
      </c>
      <c r="AL170" s="157" t="e">
        <f>_xlfn.LOGNORM.INV(alpha*Tabella34[[#This Row],[Lombardy cumul. Fit]]/Kr,mu_r,sigma_r)-(Tabella34[[#This Row],[Day]]-pr)</f>
        <v>#NUM!</v>
      </c>
      <c r="AM170" s="95">
        <f>Tabella34[[#This Row],[Lombardy cumul. Fit]]/Kl</f>
        <v>0.98747761010868829</v>
      </c>
      <c r="AN170" s="95">
        <f>IFERROR(Kr*_xlfn.LOGNORM.DIST((Tabella34[[#This Row],[Day]]-pr),mu_r,sigma_r,FALSE),0)</f>
        <v>62.851064535325399</v>
      </c>
      <c r="AO170" s="202">
        <f>Tabella34[[#This Row],[Lombardy velocity]]/Tabella34[[#This Row],[Lombardy cumul. Fit]]</f>
        <v>7.315872499247414E-4</v>
      </c>
      <c r="AP170" s="259">
        <f>(LN(Tabella34[[#This Row],[Day]]-pr)-mu_r)/sigma_r</f>
        <v>2.2407113291232119</v>
      </c>
      <c r="AQ170" s="262">
        <f>EXP(mu_r+sigma_r*Tabella34[[#This Row],[x_r_alpha©+plus]])-(Tabella34[[#This Row],[Day]]-pr)</f>
        <v>11.992872102515946</v>
      </c>
      <c r="AR170" s="262">
        <f>EXP(mu_r+sigma_r*Tabella34[[#This Row],[x_r_alpha©-minus]])-(Tabella34[[#This Row],[Day]]-pr)</f>
        <v>-110.94277652431154</v>
      </c>
      <c r="AS170" s="262">
        <f>-sigma_r+SQRT(sigma_r^2-2*Tabella34[[#This Row],[c_r]])</f>
        <v>2.4965730497690939</v>
      </c>
      <c r="AT170" s="262">
        <f>-sigma_r-SQRT(sigma_r^2-2*Tabella34[[#This Row],[c_r]])</f>
        <v>-3.1774276469628231</v>
      </c>
      <c r="AU170" s="262">
        <f>mu_r-LN(alpha*Kr/(Tabella34[[#This Row],[Lombardy velocity]]*sigma_r*SQRTPI(2)))</f>
        <v>-3.9663401154993059</v>
      </c>
      <c r="AV170" s="262">
        <f>Tabella34[[#This Row],[t_alpha_r+plus]]</f>
        <v>11.992872102515946</v>
      </c>
      <c r="AW170" s="90">
        <f>IFERROR(-Kl*_xlfn.LOGNORM.DIST((Tabella34[[#This Row],[Day]]-pl),mu_l,sigma_l,FALSE)*(1+(LN((Tabella34[[#This Row],[Day]]-pl))-mu_l)/sigma_l^2)/(Tabella34[[#This Row],[Day]]-pl),0)</f>
        <v>-3.6162411902989624</v>
      </c>
      <c r="AX170" s="95">
        <f>Tabella34[[#This Row],[Lombardy acc. fit]]/y_l_peak</f>
        <v>-2.05707329039044E-3</v>
      </c>
      <c r="AY170" s="157">
        <f>Tabella34[[#This Row],[Lombardy acc. fit]]*NOT(ISBLANK(Tabella34[[#This Row],[Lombardy data]]))</f>
        <v>0</v>
      </c>
      <c r="AZ170" s="95">
        <f>Tabella34[[#This Row],[Lombardy acc. fit]]+CIl</f>
        <v>2566.7660817261099</v>
      </c>
      <c r="BA170" s="95">
        <f>MAX(Tabella34[[#This Row],[Lombardy acc. fit]]-CIl,0)</f>
        <v>0</v>
      </c>
      <c r="BC170" s="10"/>
      <c r="BD170" s="10"/>
      <c r="BE170" s="95">
        <f>Tabella34[[#This Row],[rest of Italy data]]*NOT(ISBLANK(Tabella34[[#This Row],[rest of Italy data]]))</f>
        <v>0</v>
      </c>
      <c r="BF170" s="95">
        <f>Tabella8[[#This Row],[rest of Italy fit]]</f>
        <v>146903.90580215378</v>
      </c>
      <c r="BG170" s="157" t="e">
        <f>_xlfn.LOGNORM.INV(alpha*Tabella34[[#This Row],[rest of Italy cumul. Fit]]/Ko,mu_o,sigma_o)-(Tabella34[[#This Row],[Day]]-po)</f>
        <v>#NUM!</v>
      </c>
      <c r="BH170" s="95">
        <f>Tabella34[[#This Row],[rest of Italy cumul. Fit]]/Ka</f>
        <v>0.9925940736720309</v>
      </c>
      <c r="BI170" s="157">
        <f>IFERROR(Ko*_xlfn.LOGNORM.DIST((Tabella34[[#This Row],[Day]]-po),mu_o,sigma_o,FALSE),0)</f>
        <v>75.256479313439783</v>
      </c>
      <c r="BJ170" s="199">
        <f>Tabella34[[#This Row],[rest of Italy velocity]]/Tabella34[[#This Row],[rest of Italy cumul. Fit]]</f>
        <v>5.122837197725238E-4</v>
      </c>
      <c r="BK170" s="254">
        <f>(LN(Tabella34[[#This Row],[Day]]-po)-mu_o)/sigma_o</f>
        <v>2.4369469383389255</v>
      </c>
      <c r="BL170" s="262">
        <f>EXP(mu_o+sigma_o*Tabella34[[#This Row],[x_o_alpha©+plus]])-(Tabella34[[#This Row],[Day]]-po)</f>
        <v>10.082795946294127</v>
      </c>
      <c r="BM170" s="262">
        <f>EXP(mu_o+sigma_o*Tabella34[[#This Row],[x_o_alpha©-minus]])-(Tabella34[[#This Row],[Day]]-po)</f>
        <v>-105.60325222064661</v>
      </c>
      <c r="BN170" s="262">
        <f>-sigma_o+SQRT(sigma_o^2-2*Tabella34[[#This Row],[c_o]])</f>
        <v>2.6777216369066332</v>
      </c>
      <c r="BO170" s="262">
        <f>-sigma_o-SQRT(sigma_o^2-2*Tabella34[[#This Row],[c_o]])</f>
        <v>-3.3206944142056596</v>
      </c>
      <c r="BP170" s="262">
        <f>mu_o-LN(alpha*Ko/(Tabella34[[#This Row],[rest of Italy velocity]]*sigma_o*SQRTPI(2)))</f>
        <v>-4.4459476412367467</v>
      </c>
      <c r="BQ170" s="262">
        <f>Tabella34[[#This Row],[t_alpha_o+plus]]</f>
        <v>10.082795946294127</v>
      </c>
      <c r="BR170" s="90">
        <f>IFERROR(-Ka*_xlfn.LOGNORM.DIST((Tabella34[[#This Row],[Day]]-pa),mu_a,sigma_a,FALSE)*(1+(LN((Tabella34[[#This Row],[Day]]-pa))-mu_a)/sigma_a^2)/(Tabella34[[#This Row],[Day]]-pa),0)</f>
        <v>-5.1541034196776003</v>
      </c>
      <c r="BS170" s="95">
        <f>Tabella34[[#This Row],[rest of Italy acc. fit]]/y_a_peak</f>
        <v>-1.5252666442154797E-3</v>
      </c>
      <c r="BT170" s="136">
        <f>Tabella34[[#This Row],[rest of Italy acc. fit]]*NOT(ISBLANK(Tabella34[[#This Row],[rest of Italy data]]))</f>
        <v>0</v>
      </c>
      <c r="BU170" s="205"/>
      <c r="BV170" s="137"/>
    </row>
    <row r="171" spans="2:74" x14ac:dyDescent="0.3">
      <c r="B171" s="281">
        <v>43994</v>
      </c>
      <c r="C171" s="4">
        <v>164</v>
      </c>
      <c r="E171" s="10"/>
      <c r="F171" s="10"/>
      <c r="G171" s="136">
        <f>Tabella34[[#This Row],[Spain daily cases]]*NOT(ISBLANK(Tabella34[[#This Row],[Spain daily cases]]))</f>
        <v>0</v>
      </c>
      <c r="H171" s="157">
        <f>Tabella8[[#This Row],[Spain cum. fit]]</f>
        <v>278674.41743139224</v>
      </c>
      <c r="I171" s="157" t="e">
        <f>_xlfn.LOGNORM.INV(alpha*Tabella34[[#This Row],[Spain cumul. Fit]]/Kt,mu_t,sigma_t)-(Tabella34[[#This Row],[Day]]-pt)</f>
        <v>#NUM!</v>
      </c>
      <c r="J171" s="157" t="e">
        <f>Tabella34[[#This Row],[Spain fitted d.t.]]/Spain_dt_at_lockdown</f>
        <v>#NUM!</v>
      </c>
      <c r="K171" s="95">
        <f>Tabella34[[#This Row],[Spain cumul. Fit]]/Kf</f>
        <v>0.99526614703093008</v>
      </c>
      <c r="L171" s="160"/>
      <c r="M171" s="95"/>
      <c r="N171" s="157">
        <f>IFERROR(Kt*_xlfn.LOGNORM.DIST((Tabella34[[#This Row],[Day]]-pt),mu_t,sigma_t,FALSE),0)</f>
        <v>110.66694061226849</v>
      </c>
      <c r="O171" s="157" t="e">
        <f>Kt*EXP(-0.5*Tabella34[[#This Row],[x_t]]^2)/(sigma_t*SQRTPI(2)*(Tabella34[[#This Row],[Day]]-D_bk))</f>
        <v>#NAME?</v>
      </c>
      <c r="P171" s="199">
        <f>Tabella34[[#This Row],[Spain fitted velocity]]/Tabella34[[#This Row],[Spain cumul. Fit]]</f>
        <v>3.9711912428959845E-4</v>
      </c>
      <c r="Q171" s="262">
        <f>(LN(Tabella34[[#This Row],[Day]]-pt)-mu_t)/sigma_t</f>
        <v>2.5946871289418203</v>
      </c>
      <c r="R171" s="262">
        <f>EXP(mu_t+sigma_t*Tabella34[[#This Row],[x_t_alpha©+plus]])-(Tabella34[[#This Row],[Day]]-pt)</f>
        <v>8.364165110958055</v>
      </c>
      <c r="S171" s="262">
        <f>EXP(mu_t+sigma_t*Tabella34[[#This Row],[x_t_alpha©-minus]])-(Tabella34[[#This Row],[Day]]-pt)</f>
        <v>-103.52446679000056</v>
      </c>
      <c r="T171" s="262">
        <f>-sigma_t+SQRT(sigma_t^2-2*Tabella34[[#This Row],[c_t]])</f>
        <v>2.8273088917313678</v>
      </c>
      <c r="U171" s="262">
        <f>-sigma_t-SQRT(sigma_t^2-2*Tabella34[[#This Row],[c_t]])</f>
        <v>-3.3647482415745347</v>
      </c>
      <c r="V171" s="262">
        <f>mu_t-LN(alpha*Kt/(Tabella34[[#This Row],[Spain fitted velocity]]*sigma_t*SQRTPI(2)))</f>
        <v>-4.756591310920582</v>
      </c>
      <c r="W171" s="262">
        <f>Tabella34[[#This Row],[Spain fitted g.r.]]/Spain_gr_at_lockdown</f>
        <v>1.9164587165380156E-3</v>
      </c>
      <c r="X171" s="262">
        <f>Tabella34[[#This Row],[t_alpha_t+plus]]</f>
        <v>8.364165110958055</v>
      </c>
      <c r="Y171" s="262">
        <f>Tabella34[[#This Row],[Spain fitted h.t.]]/Spain_ht_at_lockdown</f>
        <v>0.13586887111392768</v>
      </c>
      <c r="Z171" s="90">
        <f>IFERROR(-Kf*_xlfn.LOGNORM.DIST((Tabella34[[#This Row],[Day]]-pf),mu_f,sigma_f,FALSE)*(1+(LN((Tabella34[[#This Row],[Day]]-pf))-mu_f)/sigma_f^2)/(Tabella34[[#This Row],[Day]]-pf),0)</f>
        <v>-9.0943840827933702</v>
      </c>
      <c r="AA171" s="90">
        <f>Tabella34[[#This Row],[Spain acc. fit]]/Spain_acc_at_lockdown</f>
        <v>-3.0990654528647243E-2</v>
      </c>
      <c r="AB171" s="95">
        <f>Tabella34[[#This Row],[Spain acc. fit]]/y_f_peak</f>
        <v>-1.3625227577854313E-3</v>
      </c>
      <c r="AC171" s="157">
        <f>Tabella34[[#This Row],[Colonna4]]*NOT(ISBLANK(Tabella34[[#This Row],[Spain daily cases]]))</f>
        <v>0</v>
      </c>
      <c r="AD171" s="157">
        <f>Tabella34[[#This Row],[Spain acc. fit]]*NOT(ISBLANK(Tabella34[[#This Row],[Spain daily cases]]))</f>
        <v>0</v>
      </c>
      <c r="AE171" s="95">
        <f>Tabella34[[#This Row],[Spain acc. fit]]+CIf</f>
        <v>2333.5940335982991</v>
      </c>
      <c r="AF171" s="95">
        <f>MAX(Tabella34[[#This Row],[Spain acc. fit]]-CIf,0)</f>
        <v>0</v>
      </c>
      <c r="AH171" s="10"/>
      <c r="AI171" s="10"/>
      <c r="AJ171" s="136">
        <f>Tabella34[[#This Row],[Lombardy data]]*NOT(ISBLANK(Tabella34[[#This Row],[Lombardy data]]))</f>
        <v>0</v>
      </c>
      <c r="AK171" s="95">
        <f>Tabella8[[#This Row],[Lombardy fit]]</f>
        <v>85971.628614863439</v>
      </c>
      <c r="AL171" s="157" t="e">
        <f>_xlfn.LOGNORM.INV(alpha*Tabella34[[#This Row],[Lombardy cumul. Fit]]/Kr,mu_r,sigma_r)-(Tabella34[[#This Row],[Day]]-pr)</f>
        <v>#NUM!</v>
      </c>
      <c r="AM171" s="95">
        <f>Tabella34[[#This Row],[Lombardy cumul. Fit]]/Kl</f>
        <v>0.98817963925130392</v>
      </c>
      <c r="AN171" s="95">
        <f>IFERROR(Kr*_xlfn.LOGNORM.DIST((Tabella34[[#This Row],[Day]]-pr),mu_r,sigma_r,FALSE),0)</f>
        <v>59.335147308776108</v>
      </c>
      <c r="AO171" s="202">
        <f>Tabella34[[#This Row],[Lombardy velocity]]/Tabella34[[#This Row],[Lombardy cumul. Fit]]</f>
        <v>6.9017126073749621E-4</v>
      </c>
      <c r="AP171" s="259">
        <f>(LN(Tabella34[[#This Row],[Day]]-pr)-mu_r)/sigma_r</f>
        <v>2.2629183744111208</v>
      </c>
      <c r="AQ171" s="262">
        <f>EXP(mu_r+sigma_r*Tabella34[[#This Row],[x_r_alpha©+plus]])-(Tabella34[[#This Row],[Day]]-pr)</f>
        <v>11.985878987877669</v>
      </c>
      <c r="AR171" s="262">
        <f>EXP(mu_r+sigma_r*Tabella34[[#This Row],[x_r_alpha©-minus]])-(Tabella34[[#This Row],[Day]]-pr)</f>
        <v>-112.08569433723638</v>
      </c>
      <c r="AS171" s="262">
        <f>-sigma_r+SQRT(sigma_r^2-2*Tabella34[[#This Row],[c_r]])</f>
        <v>2.5167921634482351</v>
      </c>
      <c r="AT171" s="262">
        <f>-sigma_r-SQRT(sigma_r^2-2*Tabella34[[#This Row],[c_r]])</f>
        <v>-3.1976467606419643</v>
      </c>
      <c r="AU171" s="262">
        <f>mu_r-LN(alpha*Kr/(Tabella34[[#This Row],[Lombardy velocity]]*sigma_r*SQRTPI(2)))</f>
        <v>-4.0239061543296648</v>
      </c>
      <c r="AV171" s="262">
        <f>Tabella34[[#This Row],[t_alpha_r+plus]]</f>
        <v>11.985878987877669</v>
      </c>
      <c r="AW171" s="90">
        <f>IFERROR(-Kl*_xlfn.LOGNORM.DIST((Tabella34[[#This Row],[Day]]-pl),mu_l,sigma_l,FALSE)*(1+(LN((Tabella34[[#This Row],[Day]]-pl))-mu_l)/sigma_l^2)/(Tabella34[[#This Row],[Day]]-pl),0)</f>
        <v>-3.4173862444345571</v>
      </c>
      <c r="AX171" s="95">
        <f>Tabella34[[#This Row],[Lombardy acc. fit]]/y_l_peak</f>
        <v>-1.9439560572542599E-3</v>
      </c>
      <c r="AY171" s="157">
        <f>Tabella34[[#This Row],[Lombardy acc. fit]]*NOT(ISBLANK(Tabella34[[#This Row],[Lombardy data]]))</f>
        <v>0</v>
      </c>
      <c r="AZ171" s="95">
        <f>Tabella34[[#This Row],[Lombardy acc. fit]]+CIl</f>
        <v>2566.9649366719741</v>
      </c>
      <c r="BA171" s="95">
        <f>MAX(Tabella34[[#This Row],[Lombardy acc. fit]]-CIl,0)</f>
        <v>0</v>
      </c>
      <c r="BC171" s="10"/>
      <c r="BD171" s="10"/>
      <c r="BE171" s="95">
        <f>Tabella34[[#This Row],[rest of Italy data]]*NOT(ISBLANK(Tabella34[[#This Row],[rest of Italy data]]))</f>
        <v>0</v>
      </c>
      <c r="BF171" s="95">
        <f>Tabella8[[#This Row],[rest of Italy fit]]</f>
        <v>146976.64225403685</v>
      </c>
      <c r="BG171" s="157" t="e">
        <f>_xlfn.LOGNORM.INV(alpha*Tabella34[[#This Row],[rest of Italy cumul. Fit]]/Ko,mu_o,sigma_o)-(Tabella34[[#This Row],[Day]]-po)</f>
        <v>#NUM!</v>
      </c>
      <c r="BH171" s="95">
        <f>Tabella34[[#This Row],[rest of Italy cumul. Fit]]/Ka</f>
        <v>0.99308553624196627</v>
      </c>
      <c r="BI171" s="157">
        <f>IFERROR(Ko*_xlfn.LOGNORM.DIST((Tabella34[[#This Row],[Day]]-po),mu_o,sigma_o,FALSE),0)</f>
        <v>70.272527817534595</v>
      </c>
      <c r="BJ171" s="199">
        <f>Tabella34[[#This Row],[rest of Italy velocity]]/Tabella34[[#This Row],[rest of Italy cumul. Fit]]</f>
        <v>4.7812037844812376E-4</v>
      </c>
      <c r="BK171" s="254">
        <f>(LN(Tabella34[[#This Row],[Day]]-po)-mu_o)/sigma_o</f>
        <v>2.4616766593921056</v>
      </c>
      <c r="BL171" s="262">
        <f>EXP(mu_o+sigma_o*Tabella34[[#This Row],[x_o_alpha©+plus]])-(Tabella34[[#This Row],[Day]]-po)</f>
        <v>10.07690216528708</v>
      </c>
      <c r="BM171" s="262">
        <f>EXP(mu_o+sigma_o*Tabella34[[#This Row],[x_o_alpha©-minus]])-(Tabella34[[#This Row],[Day]]-po)</f>
        <v>-106.74672106630403</v>
      </c>
      <c r="BN171" s="262">
        <f>-sigma_o+SQRT(sigma_o^2-2*Tabella34[[#This Row],[c_o]])</f>
        <v>2.7004816643093865</v>
      </c>
      <c r="BO171" s="262">
        <f>-sigma_o-SQRT(sigma_o^2-2*Tabella34[[#This Row],[c_o]])</f>
        <v>-3.3434544416084129</v>
      </c>
      <c r="BP171" s="262">
        <f>mu_o-LN(alpha*Ko/(Tabella34[[#This Row],[rest of Italy velocity]]*sigma_o*SQRTPI(2)))</f>
        <v>-4.5144687075086489</v>
      </c>
      <c r="BQ171" s="262">
        <f>Tabella34[[#This Row],[t_alpha_o+plus]]</f>
        <v>10.07690216528708</v>
      </c>
      <c r="BR171" s="90">
        <f>IFERROR(-Ka*_xlfn.LOGNORM.DIST((Tabella34[[#This Row],[Day]]-pa),mu_a,sigma_a,FALSE)*(1+(LN((Tabella34[[#This Row],[Day]]-pa))-mu_a)/sigma_a^2)/(Tabella34[[#This Row],[Day]]-pa),0)</f>
        <v>-4.8174610083105529</v>
      </c>
      <c r="BS171" s="95">
        <f>Tabella34[[#This Row],[rest of Italy acc. fit]]/y_a_peak</f>
        <v>-1.4256432181262645E-3</v>
      </c>
      <c r="BT171" s="136">
        <f>Tabella34[[#This Row],[rest of Italy acc. fit]]*NOT(ISBLANK(Tabella34[[#This Row],[rest of Italy data]]))</f>
        <v>0</v>
      </c>
      <c r="BU171" s="205"/>
      <c r="BV171" s="137"/>
    </row>
    <row r="172" spans="2:74" x14ac:dyDescent="0.3">
      <c r="B172" s="281">
        <v>43995</v>
      </c>
      <c r="C172" s="4">
        <v>165</v>
      </c>
      <c r="E172" s="10"/>
      <c r="F172" s="10"/>
      <c r="G172" s="136">
        <f>Tabella34[[#This Row],[Spain daily cases]]*NOT(ISBLANK(Tabella34[[#This Row],[Spain daily cases]]))</f>
        <v>0</v>
      </c>
      <c r="H172" s="157">
        <f>Tabella8[[#This Row],[Spain cum. fit]]</f>
        <v>278780.65596850234</v>
      </c>
      <c r="I172" s="157" t="e">
        <f>_xlfn.LOGNORM.INV(alpha*Tabella34[[#This Row],[Spain cumul. Fit]]/Kt,mu_t,sigma_t)-(Tabella34[[#This Row],[Day]]-pt)</f>
        <v>#NUM!</v>
      </c>
      <c r="J172" s="157" t="e">
        <f>Tabella34[[#This Row],[Spain fitted d.t.]]/Spain_dt_at_lockdown</f>
        <v>#NUM!</v>
      </c>
      <c r="K172" s="95">
        <f>Tabella34[[#This Row],[Spain cumul. Fit]]/Kf</f>
        <v>0.99564557051899316</v>
      </c>
      <c r="L172" s="160"/>
      <c r="M172" s="95"/>
      <c r="N172" s="157">
        <f>IFERROR(Kt*_xlfn.LOGNORM.DIST((Tabella34[[#This Row],[Day]]-pt),mu_t,sigma_t,FALSE),0)</f>
        <v>101.92668480488577</v>
      </c>
      <c r="O172" s="157" t="e">
        <f>Kt*EXP(-0.5*Tabella34[[#This Row],[x_t]]^2)/(sigma_t*SQRTPI(2)*(Tabella34[[#This Row],[Day]]-D_bk))</f>
        <v>#NAME?</v>
      </c>
      <c r="P172" s="199">
        <f>Tabella34[[#This Row],[Spain fitted velocity]]/Tabella34[[#This Row],[Spain cumul. Fit]]</f>
        <v>3.6561605915871659E-4</v>
      </c>
      <c r="Q172" s="262">
        <f>(LN(Tabella34[[#This Row],[Day]]-pt)-mu_t)/sigma_t</f>
        <v>2.6232763968063981</v>
      </c>
      <c r="R172" s="262">
        <f>EXP(mu_t+sigma_t*Tabella34[[#This Row],[x_t_alpha©+plus]])-(Tabella34[[#This Row],[Day]]-pt)</f>
        <v>8.3491107474011415</v>
      </c>
      <c r="S172" s="262">
        <f>EXP(mu_t+sigma_t*Tabella34[[#This Row],[x_t_alpha©-minus]])-(Tabella34[[#This Row],[Day]]-pt)</f>
        <v>-104.70968756864488</v>
      </c>
      <c r="T172" s="262">
        <f>-sigma_t+SQRT(sigma_t^2-2*Tabella34[[#This Row],[c_t]])</f>
        <v>2.8537690184142255</v>
      </c>
      <c r="U172" s="262">
        <f>-sigma_t-SQRT(sigma_t^2-2*Tabella34[[#This Row],[c_t]])</f>
        <v>-3.3912083682573924</v>
      </c>
      <c r="V172" s="262">
        <f>mu_t-LN(alpha*Kt/(Tabella34[[#This Row],[Spain fitted velocity]]*sigma_t*SQRTPI(2)))</f>
        <v>-4.8388626881600025</v>
      </c>
      <c r="W172" s="262">
        <f>Tabella34[[#This Row],[Spain fitted g.r.]]/Spain_gr_at_lockdown</f>
        <v>1.7644279527823132E-3</v>
      </c>
      <c r="X172" s="262">
        <f>Tabella34[[#This Row],[t_alpha_t+plus]]</f>
        <v>8.3491107474011415</v>
      </c>
      <c r="Y172" s="262">
        <f>Tabella34[[#This Row],[Spain fitted h.t.]]/Spain_ht_at_lockdown</f>
        <v>0.13562432556100251</v>
      </c>
      <c r="Z172" s="90">
        <f>IFERROR(-Kf*_xlfn.LOGNORM.DIST((Tabella34[[#This Row],[Day]]-pf),mu_f,sigma_f,FALSE)*(1+(LN((Tabella34[[#This Row],[Day]]-pf))-mu_f)/sigma_f^2)/(Tabella34[[#This Row],[Day]]-pf),0)</f>
        <v>-8.395014797081334</v>
      </c>
      <c r="AA172" s="90">
        <f>Tabella34[[#This Row],[Spain acc. fit]]/Spain_acc_at_lockdown</f>
        <v>-2.8607435200748429E-2</v>
      </c>
      <c r="AB172" s="95">
        <f>Tabella34[[#This Row],[Spain acc. fit]]/y_f_peak</f>
        <v>-1.2577430872542849E-3</v>
      </c>
      <c r="AC172" s="157">
        <f>Tabella34[[#This Row],[Colonna4]]*NOT(ISBLANK(Tabella34[[#This Row],[Spain daily cases]]))</f>
        <v>0</v>
      </c>
      <c r="AD172" s="157">
        <f>Tabella34[[#This Row],[Spain acc. fit]]*NOT(ISBLANK(Tabella34[[#This Row],[Spain daily cases]]))</f>
        <v>0</v>
      </c>
      <c r="AE172" s="95">
        <f>Tabella34[[#This Row],[Spain acc. fit]]+CIf</f>
        <v>2334.2934028840114</v>
      </c>
      <c r="AF172" s="95">
        <f>MAX(Tabella34[[#This Row],[Spain acc. fit]]-CIf,0)</f>
        <v>0</v>
      </c>
      <c r="AH172" s="10"/>
      <c r="AI172" s="10"/>
      <c r="AJ172" s="136">
        <f>Tabella34[[#This Row],[Lombardy data]]*NOT(ISBLANK(Tabella34[[#This Row],[Lombardy data]]))</f>
        <v>0</v>
      </c>
      <c r="AK172" s="95">
        <f>Tabella8[[#This Row],[Lombardy fit]]</f>
        <v>86029.286889247014</v>
      </c>
      <c r="AL172" s="157" t="e">
        <f>_xlfn.LOGNORM.INV(alpha*Tabella34[[#This Row],[Lombardy cumul. Fit]]/Kr,mu_r,sigma_r)-(Tabella34[[#This Row],[Day]]-pr)</f>
        <v>#NUM!</v>
      </c>
      <c r="AM172" s="95">
        <f>Tabella34[[#This Row],[Lombardy cumul. Fit]]/Kl</f>
        <v>0.988842378037322</v>
      </c>
      <c r="AN172" s="95">
        <f>IFERROR(Kr*_xlfn.LOGNORM.DIST((Tabella34[[#This Row],[Day]]-pr),mu_r,sigma_r,FALSE),0)</f>
        <v>56.012792819164844</v>
      </c>
      <c r="AO172" s="202">
        <f>Tabella34[[#This Row],[Lombardy velocity]]/Tabella34[[#This Row],[Lombardy cumul. Fit]]</f>
        <v>6.5108981888080722E-4</v>
      </c>
      <c r="AP172" s="259">
        <f>(LN(Tabella34[[#This Row],[Day]]-pr)-mu_r)/sigma_r</f>
        <v>2.2849587958722197</v>
      </c>
      <c r="AQ172" s="262">
        <f>EXP(mu_r+sigma_r*Tabella34[[#This Row],[x_r_alpha©+plus]])-(Tabella34[[#This Row],[Day]]-pr)</f>
        <v>11.979654746979065</v>
      </c>
      <c r="AR172" s="262">
        <f>EXP(mu_r+sigma_r*Tabella34[[#This Row],[x_r_alpha©-minus]])-(Tabella34[[#This Row],[Day]]-pr)</f>
        <v>-113.22677322497458</v>
      </c>
      <c r="AS172" s="262">
        <f>-sigma_r+SQRT(sigma_r^2-2*Tabella34[[#This Row],[c_r]])</f>
        <v>2.5368885523572016</v>
      </c>
      <c r="AT172" s="262">
        <f>-sigma_r-SQRT(sigma_r^2-2*Tabella34[[#This Row],[c_r]])</f>
        <v>-3.2177431495509308</v>
      </c>
      <c r="AU172" s="262">
        <f>mu_r-LN(alpha*Kr/(Tabella34[[#This Row],[Lombardy velocity]]*sigma_r*SQRTPI(2)))</f>
        <v>-4.0815278802607819</v>
      </c>
      <c r="AV172" s="262">
        <f>Tabella34[[#This Row],[t_alpha_r+plus]]</f>
        <v>11.979654746979065</v>
      </c>
      <c r="AW172" s="90">
        <f>IFERROR(-Kl*_xlfn.LOGNORM.DIST((Tabella34[[#This Row],[Day]]-pl),mu_l,sigma_l,FALSE)*(1+(LN((Tabella34[[#This Row],[Day]]-pl))-mu_l)/sigma_l^2)/(Tabella34[[#This Row],[Day]]-pl),0)</f>
        <v>-3.2290296350408356</v>
      </c>
      <c r="AX172" s="95">
        <f>Tabella34[[#This Row],[Lombardy acc. fit]]/y_l_peak</f>
        <v>-1.8368107287590947E-3</v>
      </c>
      <c r="AY172" s="157">
        <f>Tabella34[[#This Row],[Lombardy acc. fit]]*NOT(ISBLANK(Tabella34[[#This Row],[Lombardy data]]))</f>
        <v>0</v>
      </c>
      <c r="AZ172" s="95">
        <f>Tabella34[[#This Row],[Lombardy acc. fit]]+CIl</f>
        <v>2567.153293281368</v>
      </c>
      <c r="BA172" s="95">
        <f>MAX(Tabella34[[#This Row],[Lombardy acc. fit]]-CIl,0)</f>
        <v>0</v>
      </c>
      <c r="BC172" s="10"/>
      <c r="BD172" s="10"/>
      <c r="BE172" s="95">
        <f>Tabella34[[#This Row],[rest of Italy data]]*NOT(ISBLANK(Tabella34[[#This Row],[rest of Italy data]]))</f>
        <v>0</v>
      </c>
      <c r="BF172" s="95">
        <f>Tabella8[[#This Row],[rest of Italy fit]]</f>
        <v>147044.55946899249</v>
      </c>
      <c r="BG172" s="157" t="e">
        <f>_xlfn.LOGNORM.INV(alpha*Tabella34[[#This Row],[rest of Italy cumul. Fit]]/Ko,mu_o,sigma_o)-(Tabella34[[#This Row],[Day]]-po)</f>
        <v>#NUM!</v>
      </c>
      <c r="BH172" s="95">
        <f>Tabella34[[#This Row],[rest of Italy cumul. Fit]]/Ka</f>
        <v>0.99354443639643919</v>
      </c>
      <c r="BI172" s="157">
        <f>IFERROR(Ko*_xlfn.LOGNORM.DIST((Tabella34[[#This Row],[Day]]-po),mu_o,sigma_o,FALSE),0)</f>
        <v>65.61445324525765</v>
      </c>
      <c r="BJ172" s="199">
        <f>Tabella34[[#This Row],[rest of Italy velocity]]/Tabella34[[#This Row],[rest of Italy cumul. Fit]]</f>
        <v>4.4622156360088841E-4</v>
      </c>
      <c r="BK172" s="254">
        <f>(LN(Tabella34[[#This Row],[Day]]-po)-mu_o)/sigma_o</f>
        <v>2.4862113222633488</v>
      </c>
      <c r="BL172" s="262">
        <f>EXP(mu_o+sigma_o*Tabella34[[#This Row],[x_o_alpha©+plus]])-(Tabella34[[#This Row],[Day]]-po)</f>
        <v>10.071722240311303</v>
      </c>
      <c r="BM172" s="262">
        <f>EXP(mu_o+sigma_o*Tabella34[[#This Row],[x_o_alpha©-minus]])-(Tabella34[[#This Row],[Day]]-po)</f>
        <v>-107.88821397688704</v>
      </c>
      <c r="BN172" s="262">
        <f>-sigma_o+SQRT(sigma_o^2-2*Tabella34[[#This Row],[c_o]])</f>
        <v>2.7230925308375831</v>
      </c>
      <c r="BO172" s="262">
        <f>-sigma_o-SQRT(sigma_o^2-2*Tabella34[[#This Row],[c_o]])</f>
        <v>-3.3660653081366094</v>
      </c>
      <c r="BP172" s="262">
        <f>mu_o-LN(alpha*Ko/(Tabella34[[#This Row],[rest of Italy velocity]]*sigma_o*SQRTPI(2)))</f>
        <v>-4.5830536494491545</v>
      </c>
      <c r="BQ172" s="262">
        <f>Tabella34[[#This Row],[t_alpha_o+plus]]</f>
        <v>10.071722240311303</v>
      </c>
      <c r="BR172" s="90">
        <f>IFERROR(-Ka*_xlfn.LOGNORM.DIST((Tabella34[[#This Row],[Day]]-pa),mu_a,sigma_a,FALSE)*(1+(LN((Tabella34[[#This Row],[Day]]-pa))-mu_a)/sigma_a^2)/(Tabella34[[#This Row],[Day]]-pa),0)</f>
        <v>-4.5021330023278923</v>
      </c>
      <c r="BS172" s="95">
        <f>Tabella34[[#This Row],[rest of Italy acc. fit]]/y_a_peak</f>
        <v>-1.3323274170354094E-3</v>
      </c>
      <c r="BT172" s="136">
        <f>Tabella34[[#This Row],[rest of Italy acc. fit]]*NOT(ISBLANK(Tabella34[[#This Row],[rest of Italy data]]))</f>
        <v>0</v>
      </c>
      <c r="BU172" s="205"/>
      <c r="BV172" s="137"/>
    </row>
    <row r="173" spans="2:74" x14ac:dyDescent="0.3">
      <c r="B173" s="281">
        <v>43996</v>
      </c>
      <c r="C173" s="4">
        <v>166</v>
      </c>
      <c r="E173" s="10"/>
      <c r="F173" s="10"/>
      <c r="G173" s="136">
        <f>Tabella34[[#This Row],[Spain daily cases]]*NOT(ISBLANK(Tabella34[[#This Row],[Spain daily cases]]))</f>
        <v>0</v>
      </c>
      <c r="H173" s="157">
        <f>Tabella8[[#This Row],[Spain cum. fit]]</f>
        <v>278878.49520004948</v>
      </c>
      <c r="I173" s="157" t="e">
        <f>_xlfn.LOGNORM.INV(alpha*Tabella34[[#This Row],[Spain cumul. Fit]]/Kt,mu_t,sigma_t)-(Tabella34[[#This Row],[Day]]-pt)</f>
        <v>#NUM!</v>
      </c>
      <c r="J173" s="157" t="e">
        <f>Tabella34[[#This Row],[Spain fitted d.t.]]/Spain_dt_at_lockdown</f>
        <v>#NUM!</v>
      </c>
      <c r="K173" s="95">
        <f>Tabella34[[#This Row],[Spain cumul. Fit]]/Kf</f>
        <v>0.99599499647602197</v>
      </c>
      <c r="L173" s="160"/>
      <c r="M173" s="95"/>
      <c r="N173" s="157">
        <f>IFERROR(Kt*_xlfn.LOGNORM.DIST((Tabella34[[#This Row],[Day]]-pt),mu_t,sigma_t,FALSE),0)</f>
        <v>93.859746769834203</v>
      </c>
      <c r="O173" s="157" t="e">
        <f>Kt*EXP(-0.5*Tabella34[[#This Row],[x_t]]^2)/(sigma_t*SQRTPI(2)*(Tabella34[[#This Row],[Day]]-D_bk))</f>
        <v>#NAME?</v>
      </c>
      <c r="P173" s="199">
        <f>Tabella34[[#This Row],[Spain fitted velocity]]/Tabella34[[#This Row],[Spain cumul. Fit]]</f>
        <v>3.3656143584145942E-4</v>
      </c>
      <c r="Q173" s="262">
        <f>(LN(Tabella34[[#This Row],[Day]]-pt)-mu_t)/sigma_t</f>
        <v>2.6516477010968966</v>
      </c>
      <c r="R173" s="262">
        <f>EXP(mu_t+sigma_t*Tabella34[[#This Row],[x_t_alpha©+plus]])-(Tabella34[[#This Row],[Day]]-pt)</f>
        <v>8.3348795769325648</v>
      </c>
      <c r="S173" s="262">
        <f>EXP(mu_t+sigma_t*Tabella34[[#This Row],[x_t_alpha©-minus]])-(Tabella34[[#This Row],[Day]]-pt)</f>
        <v>-105.89245373292663</v>
      </c>
      <c r="T173" s="262">
        <f>-sigma_t+SQRT(sigma_t^2-2*Tabella34[[#This Row],[c_t]])</f>
        <v>2.8800642128727119</v>
      </c>
      <c r="U173" s="262">
        <f>-sigma_t-SQRT(sigma_t^2-2*Tabella34[[#This Row],[c_t]])</f>
        <v>-3.4175035627158787</v>
      </c>
      <c r="V173" s="262">
        <f>mu_t-LN(alpha*Kt/(Tabella34[[#This Row],[Spain fitted velocity]]*sigma_t*SQRTPI(2)))</f>
        <v>-4.9213148541714968</v>
      </c>
      <c r="W173" s="262">
        <f>Tabella34[[#This Row],[Spain fitted g.r.]]/Spain_gr_at_lockdown</f>
        <v>1.6242131338367511E-3</v>
      </c>
      <c r="X173" s="262">
        <f>Tabella34[[#This Row],[t_alpha_t+plus]]</f>
        <v>8.3348795769325648</v>
      </c>
      <c r="Y173" s="262">
        <f>Tabella34[[#This Row],[Spain fitted h.t.]]/Spain_ht_at_lockdown</f>
        <v>0.13539315209173872</v>
      </c>
      <c r="Z173" s="90">
        <f>IFERROR(-Kf*_xlfn.LOGNORM.DIST((Tabella34[[#This Row],[Day]]-pf),mu_f,sigma_f,FALSE)*(1+(LN((Tabella34[[#This Row],[Day]]-pf))-mu_f)/sigma_f^2)/(Tabella34[[#This Row],[Day]]-pf),0)</f>
        <v>-7.7471453653470768</v>
      </c>
      <c r="AA173" s="90">
        <f>Tabella34[[#This Row],[Spain acc. fit]]/Spain_acc_at_lockdown</f>
        <v>-2.6399710350361379E-2</v>
      </c>
      <c r="AB173" s="95">
        <f>Tabella34[[#This Row],[Spain acc. fit]]/y_f_peak</f>
        <v>-1.160679136933385E-3</v>
      </c>
      <c r="AC173" s="157">
        <f>Tabella34[[#This Row],[Colonna4]]*NOT(ISBLANK(Tabella34[[#This Row],[Spain daily cases]]))</f>
        <v>0</v>
      </c>
      <c r="AD173" s="157">
        <f>Tabella34[[#This Row],[Spain acc. fit]]*NOT(ISBLANK(Tabella34[[#This Row],[Spain daily cases]]))</f>
        <v>0</v>
      </c>
      <c r="AE173" s="95">
        <f>Tabella34[[#This Row],[Spain acc. fit]]+CIf</f>
        <v>2334.9412723157457</v>
      </c>
      <c r="AF173" s="95">
        <f>MAX(Tabella34[[#This Row],[Spain acc. fit]]-CIf,0)</f>
        <v>0</v>
      </c>
      <c r="AH173" s="10"/>
      <c r="AI173" s="10"/>
      <c r="AJ173" s="136">
        <f>Tabella34[[#This Row],[Lombardy data]]*NOT(ISBLANK(Tabella34[[#This Row],[Lombardy data]]))</f>
        <v>0</v>
      </c>
      <c r="AK173" s="95">
        <f>Tabella8[[#This Row],[Lombardy fit]]</f>
        <v>86083.71530143969</v>
      </c>
      <c r="AL173" s="157" t="e">
        <f>_xlfn.LOGNORM.INV(alpha*Tabella34[[#This Row],[Lombardy cumul. Fit]]/Kr,mu_r,sigma_r)-(Tabella34[[#This Row],[Day]]-pr)</f>
        <v>#NUM!</v>
      </c>
      <c r="AM173" s="95">
        <f>Tabella34[[#This Row],[Lombardy cumul. Fit]]/Kl</f>
        <v>0.98946799197057111</v>
      </c>
      <c r="AN173" s="95">
        <f>IFERROR(Kr*_xlfn.LOGNORM.DIST((Tabella34[[#This Row],[Day]]-pr),mu_r,sigma_r,FALSE),0)</f>
        <v>52.87375770689097</v>
      </c>
      <c r="AO173" s="202">
        <f>Tabella34[[#This Row],[Lombardy velocity]]/Tabella34[[#This Row],[Lombardy cumul. Fit]]</f>
        <v>6.1421324023646891E-4</v>
      </c>
      <c r="AP173" s="259">
        <f>(LN(Tabella34[[#This Row],[Day]]-pr)-mu_r)/sigma_r</f>
        <v>2.3068350753192028</v>
      </c>
      <c r="AQ173" s="262">
        <f>EXP(mu_r+sigma_r*Tabella34[[#This Row],[x_r_alpha©+plus]])-(Tabella34[[#This Row],[Day]]-pr)</f>
        <v>11.97417223195464</v>
      </c>
      <c r="AR173" s="262">
        <f>EXP(mu_r+sigma_r*Tabella34[[#This Row],[x_r_alpha©-minus]])-(Tabella34[[#This Row],[Day]]-pr)</f>
        <v>-114.36604455260198</v>
      </c>
      <c r="AS173" s="262">
        <f>-sigma_r+SQRT(sigma_r^2-2*Tabella34[[#This Row],[c_r]])</f>
        <v>2.5568632352418841</v>
      </c>
      <c r="AT173" s="262">
        <f>-sigma_r-SQRT(sigma_r^2-2*Tabella34[[#This Row],[c_r]])</f>
        <v>-3.2377178324356133</v>
      </c>
      <c r="AU173" s="262">
        <f>mu_r-LN(alpha*Kr/(Tabella34[[#This Row],[Lombardy velocity]]*sigma_r*SQRTPI(2)))</f>
        <v>-4.1392008459208318</v>
      </c>
      <c r="AV173" s="262">
        <f>Tabella34[[#This Row],[t_alpha_r+plus]]</f>
        <v>11.97417223195464</v>
      </c>
      <c r="AW173" s="90">
        <f>IFERROR(-Kl*_xlfn.LOGNORM.DIST((Tabella34[[#This Row],[Day]]-pl),mu_l,sigma_l,FALSE)*(1+(LN((Tabella34[[#This Row],[Day]]-pl))-mu_l)/sigma_l^2)/(Tabella34[[#This Row],[Day]]-pl),0)</f>
        <v>-3.0506646712296752</v>
      </c>
      <c r="AX173" s="95">
        <f>Tabella34[[#This Row],[Lombardy acc. fit]]/y_l_peak</f>
        <v>-1.7353490773676778E-3</v>
      </c>
      <c r="AY173" s="157">
        <f>Tabella34[[#This Row],[Lombardy acc. fit]]*NOT(ISBLANK(Tabella34[[#This Row],[Lombardy data]]))</f>
        <v>0</v>
      </c>
      <c r="AZ173" s="95">
        <f>Tabella34[[#This Row],[Lombardy acc. fit]]+CIl</f>
        <v>2567.3316582451789</v>
      </c>
      <c r="BA173" s="95">
        <f>MAX(Tabella34[[#This Row],[Lombardy acc. fit]]-CIl,0)</f>
        <v>0</v>
      </c>
      <c r="BC173" s="10"/>
      <c r="BD173" s="10"/>
      <c r="BE173" s="95">
        <f>Tabella34[[#This Row],[rest of Italy data]]*NOT(ISBLANK(Tabella34[[#This Row],[rest of Italy data]]))</f>
        <v>0</v>
      </c>
      <c r="BF173" s="95">
        <f>Tabella8[[#This Row],[rest of Italy fit]]</f>
        <v>147107.97288052144</v>
      </c>
      <c r="BG173" s="157" t="e">
        <f>_xlfn.LOGNORM.INV(alpha*Tabella34[[#This Row],[rest of Italy cumul. Fit]]/Ko,mu_o,sigma_o)-(Tabella34[[#This Row],[Day]]-po)</f>
        <v>#NUM!</v>
      </c>
      <c r="BH173" s="95">
        <f>Tabella34[[#This Row],[rest of Italy cumul. Fit]]/Ka</f>
        <v>0.9939729054431351</v>
      </c>
      <c r="BI173" s="157">
        <f>IFERROR(Ko*_xlfn.LOGNORM.DIST((Tabella34[[#This Row],[Day]]-po),mu_o,sigma_o,FALSE),0)</f>
        <v>61.261579751984854</v>
      </c>
      <c r="BJ173" s="199">
        <f>Tabella34[[#This Row],[rest of Italy velocity]]/Tabella34[[#This Row],[rest of Italy cumul. Fit]]</f>
        <v>4.164395617206992E-4</v>
      </c>
      <c r="BK173" s="254">
        <f>(LN(Tabella34[[#This Row],[Day]]-po)-mu_o)/sigma_o</f>
        <v>2.5105539799697478</v>
      </c>
      <c r="BL173" s="262">
        <f>EXP(mu_o+sigma_o*Tabella34[[#This Row],[x_o_alpha©+plus]])-(Tabella34[[#This Row],[Day]]-po)</f>
        <v>10.06722953588411</v>
      </c>
      <c r="BM173" s="262">
        <f>EXP(mu_o+sigma_o*Tabella34[[#This Row],[x_o_alpha©-minus]])-(Tabella34[[#This Row],[Day]]-po)</f>
        <v>-109.02776767973992</v>
      </c>
      <c r="BN173" s="262">
        <f>-sigma_o+SQRT(sigma_o^2-2*Tabella34[[#This Row],[c_o]])</f>
        <v>2.7455556734371824</v>
      </c>
      <c r="BO173" s="262">
        <f>-sigma_o-SQRT(sigma_o^2-2*Tabella34[[#This Row],[c_o]])</f>
        <v>-3.3885284507362088</v>
      </c>
      <c r="BP173" s="262">
        <f>mu_o-LN(alpha*Ko/(Tabella34[[#This Row],[rest of Italy velocity]]*sigma_o*SQRTPI(2)))</f>
        <v>-4.6516967562610523</v>
      </c>
      <c r="BQ173" s="262">
        <f>Tabella34[[#This Row],[t_alpha_o+plus]]</f>
        <v>10.06722953588411</v>
      </c>
      <c r="BR173" s="90">
        <f>IFERROR(-Ka*_xlfn.LOGNORM.DIST((Tabella34[[#This Row],[Day]]-pa),mu_a,sigma_a,FALSE)*(1+(LN((Tabella34[[#This Row],[Day]]-pa))-mu_a)/sigma_a^2)/(Tabella34[[#This Row],[Day]]-pa),0)</f>
        <v>-4.2068533594951427</v>
      </c>
      <c r="BS173" s="95">
        <f>Tabella34[[#This Row],[rest of Italy acc. fit]]/y_a_peak</f>
        <v>-1.2449445779155793E-3</v>
      </c>
      <c r="BT173" s="136">
        <f>Tabella34[[#This Row],[rest of Italy acc. fit]]*NOT(ISBLANK(Tabella34[[#This Row],[rest of Italy data]]))</f>
        <v>0</v>
      </c>
      <c r="BU173" s="205"/>
      <c r="BV173" s="137"/>
    </row>
    <row r="174" spans="2:74" x14ac:dyDescent="0.3">
      <c r="B174" s="281">
        <v>43997</v>
      </c>
      <c r="C174" s="4">
        <v>167</v>
      </c>
      <c r="E174" s="10"/>
      <c r="F174" s="10"/>
      <c r="G174" s="136">
        <f>Tabella34[[#This Row],[Spain daily cases]]*NOT(ISBLANK(Tabella34[[#This Row],[Spain daily cases]]))</f>
        <v>0</v>
      </c>
      <c r="H174" s="157">
        <f>Tabella8[[#This Row],[Spain cum. fit]]</f>
        <v>278968.58328824595</v>
      </c>
      <c r="I174" s="157" t="e">
        <f>_xlfn.LOGNORM.INV(alpha*Tabella34[[#This Row],[Spain cumul. Fit]]/Kt,mu_t,sigma_t)-(Tabella34[[#This Row],[Day]]-pt)</f>
        <v>#NUM!</v>
      </c>
      <c r="J174" s="157" t="e">
        <f>Tabella34[[#This Row],[Spain fitted d.t.]]/Spain_dt_at_lockdown</f>
        <v>#NUM!</v>
      </c>
      <c r="K174" s="95">
        <f>Tabella34[[#This Row],[Spain cumul. Fit]]/Kf</f>
        <v>0.9963167397679219</v>
      </c>
      <c r="L174" s="160"/>
      <c r="M174" s="95"/>
      <c r="N174" s="157">
        <f>IFERROR(Kt*_xlfn.LOGNORM.DIST((Tabella34[[#This Row],[Day]]-pt),mu_t,sigma_t,FALSE),0)</f>
        <v>86.416400989262044</v>
      </c>
      <c r="O174" s="157" t="e">
        <f>Kt*EXP(-0.5*Tabella34[[#This Row],[x_t]]^2)/(sigma_t*SQRTPI(2)*(Tabella34[[#This Row],[Day]]-D_bk))</f>
        <v>#NAME?</v>
      </c>
      <c r="P174" s="199">
        <f>Tabella34[[#This Row],[Spain fitted velocity]]/Tabella34[[#This Row],[Spain cumul. Fit]]</f>
        <v>3.0977108594329342E-4</v>
      </c>
      <c r="Q174" s="262">
        <f>(LN(Tabella34[[#This Row],[Day]]-pt)-mu_t)/sigma_t</f>
        <v>2.6798043401758367</v>
      </c>
      <c r="R174" s="262">
        <f>EXP(mu_t+sigma_t*Tabella34[[#This Row],[x_t_alpha©+plus]])-(Tabella34[[#This Row],[Day]]-pt)</f>
        <v>8.3214396811023335</v>
      </c>
      <c r="S174" s="262">
        <f>EXP(mu_t+sigma_t*Tabella34[[#This Row],[x_t_alpha©-minus]])-(Tabella34[[#This Row],[Day]]-pt)</f>
        <v>-107.07280777421062</v>
      </c>
      <c r="T174" s="262">
        <f>-sigma_t+SQRT(sigma_t^2-2*Tabella34[[#This Row],[c_t]])</f>
        <v>2.9061957930438398</v>
      </c>
      <c r="U174" s="262">
        <f>-sigma_t-SQRT(sigma_t^2-2*Tabella34[[#This Row],[c_t]])</f>
        <v>-3.4436351428870067</v>
      </c>
      <c r="V174" s="262">
        <f>mu_t-LN(alpha*Kt/(Tabella34[[#This Row],[Spain fitted velocity]]*sigma_t*SQRTPI(2)))</f>
        <v>-5.0039389825180702</v>
      </c>
      <c r="W174" s="262">
        <f>Tabella34[[#This Row],[Spain fitted g.r.]]/Spain_gr_at_lockdown</f>
        <v>1.494925480734449E-3</v>
      </c>
      <c r="X174" s="262">
        <f>Tabella34[[#This Row],[t_alpha_t+plus]]</f>
        <v>8.3214396811023335</v>
      </c>
      <c r="Y174" s="262">
        <f>Tabella34[[#This Row],[Spain fitted h.t.]]/Spain_ht_at_lockdown</f>
        <v>0.13517483221759491</v>
      </c>
      <c r="Z174" s="90">
        <f>IFERROR(-Kf*_xlfn.LOGNORM.DIST((Tabella34[[#This Row],[Day]]-pf),mu_f,sigma_f,FALSE)*(1+(LN((Tabella34[[#This Row],[Day]]-pf))-mu_f)/sigma_f^2)/(Tabella34[[#This Row],[Day]]-pf),0)</f>
        <v>-7.1472620515462664</v>
      </c>
      <c r="AA174" s="90">
        <f>Tabella34[[#This Row],[Spain acc. fit]]/Spain_acc_at_lockdown</f>
        <v>-2.4355506326619421E-2</v>
      </c>
      <c r="AB174" s="95">
        <f>Tabella34[[#This Row],[Spain acc. fit]]/y_f_peak</f>
        <v>-1.0708044780638761E-3</v>
      </c>
      <c r="AC174" s="157">
        <f>Tabella34[[#This Row],[Colonna4]]*NOT(ISBLANK(Tabella34[[#This Row],[Spain daily cases]]))</f>
        <v>0</v>
      </c>
      <c r="AD174" s="157">
        <f>Tabella34[[#This Row],[Spain acc. fit]]*NOT(ISBLANK(Tabella34[[#This Row],[Spain daily cases]]))</f>
        <v>0</v>
      </c>
      <c r="AE174" s="95">
        <f>Tabella34[[#This Row],[Spain acc. fit]]+CIf</f>
        <v>2335.5411556295462</v>
      </c>
      <c r="AF174" s="95">
        <f>MAX(Tabella34[[#This Row],[Spain acc. fit]]-CIf,0)</f>
        <v>0</v>
      </c>
      <c r="AH174" s="10"/>
      <c r="AI174" s="10"/>
      <c r="AJ174" s="136">
        <f>Tabella34[[#This Row],[Lombardy data]]*NOT(ISBLANK(Tabella34[[#This Row],[Lombardy data]]))</f>
        <v>0</v>
      </c>
      <c r="AK174" s="95">
        <f>Tabella8[[#This Row],[Lombardy fit]]</f>
        <v>86135.092257003984</v>
      </c>
      <c r="AL174" s="157" t="e">
        <f>_xlfn.LOGNORM.INV(alpha*Tabella34[[#This Row],[Lombardy cumul. Fit]]/Kr,mu_r,sigma_r)-(Tabella34[[#This Row],[Day]]-pr)</f>
        <v>#NUM!</v>
      </c>
      <c r="AM174" s="95">
        <f>Tabella34[[#This Row],[Lombardy cumul. Fit]]/Kl</f>
        <v>0.99005853168970093</v>
      </c>
      <c r="AN174" s="95">
        <f>IFERROR(Kr*_xlfn.LOGNORM.DIST((Tabella34[[#This Row],[Day]]-pr),mu_r,sigma_r,FALSE),0)</f>
        <v>49.908295540959109</v>
      </c>
      <c r="AO174" s="202">
        <f>Tabella34[[#This Row],[Lombardy velocity]]/Tabella34[[#This Row],[Lombardy cumul. Fit]]</f>
        <v>5.7941884350743084E-4</v>
      </c>
      <c r="AP174" s="259">
        <f>(LN(Tabella34[[#This Row],[Day]]-pr)-mu_r)/sigma_r</f>
        <v>2.3285496395256002</v>
      </c>
      <c r="AQ174" s="262">
        <f>EXP(mu_r+sigma_r*Tabella34[[#This Row],[x_r_alpha©+plus]])-(Tabella34[[#This Row],[Day]]-pr)</f>
        <v>11.969405499988937</v>
      </c>
      <c r="AR174" s="262">
        <f>EXP(mu_r+sigma_r*Tabella34[[#This Row],[x_r_alpha©-minus]])-(Tabella34[[#This Row],[Day]]-pr)</f>
        <v>-115.50353916385359</v>
      </c>
      <c r="AS174" s="262">
        <f>-sigma_r+SQRT(sigma_r^2-2*Tabella34[[#This Row],[c_r]])</f>
        <v>2.5767172397058671</v>
      </c>
      <c r="AT174" s="262">
        <f>-sigma_r-SQRT(sigma_r^2-2*Tabella34[[#This Row],[c_r]])</f>
        <v>-3.2575718368995963</v>
      </c>
      <c r="AU174" s="262">
        <f>mu_r-LN(alpha*Kr/(Tabella34[[#This Row],[Lombardy velocity]]*sigma_r*SQRTPI(2)))</f>
        <v>-4.1969207558597494</v>
      </c>
      <c r="AV174" s="262">
        <f>Tabella34[[#This Row],[t_alpha_r+plus]]</f>
        <v>11.969405499988937</v>
      </c>
      <c r="AW174" s="90">
        <f>IFERROR(-Kl*_xlfn.LOGNORM.DIST((Tabella34[[#This Row],[Day]]-pl),mu_l,sigma_l,FALSE)*(1+(LN((Tabella34[[#This Row],[Day]]-pl))-mu_l)/sigma_l^2)/(Tabella34[[#This Row],[Day]]-pl),0)</f>
        <v>-2.8818041577284772</v>
      </c>
      <c r="AX174" s="95">
        <f>Tabella34[[#This Row],[Lombardy acc. fit]]/y_l_peak</f>
        <v>-1.6392939654861023E-3</v>
      </c>
      <c r="AY174" s="157">
        <f>Tabella34[[#This Row],[Lombardy acc. fit]]*NOT(ISBLANK(Tabella34[[#This Row],[Lombardy data]]))</f>
        <v>0</v>
      </c>
      <c r="AZ174" s="95">
        <f>Tabella34[[#This Row],[Lombardy acc. fit]]+CIl</f>
        <v>2567.5005187586803</v>
      </c>
      <c r="BA174" s="95">
        <f>MAX(Tabella34[[#This Row],[Lombardy acc. fit]]-CIl,0)</f>
        <v>0</v>
      </c>
      <c r="BC174" s="10"/>
      <c r="BD174" s="10"/>
      <c r="BE174" s="95">
        <f>Tabella34[[#This Row],[rest of Italy data]]*NOT(ISBLANK(Tabella34[[#This Row],[rest of Italy data]]))</f>
        <v>0</v>
      </c>
      <c r="BF174" s="95">
        <f>Tabella8[[#This Row],[rest of Italy fit]]</f>
        <v>147167.17786831071</v>
      </c>
      <c r="BG174" s="157" t="e">
        <f>_xlfn.LOGNORM.INV(alpha*Tabella34[[#This Row],[rest of Italy cumul. Fit]]/Ko,mu_o,sigma_o)-(Tabella34[[#This Row],[Day]]-po)</f>
        <v>#NUM!</v>
      </c>
      <c r="BH174" s="95">
        <f>Tabella34[[#This Row],[rest of Italy cumul. Fit]]/Ka</f>
        <v>0.99437293919098246</v>
      </c>
      <c r="BI174" s="157">
        <f>IFERROR(Ko*_xlfn.LOGNORM.DIST((Tabella34[[#This Row],[Day]]-po),mu_o,sigma_o,FALSE),0)</f>
        <v>57.194464654495931</v>
      </c>
      <c r="BJ174" s="199">
        <f>Tabella34[[#This Row],[rest of Italy velocity]]/Tabella34[[#This Row],[rest of Italy cumul. Fit]]</f>
        <v>3.8863600894538543E-4</v>
      </c>
      <c r="BK174" s="254">
        <f>(LN(Tabella34[[#This Row],[Day]]-po)-mu_o)/sigma_o</f>
        <v>2.5347076144066825</v>
      </c>
      <c r="BL174" s="262">
        <f>EXP(mu_o+sigma_o*Tabella34[[#This Row],[x_o_alpha©+plus]])-(Tabella34[[#This Row],[Day]]-po)</f>
        <v>10.063398666902458</v>
      </c>
      <c r="BM174" s="262">
        <f>EXP(mu_o+sigma_o*Tabella34[[#This Row],[x_o_alpha©-minus]])-(Tabella34[[#This Row],[Day]]-po)</f>
        <v>-110.16541818940829</v>
      </c>
      <c r="BN174" s="262">
        <f>-sigma_o+SQRT(sigma_o^2-2*Tabella34[[#This Row],[c_o]])</f>
        <v>2.7678725325854514</v>
      </c>
      <c r="BO174" s="262">
        <f>-sigma_o-SQRT(sigma_o^2-2*Tabella34[[#This Row],[c_o]])</f>
        <v>-3.4108453098844778</v>
      </c>
      <c r="BP174" s="262">
        <f>mu_o-LN(alpha*Ko/(Tabella34[[#This Row],[rest of Italy velocity]]*sigma_o*SQRTPI(2)))</f>
        <v>-4.7203925230635795</v>
      </c>
      <c r="BQ174" s="262">
        <f>Tabella34[[#This Row],[t_alpha_o+plus]]</f>
        <v>10.063398666902458</v>
      </c>
      <c r="BR174" s="90">
        <f>IFERROR(-Ka*_xlfn.LOGNORM.DIST((Tabella34[[#This Row],[Day]]-pa),mu_a,sigma_a,FALSE)*(1+(LN((Tabella34[[#This Row],[Day]]-pa))-mu_a)/sigma_a^2)/(Tabella34[[#This Row],[Day]]-pa),0)</f>
        <v>-3.9304214385492879</v>
      </c>
      <c r="BS174" s="95">
        <f>Tabella34[[#This Row],[rest of Italy acc. fit]]/y_a_peak</f>
        <v>-1.163139392011588E-3</v>
      </c>
      <c r="BT174" s="136">
        <f>Tabella34[[#This Row],[rest of Italy acc. fit]]*NOT(ISBLANK(Tabella34[[#This Row],[rest of Italy data]]))</f>
        <v>0</v>
      </c>
      <c r="BU174" s="205"/>
      <c r="BV174" s="137"/>
    </row>
    <row r="175" spans="2:74" x14ac:dyDescent="0.3">
      <c r="B175" s="281">
        <v>43998</v>
      </c>
      <c r="C175" s="4">
        <v>168</v>
      </c>
      <c r="E175" s="10"/>
      <c r="F175" s="10"/>
      <c r="G175" s="136">
        <f>Tabella34[[#This Row],[Spain daily cases]]*NOT(ISBLANK(Tabella34[[#This Row],[Spain daily cases]]))</f>
        <v>0</v>
      </c>
      <c r="H175" s="157">
        <f>Tabella8[[#This Row],[Spain cum. fit]]</f>
        <v>279051.52039203094</v>
      </c>
      <c r="I175" s="157" t="e">
        <f>_xlfn.LOGNORM.INV(alpha*Tabella34[[#This Row],[Spain cumul. Fit]]/Kt,mu_t,sigma_t)-(Tabella34[[#This Row],[Day]]-pt)</f>
        <v>#NUM!</v>
      </c>
      <c r="J175" s="157" t="e">
        <f>Tabella34[[#This Row],[Spain fitted d.t.]]/Spain_dt_at_lockdown</f>
        <v>#NUM!</v>
      </c>
      <c r="K175" s="95">
        <f>Tabella34[[#This Row],[Spain cumul. Fit]]/Kf</f>
        <v>0.99661294382027388</v>
      </c>
      <c r="L175" s="160"/>
      <c r="M175" s="95"/>
      <c r="N175" s="157">
        <f>IFERROR(Kt*_xlfn.LOGNORM.DIST((Tabella34[[#This Row],[Day]]-pt),mu_t,sigma_t,FALSE),0)</f>
        <v>79.550332126057015</v>
      </c>
      <c r="O175" s="157" t="e">
        <f>Kt*EXP(-0.5*Tabella34[[#This Row],[x_t]]^2)/(sigma_t*SQRTPI(2)*(Tabella34[[#This Row],[Day]]-D_bk))</f>
        <v>#NAME?</v>
      </c>
      <c r="P175" s="199">
        <f>Tabella34[[#This Row],[Spain fitted velocity]]/Tabella34[[#This Row],[Spain cumul. Fit]]</f>
        <v>2.8507399642295153E-4</v>
      </c>
      <c r="Q175" s="262">
        <f>(LN(Tabella34[[#This Row],[Day]]-pt)-mu_t)/sigma_t</f>
        <v>2.7077495380982617</v>
      </c>
      <c r="R175" s="262">
        <f>EXP(mu_t+sigma_t*Tabella34[[#This Row],[x_t_alpha©+plus]])-(Tabella34[[#This Row],[Day]]-pt)</f>
        <v>8.3087607144861693</v>
      </c>
      <c r="S175" s="262">
        <f>EXP(mu_t+sigma_t*Tabella34[[#This Row],[x_t_alpha©-minus]])-(Tabella34[[#This Row],[Day]]-pt)</f>
        <v>-108.25079152882523</v>
      </c>
      <c r="T175" s="262">
        <f>-sigma_t+SQRT(sigma_t^2-2*Tabella34[[#This Row],[c_t]])</f>
        <v>2.9321650991955464</v>
      </c>
      <c r="U175" s="262">
        <f>-sigma_t-SQRT(sigma_t^2-2*Tabella34[[#This Row],[c_t]])</f>
        <v>-3.4696044490387132</v>
      </c>
      <c r="V175" s="262">
        <f>mu_t-LN(alpha*Kt/(Tabella34[[#This Row],[Spain fitted velocity]]*sigma_t*SQRTPI(2)))</f>
        <v>-5.0867265367424537</v>
      </c>
      <c r="W175" s="262">
        <f>Tabella34[[#This Row],[Spain fitted g.r.]]/Spain_gr_at_lockdown</f>
        <v>1.3757397009786928E-3</v>
      </c>
      <c r="X175" s="262">
        <f>Tabella34[[#This Row],[t_alpha_t+plus]]</f>
        <v>8.3087607144861693</v>
      </c>
      <c r="Y175" s="262">
        <f>Tabella34[[#This Row],[Spain fitted h.t.]]/Spain_ht_at_lockdown</f>
        <v>0.13496887300251767</v>
      </c>
      <c r="Z175" s="90">
        <f>IFERROR(-Kf*_xlfn.LOGNORM.DIST((Tabella34[[#This Row],[Day]]-pf),mu_f,sigma_f,FALSE)*(1+(LN((Tabella34[[#This Row],[Day]]-pf))-mu_f)/sigma_f^2)/(Tabella34[[#This Row],[Day]]-pf),0)</f>
        <v>-6.5920569624662964</v>
      </c>
      <c r="AA175" s="90">
        <f>Tabella34[[#This Row],[Spain acc. fit]]/Spain_acc_at_lockdown</f>
        <v>-2.24635509229788E-2</v>
      </c>
      <c r="AB175" s="95">
        <f>Tabella34[[#This Row],[Spain acc. fit]]/y_f_peak</f>
        <v>-9.8762352130826584E-4</v>
      </c>
      <c r="AC175" s="157">
        <f>Tabella34[[#This Row],[Colonna4]]*NOT(ISBLANK(Tabella34[[#This Row],[Spain daily cases]]))</f>
        <v>0</v>
      </c>
      <c r="AD175" s="157">
        <f>Tabella34[[#This Row],[Spain acc. fit]]*NOT(ISBLANK(Tabella34[[#This Row],[Spain daily cases]]))</f>
        <v>0</v>
      </c>
      <c r="AE175" s="95">
        <f>Tabella34[[#This Row],[Spain acc. fit]]+CIf</f>
        <v>2336.0963607186263</v>
      </c>
      <c r="AF175" s="95">
        <f>MAX(Tabella34[[#This Row],[Spain acc. fit]]-CIf,0)</f>
        <v>0</v>
      </c>
      <c r="AH175" s="10"/>
      <c r="AI175" s="10"/>
      <c r="AJ175" s="136">
        <f>Tabella34[[#This Row],[Lombardy data]]*NOT(ISBLANK(Tabella34[[#This Row],[Lombardy data]]))</f>
        <v>0</v>
      </c>
      <c r="AK175" s="95">
        <f>Tabella8[[#This Row],[Lombardy fit]]</f>
        <v>86183.586655444858</v>
      </c>
      <c r="AL175" s="157" t="e">
        <f>_xlfn.LOGNORM.INV(alpha*Tabella34[[#This Row],[Lombardy cumul. Fit]]/Kr,mu_r,sigma_r)-(Tabella34[[#This Row],[Day]]-pr)</f>
        <v>#NUM!</v>
      </c>
      <c r="AM175" s="95">
        <f>Tabella34[[#This Row],[Lombardy cumul. Fit]]/Kl</f>
        <v>0.99061593856833174</v>
      </c>
      <c r="AN175" s="95">
        <f>IFERROR(Kr*_xlfn.LOGNORM.DIST((Tabella34[[#This Row],[Day]]-pr),mu_r,sigma_r,FALSE),0)</f>
        <v>47.107137423001539</v>
      </c>
      <c r="AO175" s="202">
        <f>Tabella34[[#This Row],[Lombardy velocity]]/Tabella34[[#This Row],[Lombardy cumul. Fit]]</f>
        <v>5.4659058935818184E-4</v>
      </c>
      <c r="AP175" s="259">
        <f>(LN(Tabella34[[#This Row],[Day]]-pr)-mu_r)/sigma_r</f>
        <v>2.350104861841332</v>
      </c>
      <c r="AQ175" s="262">
        <f>EXP(mu_r+sigma_r*Tabella34[[#This Row],[x_r_alpha©+plus]])-(Tabella34[[#This Row],[Day]]-pr)</f>
        <v>11.965329748587351</v>
      </c>
      <c r="AR175" s="262">
        <f>EXP(mu_r+sigma_r*Tabella34[[#This Row],[x_r_alpha©-minus]])-(Tabella34[[#This Row],[Day]]-pr)</f>
        <v>-116.63928737950837</v>
      </c>
      <c r="AS175" s="262">
        <f>-sigma_r+SQRT(sigma_r^2-2*Tabella34[[#This Row],[c_r]])</f>
        <v>2.5964516004168692</v>
      </c>
      <c r="AT175" s="262">
        <f>-sigma_r-SQRT(sigma_r^2-2*Tabella34[[#This Row],[c_r]])</f>
        <v>-3.2773061976105984</v>
      </c>
      <c r="AU175" s="262">
        <f>mu_r-LN(alpha*Kr/(Tabella34[[#This Row],[Lombardy velocity]]*sigma_r*SQRTPI(2)))</f>
        <v>-4.2546834609210817</v>
      </c>
      <c r="AV175" s="262">
        <f>Tabella34[[#This Row],[t_alpha_r+plus]]</f>
        <v>11.965329748587351</v>
      </c>
      <c r="AW175" s="90">
        <f>IFERROR(-Kl*_xlfn.LOGNORM.DIST((Tabella34[[#This Row],[Day]]-pl),mu_l,sigma_l,FALSE)*(1+(LN((Tabella34[[#This Row],[Day]]-pl))-mu_l)/sigma_l^2)/(Tabella34[[#This Row],[Day]]-pl),0)</f>
        <v>-2.7219801832077586</v>
      </c>
      <c r="AX175" s="95">
        <f>Tabella34[[#This Row],[Lombardy acc. fit]]/y_l_peak</f>
        <v>-1.5483792250554642E-3</v>
      </c>
      <c r="AY175" s="157">
        <f>Tabella34[[#This Row],[Lombardy acc. fit]]*NOT(ISBLANK(Tabella34[[#This Row],[Lombardy data]]))</f>
        <v>0</v>
      </c>
      <c r="AZ175" s="95">
        <f>Tabella34[[#This Row],[Lombardy acc. fit]]+CIl</f>
        <v>2567.6603427332007</v>
      </c>
      <c r="BA175" s="95">
        <f>MAX(Tabella34[[#This Row],[Lombardy acc. fit]]-CIl,0)</f>
        <v>0</v>
      </c>
      <c r="BC175" s="10"/>
      <c r="BD175" s="10"/>
      <c r="BE175" s="95">
        <f>Tabella34[[#This Row],[rest of Italy data]]*NOT(ISBLANK(Tabella34[[#This Row],[rest of Italy data]]))</f>
        <v>0</v>
      </c>
      <c r="BF175" s="95">
        <f>Tabella8[[#This Row],[rest of Italy fit]]</f>
        <v>147222.4509590595</v>
      </c>
      <c r="BG175" s="157" t="e">
        <f>_xlfn.LOGNORM.INV(alpha*Tabella34[[#This Row],[rest of Italy cumul. Fit]]/Ko,mu_o,sigma_o)-(Tabella34[[#This Row],[Day]]-po)</f>
        <v>#NUM!</v>
      </c>
      <c r="BH175" s="95">
        <f>Tabella34[[#This Row],[rest of Italy cumul. Fit]]/Ka</f>
        <v>0.99474640606384201</v>
      </c>
      <c r="BI175" s="157">
        <f>IFERROR(Ko*_xlfn.LOGNORM.DIST((Tabella34[[#This Row],[Day]]-po),mu_o,sigma_o,FALSE),0)</f>
        <v>53.39483412874759</v>
      </c>
      <c r="BJ175" s="199">
        <f>Tabella34[[#This Row],[rest of Italy velocity]]/Tabella34[[#This Row],[rest of Italy cumul. Fit]]</f>
        <v>3.6268132870302471E-4</v>
      </c>
      <c r="BK175" s="254">
        <f>(LN(Tabella34[[#This Row],[Day]]-po)-mu_o)/sigma_o</f>
        <v>2.5586751385398978</v>
      </c>
      <c r="BL175" s="262">
        <f>EXP(mu_o+sigma_o*Tabella34[[#This Row],[x_o_alpha©+plus]])-(Tabella34[[#This Row],[Day]]-po)</f>
        <v>10.06020542752924</v>
      </c>
      <c r="BM175" s="262">
        <f>EXP(mu_o+sigma_o*Tabella34[[#This Row],[x_o_alpha©-minus]])-(Tabella34[[#This Row],[Day]]-po)</f>
        <v>-111.30120081187687</v>
      </c>
      <c r="BN175" s="262">
        <f>-sigma_o+SQRT(sigma_o^2-2*Tabella34[[#This Row],[c_o]])</f>
        <v>2.7900445502649509</v>
      </c>
      <c r="BO175" s="262">
        <f>-sigma_o-SQRT(sigma_o^2-2*Tabella34[[#This Row],[c_o]])</f>
        <v>-3.4330173275639773</v>
      </c>
      <c r="BP175" s="262">
        <f>mu_o-LN(alpha*Ko/(Tabella34[[#This Row],[rest of Italy velocity]]*sigma_o*SQRTPI(2)))</f>
        <v>-4.7891356428675111</v>
      </c>
      <c r="BQ175" s="262">
        <f>Tabella34[[#This Row],[t_alpha_o+plus]]</f>
        <v>10.06020542752924</v>
      </c>
      <c r="BR175" s="90">
        <f>IFERROR(-Ka*_xlfn.LOGNORM.DIST((Tabella34[[#This Row],[Day]]-pa),mu_a,sigma_a,FALSE)*(1+(LN((Tabella34[[#This Row],[Day]]-pa))-mu_a)/sigma_a^2)/(Tabella34[[#This Row],[Day]]-pa),0)</f>
        <v>-3.67169978608925</v>
      </c>
      <c r="BS175" s="95">
        <f>Tabella34[[#This Row],[rest of Italy acc. fit]]/y_a_peak</f>
        <v>-1.0865752499093929E-3</v>
      </c>
      <c r="BT175" s="136">
        <f>Tabella34[[#This Row],[rest of Italy acc. fit]]*NOT(ISBLANK(Tabella34[[#This Row],[rest of Italy data]]))</f>
        <v>0</v>
      </c>
      <c r="BU175" s="205"/>
      <c r="BV175" s="137"/>
    </row>
    <row r="176" spans="2:74" x14ac:dyDescent="0.3">
      <c r="B176" s="281">
        <v>43999</v>
      </c>
      <c r="C176" s="4">
        <v>169</v>
      </c>
      <c r="E176" s="10"/>
      <c r="F176" s="10"/>
      <c r="G176" s="136">
        <f>Tabella34[[#This Row],[Spain daily cases]]*NOT(ISBLANK(Tabella34[[#This Row],[Spain daily cases]]))</f>
        <v>0</v>
      </c>
      <c r="H176" s="157">
        <f>Tabella8[[#This Row],[Spain cum. fit]]</f>
        <v>279127.86197561357</v>
      </c>
      <c r="I176" s="157" t="e">
        <f>_xlfn.LOGNORM.INV(alpha*Tabella34[[#This Row],[Spain cumul. Fit]]/Kt,mu_t,sigma_t)-(Tabella34[[#This Row],[Day]]-pt)</f>
        <v>#NUM!</v>
      </c>
      <c r="J176" s="157" t="e">
        <f>Tabella34[[#This Row],[Spain fitted d.t.]]/Spain_dt_at_lockdown</f>
        <v>#NUM!</v>
      </c>
      <c r="K176" s="95">
        <f>Tabella34[[#This Row],[Spain cumul. Fit]]/Kf</f>
        <v>0.99688559243456309</v>
      </c>
      <c r="L176" s="160"/>
      <c r="M176" s="95"/>
      <c r="N176" s="157">
        <f>IFERROR(Kt*_xlfn.LOGNORM.DIST((Tabella34[[#This Row],[Day]]-pt),mu_t,sigma_t,FALSE),0)</f>
        <v>73.218433049791741</v>
      </c>
      <c r="O176" s="157" t="e">
        <f>Kt*EXP(-0.5*Tabella34[[#This Row],[x_t]]^2)/(sigma_t*SQRTPI(2)*(Tabella34[[#This Row],[Day]]-D_bk))</f>
        <v>#NAME?</v>
      </c>
      <c r="P176" s="199">
        <f>Tabella34[[#This Row],[Spain fitted velocity]]/Tabella34[[#This Row],[Spain cumul. Fit]]</f>
        <v>2.623114458426532E-4</v>
      </c>
      <c r="Q176" s="262">
        <f>(LN(Tabella34[[#This Row],[Day]]-pt)-mu_t)/sigma_t</f>
        <v>2.735486446827176</v>
      </c>
      <c r="R176" s="262">
        <f>EXP(mu_t+sigma_t*Tabella34[[#This Row],[x_t_alpha©+plus]])-(Tabella34[[#This Row],[Day]]-pt)</f>
        <v>8.2968138107056006</v>
      </c>
      <c r="S176" s="262">
        <f>EXP(mu_t+sigma_t*Tabella34[[#This Row],[x_t_alpha©-minus]])-(Tabella34[[#This Row],[Day]]-pt)</f>
        <v>-109.42644616679969</v>
      </c>
      <c r="T176" s="262">
        <f>-sigma_t+SQRT(sigma_t^2-2*Tabella34[[#This Row],[c_t]])</f>
        <v>2.9579734903906396</v>
      </c>
      <c r="U176" s="262">
        <f>-sigma_t-SQRT(sigma_t^2-2*Tabella34[[#This Row],[c_t]])</f>
        <v>-3.4954128402338065</v>
      </c>
      <c r="V176" s="262">
        <f>mu_t-LN(alpha*Kt/(Tabella34[[#This Row],[Spain fitted velocity]]*sigma_t*SQRTPI(2)))</f>
        <v>-5.1696692596913252</v>
      </c>
      <c r="W176" s="262">
        <f>Tabella34[[#This Row],[Spain fitted g.r.]]/Spain_gr_at_lockdown</f>
        <v>1.2658898201695333E-3</v>
      </c>
      <c r="X176" s="262">
        <f>Tabella34[[#This Row],[t_alpha_t+plus]]</f>
        <v>8.2968138107056006</v>
      </c>
      <c r="Y176" s="262">
        <f>Tabella34[[#This Row],[Spain fitted h.t.]]/Spain_ht_at_lockdown</f>
        <v>0.13477480553631641</v>
      </c>
      <c r="Z176" s="90">
        <f>IFERROR(-Kf*_xlfn.LOGNORM.DIST((Tabella34[[#This Row],[Day]]-pf),mu_f,sigma_f,FALSE)*(1+(LN((Tabella34[[#This Row],[Day]]-pf))-mu_f)/sigma_f^2)/(Tabella34[[#This Row],[Day]]-pf),0)</f>
        <v>-6.0784202491611774</v>
      </c>
      <c r="AA176" s="90">
        <f>Tabella34[[#This Row],[Spain acc. fit]]/Spain_acc_at_lockdown</f>
        <v>-2.0713246802286821E-2</v>
      </c>
      <c r="AB176" s="95">
        <f>Tabella34[[#This Row],[Spain acc. fit]]/y_f_peak</f>
        <v>-9.1067034836756714E-4</v>
      </c>
      <c r="AC176" s="157">
        <f>Tabella34[[#This Row],[Colonna4]]*NOT(ISBLANK(Tabella34[[#This Row],[Spain daily cases]]))</f>
        <v>0</v>
      </c>
      <c r="AD176" s="157">
        <f>Tabella34[[#This Row],[Spain acc. fit]]*NOT(ISBLANK(Tabella34[[#This Row],[Spain daily cases]]))</f>
        <v>0</v>
      </c>
      <c r="AE176" s="95">
        <f>Tabella34[[#This Row],[Spain acc. fit]]+CIf</f>
        <v>2336.6099974319313</v>
      </c>
      <c r="AF176" s="95">
        <f>MAX(Tabella34[[#This Row],[Spain acc. fit]]-CIf,0)</f>
        <v>0</v>
      </c>
      <c r="AH176" s="10"/>
      <c r="AI176" s="10"/>
      <c r="AJ176" s="136">
        <f>Tabella34[[#This Row],[Lombardy data]]*NOT(ISBLANK(Tabella34[[#This Row],[Lombardy data]]))</f>
        <v>0</v>
      </c>
      <c r="AK176" s="95">
        <f>Tabella8[[#This Row],[Lombardy fit]]</f>
        <v>86229.358358144367</v>
      </c>
      <c r="AL176" s="157" t="e">
        <f>_xlfn.LOGNORM.INV(alpha*Tabella34[[#This Row],[Lombardy cumul. Fit]]/Kr,mu_r,sigma_r)-(Tabella34[[#This Row],[Day]]-pr)</f>
        <v>#NUM!</v>
      </c>
      <c r="AM176" s="95">
        <f>Tabella34[[#This Row],[Lombardy cumul. Fit]]/Kl</f>
        <v>0.99114205009361345</v>
      </c>
      <c r="AN176" s="95">
        <f>IFERROR(Kr*_xlfn.LOGNORM.DIST((Tabella34[[#This Row],[Day]]-pr),mu_r,sigma_r,FALSE),0)</f>
        <v>44.461472838251026</v>
      </c>
      <c r="AO176" s="202">
        <f>Tabella34[[#This Row],[Lombardy velocity]]/Tabella34[[#This Row],[Lombardy cumul. Fit]]</f>
        <v>5.1561873687596142E-4</v>
      </c>
      <c r="AP176" s="259">
        <f>(LN(Tabella34[[#This Row],[Day]]-pr)-mu_r)/sigma_r</f>
        <v>2.3715030637493753</v>
      </c>
      <c r="AQ176" s="262">
        <f>EXP(mu_r+sigma_r*Tabella34[[#This Row],[x_r_alpha©+plus]])-(Tabella34[[#This Row],[Day]]-pr)</f>
        <v>11.961921254901341</v>
      </c>
      <c r="AR176" s="262">
        <f>EXP(mu_r+sigma_r*Tabella34[[#This Row],[x_r_alpha©-minus]])-(Tabella34[[#This Row],[Day]]-pr)</f>
        <v>-117.77331899708332</v>
      </c>
      <c r="AS176" s="262">
        <f>-sigma_r+SQRT(sigma_r^2-2*Tabella34[[#This Row],[c_r]])</f>
        <v>2.6160673574671875</v>
      </c>
      <c r="AT176" s="262">
        <f>-sigma_r-SQRT(sigma_r^2-2*Tabella34[[#This Row],[c_r]])</f>
        <v>-3.2969219546609168</v>
      </c>
      <c r="AU176" s="262">
        <f>mu_r-LN(alpha*Kr/(Tabella34[[#This Row],[Lombardy velocity]]*sigma_r*SQRTPI(2)))</f>
        <v>-4.3124849528526701</v>
      </c>
      <c r="AV176" s="262">
        <f>Tabella34[[#This Row],[t_alpha_r+plus]]</f>
        <v>11.961921254901341</v>
      </c>
      <c r="AW176" s="90">
        <f>IFERROR(-Kl*_xlfn.LOGNORM.DIST((Tabella34[[#This Row],[Day]]-pl),mu_l,sigma_l,FALSE)*(1+(LN((Tabella34[[#This Row],[Day]]-pl))-mu_l)/sigma_l^2)/(Tabella34[[#This Row],[Day]]-pl),0)</f>
        <v>-2.5707438399288631</v>
      </c>
      <c r="AX176" s="95">
        <f>Tabella34[[#This Row],[Lombardy acc. fit]]/y_l_peak</f>
        <v>-1.4623494980754404E-3</v>
      </c>
      <c r="AY176" s="157">
        <f>Tabella34[[#This Row],[Lombardy acc. fit]]*NOT(ISBLANK(Tabella34[[#This Row],[Lombardy data]]))</f>
        <v>0</v>
      </c>
      <c r="AZ176" s="95">
        <f>Tabella34[[#This Row],[Lombardy acc. fit]]+CIl</f>
        <v>2567.8115790764796</v>
      </c>
      <c r="BA176" s="95">
        <f>MAX(Tabella34[[#This Row],[Lombardy acc. fit]]-CIl,0)</f>
        <v>0</v>
      </c>
      <c r="BC176" s="10"/>
      <c r="BD176" s="10"/>
      <c r="BE176" s="95">
        <f>Tabella34[[#This Row],[rest of Italy data]]*NOT(ISBLANK(Tabella34[[#This Row],[rest of Italy data]]))</f>
        <v>0</v>
      </c>
      <c r="BF176" s="95">
        <f>Tabella8[[#This Row],[rest of Italy fit]]</f>
        <v>147274.0509641236</v>
      </c>
      <c r="BG176" s="157" t="e">
        <f>_xlfn.LOGNORM.INV(alpha*Tabella34[[#This Row],[rest of Italy cumul. Fit]]/Ko,mu_o,sigma_o)-(Tabella34[[#This Row],[Day]]-po)</f>
        <v>#NUM!</v>
      </c>
      <c r="BH176" s="95">
        <f>Tabella34[[#This Row],[rest of Italy cumul. Fit]]/Ka</f>
        <v>0.99509505478729432</v>
      </c>
      <c r="BI176" s="157">
        <f>IFERROR(Ko*_xlfn.LOGNORM.DIST((Tabella34[[#This Row],[Day]]-po),mu_o,sigma_o,FALSE),0)</f>
        <v>49.845521162565966</v>
      </c>
      <c r="BJ176" s="199">
        <f>Tabella34[[#This Row],[rest of Italy velocity]]/Tabella34[[#This Row],[rest of Italy cumul. Fit]]</f>
        <v>3.3845420042603761E-4</v>
      </c>
      <c r="BK176" s="254">
        <f>(LN(Tabella34[[#This Row],[Day]]-po)-mu_o)/sigma_o</f>
        <v>2.5824593985137798</v>
      </c>
      <c r="BL176" s="262">
        <f>EXP(mu_o+sigma_o*Tabella34[[#This Row],[x_o_alpha©+plus]])-(Tabella34[[#This Row],[Day]]-po)</f>
        <v>10.057626724806511</v>
      </c>
      <c r="BM176" s="262">
        <f>EXP(mu_o+sigma_o*Tabella34[[#This Row],[x_o_alpha©-minus]])-(Tabella34[[#This Row],[Day]]-po)</f>
        <v>-112.4351501500901</v>
      </c>
      <c r="BN176" s="262">
        <f>-sigma_o+SQRT(sigma_o^2-2*Tabella34[[#This Row],[c_o]])</f>
        <v>2.8120731681330486</v>
      </c>
      <c r="BO176" s="262">
        <f>-sigma_o-SQRT(sigma_o^2-2*Tabella34[[#This Row],[c_o]])</f>
        <v>-3.455045945432075</v>
      </c>
      <c r="BP176" s="262">
        <f>mu_o-LN(alpha*Ko/(Tabella34[[#This Row],[rest of Italy velocity]]*sigma_o*SQRTPI(2)))</f>
        <v>-4.8579209989082104</v>
      </c>
      <c r="BQ176" s="262">
        <f>Tabella34[[#This Row],[t_alpha_o+plus]]</f>
        <v>10.057626724806511</v>
      </c>
      <c r="BR176" s="90">
        <f>IFERROR(-Ka*_xlfn.LOGNORM.DIST((Tabella34[[#This Row],[Day]]-pa),mu_a,sigma_a,FALSE)*(1+(LN((Tabella34[[#This Row],[Day]]-pa))-mu_a)/sigma_a^2)/(Tabella34[[#This Row],[Day]]-pa),0)</f>
        <v>-3.4296118447553572</v>
      </c>
      <c r="BS176" s="95">
        <f>Tabella34[[#This Row],[rest of Italy acc. fit]]/y_a_peak</f>
        <v>-1.0149335633119444E-3</v>
      </c>
      <c r="BT176" s="136">
        <f>Tabella34[[#This Row],[rest of Italy acc. fit]]*NOT(ISBLANK(Tabella34[[#This Row],[rest of Italy data]]))</f>
        <v>0</v>
      </c>
      <c r="BU176" s="205"/>
      <c r="BV176" s="137"/>
    </row>
    <row r="177" spans="2:74" x14ac:dyDescent="0.3">
      <c r="B177" s="281">
        <v>44000</v>
      </c>
      <c r="C177" s="4">
        <v>170</v>
      </c>
      <c r="E177" s="10"/>
      <c r="F177" s="10"/>
      <c r="G177" s="136">
        <f>Tabella34[[#This Row],[Spain daily cases]]*NOT(ISBLANK(Tabella34[[#This Row],[Spain daily cases]]))</f>
        <v>0</v>
      </c>
      <c r="H177" s="157">
        <f>Tabella8[[#This Row],[Spain cum. fit]]</f>
        <v>279198.12191899825</v>
      </c>
      <c r="I177" s="157" t="e">
        <f>_xlfn.LOGNORM.INV(alpha*Tabella34[[#This Row],[Spain cumul. Fit]]/Kt,mu_t,sigma_t)-(Tabella34[[#This Row],[Day]]-pt)</f>
        <v>#NUM!</v>
      </c>
      <c r="J177" s="157" t="e">
        <f>Tabella34[[#This Row],[Spain fitted d.t.]]/Spain_dt_at_lockdown</f>
        <v>#NUM!</v>
      </c>
      <c r="K177" s="95">
        <f>Tabella34[[#This Row],[Spain cumul. Fit]]/Kf</f>
        <v>0.99713652089720284</v>
      </c>
      <c r="L177" s="160"/>
      <c r="M177" s="95"/>
      <c r="N177" s="157">
        <f>IFERROR(Kt*_xlfn.LOGNORM.DIST((Tabella34[[#This Row],[Day]]-pt),mu_t,sigma_t,FALSE),0)</f>
        <v>67.380610823037827</v>
      </c>
      <c r="O177" s="157" t="e">
        <f>Kt*EXP(-0.5*Tabella34[[#This Row],[x_t]]^2)/(sigma_t*SQRTPI(2)*(Tabella34[[#This Row],[Day]]-D_bk))</f>
        <v>#NAME?</v>
      </c>
      <c r="P177" s="199">
        <f>Tabella34[[#This Row],[Spain fitted velocity]]/Tabella34[[#This Row],[Spain cumul. Fit]]</f>
        <v>2.4133618936944884E-4</v>
      </c>
      <c r="Q177" s="262">
        <f>(LN(Tabella34[[#This Row],[Day]]-pt)-mu_t)/sigma_t</f>
        <v>2.7630181483670069</v>
      </c>
      <c r="R177" s="262">
        <f>EXP(mu_t+sigma_t*Tabella34[[#This Row],[x_t_alpha©+plus]])-(Tabella34[[#This Row],[Day]]-pt)</f>
        <v>8.2855714949998855</v>
      </c>
      <c r="S177" s="262">
        <f>EXP(mu_t+sigma_t*Tabella34[[#This Row],[x_t_alpha©-minus]])-(Tabella34[[#This Row],[Day]]-pt)</f>
        <v>-110.59981218349652</v>
      </c>
      <c r="T177" s="262">
        <f>-sigma_t+SQRT(sigma_t^2-2*Tabella34[[#This Row],[c_t]])</f>
        <v>2.9836223412689846</v>
      </c>
      <c r="U177" s="262">
        <f>-sigma_t-SQRT(sigma_t^2-2*Tabella34[[#This Row],[c_t]])</f>
        <v>-3.5210616911121515</v>
      </c>
      <c r="V177" s="262">
        <f>mu_t-LN(alpha*Kt/(Tabella34[[#This Row],[Spain fitted velocity]]*sigma_t*SQRTPI(2)))</f>
        <v>-5.2527591632942841</v>
      </c>
      <c r="W177" s="262">
        <f>Tabella34[[#This Row],[Spain fitted g.r.]]/Spain_gr_at_lockdown</f>
        <v>1.1646652488986255E-3</v>
      </c>
      <c r="X177" s="262">
        <f>Tabella34[[#This Row],[t_alpha_t+plus]]</f>
        <v>8.2855714949998855</v>
      </c>
      <c r="Y177" s="262">
        <f>Tabella34[[#This Row],[Spain fitted h.t.]]/Spain_ht_at_lockdown</f>
        <v>0.13459218351446742</v>
      </c>
      <c r="Z177" s="90">
        <f>IFERROR(-Kf*_xlfn.LOGNORM.DIST((Tabella34[[#This Row],[Day]]-pf),mu_f,sigma_f,FALSE)*(1+(LN((Tabella34[[#This Row],[Day]]-pf))-mu_f)/sigma_f^2)/(Tabella34[[#This Row],[Day]]-pf),0)</f>
        <v>-5.6034320053900046</v>
      </c>
      <c r="AA177" s="90">
        <f>Tabella34[[#This Row],[Spain acc. fit]]/Spain_acc_at_lockdown</f>
        <v>-1.9094643889338382E-2</v>
      </c>
      <c r="AB177" s="95">
        <f>Tabella34[[#This Row],[Spain acc. fit]]/y_f_peak</f>
        <v>-8.3950749820344993E-4</v>
      </c>
      <c r="AC177" s="157">
        <f>Tabella34[[#This Row],[Colonna4]]*NOT(ISBLANK(Tabella34[[#This Row],[Spain daily cases]]))</f>
        <v>0</v>
      </c>
      <c r="AD177" s="157">
        <f>Tabella34[[#This Row],[Spain acc. fit]]*NOT(ISBLANK(Tabella34[[#This Row],[Spain daily cases]]))</f>
        <v>0</v>
      </c>
      <c r="AE177" s="95">
        <f>Tabella34[[#This Row],[Spain acc. fit]]+CIf</f>
        <v>2337.0849856757027</v>
      </c>
      <c r="AF177" s="95">
        <f>MAX(Tabella34[[#This Row],[Spain acc. fit]]-CIf,0)</f>
        <v>0</v>
      </c>
      <c r="AH177" s="10"/>
      <c r="AI177" s="10"/>
      <c r="AJ177" s="136">
        <f>Tabella34[[#This Row],[Lombardy data]]*NOT(ISBLANK(Tabella34[[#This Row],[Lombardy data]]))</f>
        <v>0</v>
      </c>
      <c r="AK177" s="95">
        <f>Tabella8[[#This Row],[Lombardy fit]]</f>
        <v>86272.558637297756</v>
      </c>
      <c r="AL177" s="157" t="e">
        <f>_xlfn.LOGNORM.INV(alpha*Tabella34[[#This Row],[Lombardy cumul. Fit]]/Kr,mu_r,sigma_r)-(Tabella34[[#This Row],[Day]]-pr)</f>
        <v>#NUM!</v>
      </c>
      <c r="AM177" s="95">
        <f>Tabella34[[#This Row],[Lombardy cumul. Fit]]/Kl</f>
        <v>0.99163860502641099</v>
      </c>
      <c r="AN177" s="95">
        <f>IFERROR(Kr*_xlfn.LOGNORM.DIST((Tabella34[[#This Row],[Day]]-pr),mu_r,sigma_r,FALSE),0)</f>
        <v>41.96293081672858</v>
      </c>
      <c r="AO177" s="202">
        <f>Tabella34[[#This Row],[Lombardy velocity]]/Tabella34[[#This Row],[Lombardy cumul. Fit]]</f>
        <v>4.8639951659654347E-4</v>
      </c>
      <c r="AP177" s="259">
        <f>(LN(Tabella34[[#This Row],[Day]]-pr)-mu_r)/sigma_r</f>
        <v>2.392746516366191</v>
      </c>
      <c r="AQ177" s="262">
        <f>EXP(mu_r+sigma_r*Tabella34[[#This Row],[x_r_alpha©+plus]])-(Tabella34[[#This Row],[Day]]-pr)</f>
        <v>11.959157318824822</v>
      </c>
      <c r="AR177" s="262">
        <f>EXP(mu_r+sigma_r*Tabella34[[#This Row],[x_r_alpha©-minus]])-(Tabella34[[#This Row],[Day]]-pr)</f>
        <v>-118.90566329168743</v>
      </c>
      <c r="AS177" s="262">
        <f>-sigma_r+SQRT(sigma_r^2-2*Tabella34[[#This Row],[c_r]])</f>
        <v>2.6355655548756696</v>
      </c>
      <c r="AT177" s="262">
        <f>-sigma_r-SQRT(sigma_r^2-2*Tabella34[[#This Row],[c_r]])</f>
        <v>-3.3164201520693988</v>
      </c>
      <c r="AU177" s="262">
        <f>mu_r-LN(alpha*Kr/(Tabella34[[#This Row],[Lombardy velocity]]*sigma_r*SQRTPI(2)))</f>
        <v>-4.3703213591448185</v>
      </c>
      <c r="AV177" s="262">
        <f>Tabella34[[#This Row],[t_alpha_r+plus]]</f>
        <v>11.959157318824822</v>
      </c>
      <c r="AW177" s="90">
        <f>IFERROR(-Kl*_xlfn.LOGNORM.DIST((Tabella34[[#This Row],[Day]]-pl),mu_l,sigma_l,FALSE)*(1+(LN((Tabella34[[#This Row],[Day]]-pl))-mu_l)/sigma_l^2)/(Tabella34[[#This Row],[Day]]-pl),0)</f>
        <v>-2.4276648853277516</v>
      </c>
      <c r="AX177" s="95">
        <f>Tabella34[[#This Row],[Lombardy acc. fit]]/y_l_peak</f>
        <v>-1.3809600440986163E-3</v>
      </c>
      <c r="AY177" s="157">
        <f>Tabella34[[#This Row],[Lombardy acc. fit]]*NOT(ISBLANK(Tabella34[[#This Row],[Lombardy data]]))</f>
        <v>0</v>
      </c>
      <c r="AZ177" s="95">
        <f>Tabella34[[#This Row],[Lombardy acc. fit]]+CIl</f>
        <v>2567.9546580310807</v>
      </c>
      <c r="BA177" s="95">
        <f>MAX(Tabella34[[#This Row],[Lombardy acc. fit]]-CIl,0)</f>
        <v>0</v>
      </c>
      <c r="BC177" s="10"/>
      <c r="BD177" s="10"/>
      <c r="BE177" s="95">
        <f>Tabella34[[#This Row],[rest of Italy data]]*NOT(ISBLANK(Tabella34[[#This Row],[rest of Italy data]]))</f>
        <v>0</v>
      </c>
      <c r="BF177" s="95">
        <f>Tabella8[[#This Row],[rest of Italy fit]]</f>
        <v>147322.22005626812</v>
      </c>
      <c r="BG177" s="157" t="e">
        <f>_xlfn.LOGNORM.INV(alpha*Tabella34[[#This Row],[rest of Italy cumul. Fit]]/Ko,mu_o,sigma_o)-(Tabella34[[#This Row],[Day]]-po)</f>
        <v>#NUM!</v>
      </c>
      <c r="BH177" s="95">
        <f>Tabella34[[#This Row],[rest of Italy cumul. Fit]]/Ka</f>
        <v>0.99542052166399675</v>
      </c>
      <c r="BI177" s="157">
        <f>IFERROR(Ko*_xlfn.LOGNORM.DIST((Tabella34[[#This Row],[Day]]-po),mu_o,sigma_o,FALSE),0)</f>
        <v>46.530405827922699</v>
      </c>
      <c r="BJ177" s="199">
        <f>Tabella34[[#This Row],[rest of Italy velocity]]/Tabella34[[#This Row],[rest of Italy cumul. Fit]]</f>
        <v>3.1584105785366877E-4</v>
      </c>
      <c r="BK177" s="254">
        <f>(LN(Tabella34[[#This Row],[Day]]-po)-mu_o)/sigma_o</f>
        <v>2.6060631756796293</v>
      </c>
      <c r="BL177" s="262">
        <f>EXP(mu_o+sigma_o*Tabella34[[#This Row],[x_o_alpha©+plus]])-(Tabella34[[#This Row],[Day]]-po)</f>
        <v>10.05564051663589</v>
      </c>
      <c r="BM177" s="262">
        <f>EXP(mu_o+sigma_o*Tabella34[[#This Row],[x_o_alpha©-minus]])-(Tabella34[[#This Row],[Day]]-po)</f>
        <v>-113.56730011058019</v>
      </c>
      <c r="BN177" s="262">
        <f>-sigma_o+SQRT(sigma_o^2-2*Tabella34[[#This Row],[c_o]])</f>
        <v>2.8339598258697012</v>
      </c>
      <c r="BO177" s="262">
        <f>-sigma_o-SQRT(sigma_o^2-2*Tabella34[[#This Row],[c_o]])</f>
        <v>-3.4769326031687275</v>
      </c>
      <c r="BP177" s="262">
        <f>mu_o-LN(alpha*Ko/(Tabella34[[#This Row],[rest of Italy velocity]]*sigma_o*SQRTPI(2)))</f>
        <v>-4.9267436573183678</v>
      </c>
      <c r="BQ177" s="262">
        <f>Tabella34[[#This Row],[t_alpha_o+plus]]</f>
        <v>10.05564051663589</v>
      </c>
      <c r="BR177" s="90">
        <f>IFERROR(-Ka*_xlfn.LOGNORM.DIST((Tabella34[[#This Row],[Day]]-pa),mu_a,sigma_a,FALSE)*(1+(LN((Tabella34[[#This Row],[Day]]-pa))-mu_a)/sigma_a^2)/(Tabella34[[#This Row],[Day]]-pa),0)</f>
        <v>-3.2031396101301364</v>
      </c>
      <c r="BS177" s="95">
        <f>Tabella34[[#This Row],[rest of Italy acc. fit]]/y_a_peak</f>
        <v>-9.4791307164000999E-4</v>
      </c>
      <c r="BT177" s="136">
        <f>Tabella34[[#This Row],[rest of Italy acc. fit]]*NOT(ISBLANK(Tabella34[[#This Row],[rest of Italy data]]))</f>
        <v>0</v>
      </c>
      <c r="BU177" s="205"/>
      <c r="BV177" s="137"/>
    </row>
    <row r="178" spans="2:74" x14ac:dyDescent="0.3">
      <c r="B178" s="281">
        <v>44001</v>
      </c>
      <c r="C178" s="4">
        <v>171</v>
      </c>
      <c r="E178" s="10"/>
      <c r="F178" s="10"/>
      <c r="G178" s="136">
        <f>Tabella34[[#This Row],[Spain daily cases]]*NOT(ISBLANK(Tabella34[[#This Row],[Spain daily cases]]))</f>
        <v>0</v>
      </c>
      <c r="H178" s="157">
        <f>Tabella8[[#This Row],[Spain cum. fit]]</f>
        <v>279262.77543858148</v>
      </c>
      <c r="I178" s="157" t="e">
        <f>_xlfn.LOGNORM.INV(alpha*Tabella34[[#This Row],[Spain cumul. Fit]]/Kt,mu_t,sigma_t)-(Tabella34[[#This Row],[Day]]-pt)</f>
        <v>#NUM!</v>
      </c>
      <c r="J178" s="157" t="e">
        <f>Tabella34[[#This Row],[Spain fitted d.t.]]/Spain_dt_at_lockdown</f>
        <v>#NUM!</v>
      </c>
      <c r="K178" s="95">
        <f>Tabella34[[#This Row],[Spain cumul. Fit]]/Kf</f>
        <v>0.9973674264102409</v>
      </c>
      <c r="L178" s="160"/>
      <c r="M178" s="95"/>
      <c r="N178" s="157">
        <f>IFERROR(Kt*_xlfn.LOGNORM.DIST((Tabella34[[#This Row],[Day]]-pt),mu_t,sigma_t,FALSE),0)</f>
        <v>61.999600892245162</v>
      </c>
      <c r="O178" s="157" t="e">
        <f>Kt*EXP(-0.5*Tabella34[[#This Row],[x_t]]^2)/(sigma_t*SQRTPI(2)*(Tabella34[[#This Row],[Day]]-D_bk))</f>
        <v>#NAME?</v>
      </c>
      <c r="P178" s="199">
        <f>Tabella34[[#This Row],[Spain fitted velocity]]/Tabella34[[#This Row],[Spain cumul. Fit]]</f>
        <v>2.220116905838057E-4</v>
      </c>
      <c r="Q178" s="262">
        <f>(LN(Tabella34[[#This Row],[Day]]-pt)-mu_t)/sigma_t</f>
        <v>2.7903476568187546</v>
      </c>
      <c r="R178" s="262">
        <f>EXP(mu_t+sigma_t*Tabella34[[#This Row],[x_t_alpha©+plus]])-(Tabella34[[#This Row],[Day]]-pt)</f>
        <v>8.2750076028321473</v>
      </c>
      <c r="S178" s="262">
        <f>EXP(mu_t+sigma_t*Tabella34[[#This Row],[x_t_alpha©-minus]])-(Tabella34[[#This Row],[Day]]-pt)</f>
        <v>-111.77092939380813</v>
      </c>
      <c r="T178" s="262">
        <f>-sigma_t+SQRT(sigma_t^2-2*Tabella34[[#This Row],[c_t]])</f>
        <v>3.0091130391199439</v>
      </c>
      <c r="U178" s="262">
        <f>-sigma_t-SQRT(sigma_t^2-2*Tabella34[[#This Row],[c_t]])</f>
        <v>-3.5465523889631108</v>
      </c>
      <c r="V178" s="262">
        <f>mu_t-LN(alpha*Kt/(Tabella34[[#This Row],[Spain fitted velocity]]*sigma_t*SQRTPI(2)))</f>
        <v>-5.3359885187754408</v>
      </c>
      <c r="W178" s="262">
        <f>Tabella34[[#This Row],[Spain fitted g.r.]]/Spain_gr_at_lockdown</f>
        <v>1.0714070755313146E-3</v>
      </c>
      <c r="X178" s="262">
        <f>Tabella34[[#This Row],[t_alpha_t+plus]]</f>
        <v>8.2750076028321473</v>
      </c>
      <c r="Y178" s="262">
        <f>Tabella34[[#This Row],[Spain fitted h.t.]]/Spain_ht_at_lockdown</f>
        <v>0.13442058191593856</v>
      </c>
      <c r="Z178" s="90">
        <f>IFERROR(-Kf*_xlfn.LOGNORM.DIST((Tabella34[[#This Row],[Day]]-pf),mu_f,sigma_f,FALSE)*(1+(LN((Tabella34[[#This Row],[Day]]-pf))-mu_f)/sigma_f^2)/(Tabella34[[#This Row],[Day]]-pf),0)</f>
        <v>-5.1643539776841347</v>
      </c>
      <c r="AA178" s="90">
        <f>Tabella34[[#This Row],[Spain acc. fit]]/Spain_acc_at_lockdown</f>
        <v>-1.7598411121525381E-2</v>
      </c>
      <c r="AB178" s="95">
        <f>Tabella34[[#This Row],[Spain acc. fit]]/y_f_peak</f>
        <v>-7.7372472503855908E-4</v>
      </c>
      <c r="AC178" s="157">
        <f>Tabella34[[#This Row],[Colonna4]]*NOT(ISBLANK(Tabella34[[#This Row],[Spain daily cases]]))</f>
        <v>0</v>
      </c>
      <c r="AD178" s="157">
        <f>Tabella34[[#This Row],[Spain acc. fit]]*NOT(ISBLANK(Tabella34[[#This Row],[Spain daily cases]]))</f>
        <v>0</v>
      </c>
      <c r="AE178" s="95">
        <f>Tabella34[[#This Row],[Spain acc. fit]]+CIf</f>
        <v>2337.5240637034085</v>
      </c>
      <c r="AF178" s="95">
        <f>MAX(Tabella34[[#This Row],[Spain acc. fit]]-CIf,0)</f>
        <v>0</v>
      </c>
      <c r="AH178" s="10"/>
      <c r="AI178" s="10"/>
      <c r="AJ178" s="136">
        <f>Tabella34[[#This Row],[Lombardy data]]*NOT(ISBLANK(Tabella34[[#This Row],[Lombardy data]]))</f>
        <v>0</v>
      </c>
      <c r="AK178" s="95">
        <f>Tabella8[[#This Row],[Lombardy fit]]</f>
        <v>86313.330606188189</v>
      </c>
      <c r="AL178" s="157" t="e">
        <f>_xlfn.LOGNORM.INV(alpha*Tabella34[[#This Row],[Lombardy cumul. Fit]]/Kr,mu_r,sigma_r)-(Tabella34[[#This Row],[Day]]-pr)</f>
        <v>#NUM!</v>
      </c>
      <c r="AM178" s="95">
        <f>Tabella34[[#This Row],[Lombardy cumul. Fit]]/Kl</f>
        <v>0.99210724834699071</v>
      </c>
      <c r="AN178" s="95">
        <f>IFERROR(Kr*_xlfn.LOGNORM.DIST((Tabella34[[#This Row],[Day]]-pr),mu_r,sigma_r,FALSE),0)</f>
        <v>39.603561457876339</v>
      </c>
      <c r="AO178" s="202">
        <f>Tabella34[[#This Row],[Lombardy velocity]]/Tabella34[[#This Row],[Lombardy cumul. Fit]]</f>
        <v>4.5883481936957006E-4</v>
      </c>
      <c r="AP178" s="259">
        <f>(LN(Tabella34[[#This Row],[Day]]-pr)-mu_r)/sigma_r</f>
        <v>2.4138374418882442</v>
      </c>
      <c r="AQ178" s="262">
        <f>EXP(mu_r+sigma_r*Tabella34[[#This Row],[x_r_alpha©+plus]])-(Tabella34[[#This Row],[Day]]-pr)</f>
        <v>11.9570162095917</v>
      </c>
      <c r="AR178" s="262">
        <f>EXP(mu_r+sigma_r*Tabella34[[#This Row],[x_r_alpha©-minus]])-(Tabella34[[#This Row],[Day]]-pr)</f>
        <v>-120.03634901789931</v>
      </c>
      <c r="AS178" s="262">
        <f>-sigma_r+SQRT(sigma_r^2-2*Tabella34[[#This Row],[c_r]])</f>
        <v>2.6549472392196329</v>
      </c>
      <c r="AT178" s="262">
        <f>-sigma_r-SQRT(sigma_r^2-2*Tabella34[[#This Row],[c_r]])</f>
        <v>-3.3358018364133621</v>
      </c>
      <c r="AU178" s="262">
        <f>mu_r-LN(alpha*Kr/(Tabella34[[#This Row],[Lombardy velocity]]*sigma_r*SQRTPI(2)))</f>
        <v>-4.4281889380847188</v>
      </c>
      <c r="AV178" s="262">
        <f>Tabella34[[#This Row],[t_alpha_r+plus]]</f>
        <v>11.9570162095917</v>
      </c>
      <c r="AW178" s="90">
        <f>IFERROR(-Kl*_xlfn.LOGNORM.DIST((Tabella34[[#This Row],[Day]]-pl),mu_l,sigma_l,FALSE)*(1+(LN((Tabella34[[#This Row],[Day]]-pl))-mu_l)/sigma_l^2)/(Tabella34[[#This Row],[Day]]-pl),0)</f>
        <v>-2.2923313550527409</v>
      </c>
      <c r="AX178" s="95">
        <f>Tabella34[[#This Row],[Lombardy acc. fit]]/y_l_peak</f>
        <v>-1.3039765201097323E-3</v>
      </c>
      <c r="AY178" s="157">
        <f>Tabella34[[#This Row],[Lombardy acc. fit]]*NOT(ISBLANK(Tabella34[[#This Row],[Lombardy data]]))</f>
        <v>0</v>
      </c>
      <c r="AZ178" s="95">
        <f>Tabella34[[#This Row],[Lombardy acc. fit]]+CIl</f>
        <v>2568.0899915613559</v>
      </c>
      <c r="BA178" s="95">
        <f>MAX(Tabella34[[#This Row],[Lombardy acc. fit]]-CIl,0)</f>
        <v>0</v>
      </c>
      <c r="BC178" s="10"/>
      <c r="BD178" s="10"/>
      <c r="BE178" s="95">
        <f>Tabella34[[#This Row],[rest of Italy data]]*NOT(ISBLANK(Tabella34[[#This Row],[rest of Italy data]]))</f>
        <v>0</v>
      </c>
      <c r="BF178" s="95">
        <f>Tabella8[[#This Row],[rest of Italy fit]]</f>
        <v>147367.18478786966</v>
      </c>
      <c r="BG178" s="157" t="e">
        <f>_xlfn.LOGNORM.INV(alpha*Tabella34[[#This Row],[rest of Italy cumul. Fit]]/Ko,mu_o,sigma_o)-(Tabella34[[#This Row],[Day]]-po)</f>
        <v>#NUM!</v>
      </c>
      <c r="BH178" s="95">
        <f>Tabella34[[#This Row],[rest of Italy cumul. Fit]]/Ka</f>
        <v>0.99572433745342881</v>
      </c>
      <c r="BI178" s="157">
        <f>IFERROR(Ko*_xlfn.LOGNORM.DIST((Tabella34[[#This Row],[Day]]-po),mu_o,sigma_o,FALSE),0)</f>
        <v>43.434357911955068</v>
      </c>
      <c r="BJ178" s="199">
        <f>Tabella34[[#This Row],[rest of Italy velocity]]/Tabella34[[#This Row],[rest of Italy cumul. Fit]]</f>
        <v>2.9473561549321468E-4</v>
      </c>
      <c r="BK178" s="254">
        <f>(LN(Tabella34[[#This Row],[Day]]-po)-mu_o)/sigma_o</f>
        <v>2.6294891885475735</v>
      </c>
      <c r="BL178" s="262">
        <f>EXP(mu_o+sigma_o*Tabella34[[#This Row],[x_o_alpha©+plus]])-(Tabella34[[#This Row],[Day]]-po)</f>
        <v>10.05422575380112</v>
      </c>
      <c r="BM178" s="262">
        <f>EXP(mu_o+sigma_o*Tabella34[[#This Row],[x_o_alpha©-minus]])-(Tabella34[[#This Row],[Day]]-po)</f>
        <v>-114.69768391104748</v>
      </c>
      <c r="BN178" s="262">
        <f>-sigma_o+SQRT(sigma_o^2-2*Tabella34[[#This Row],[c_o]])</f>
        <v>2.8557059596878624</v>
      </c>
      <c r="BO178" s="262">
        <f>-sigma_o-SQRT(sigma_o^2-2*Tabella34[[#This Row],[c_o]])</f>
        <v>-3.4986787369868888</v>
      </c>
      <c r="BP178" s="262">
        <f>mu_o-LN(alpha*Ko/(Tabella34[[#This Row],[rest of Italy velocity]]*sigma_o*SQRTPI(2)))</f>
        <v>-4.995598860123331</v>
      </c>
      <c r="BQ178" s="262">
        <f>Tabella34[[#This Row],[t_alpha_o+plus]]</f>
        <v>10.05422575380112</v>
      </c>
      <c r="BR178" s="90">
        <f>IFERROR(-Ka*_xlfn.LOGNORM.DIST((Tabella34[[#This Row],[Day]]-pa),mu_a,sigma_a,FALSE)*(1+(LN((Tabella34[[#This Row],[Day]]-pa))-mu_a)/sigma_a^2)/(Tabella34[[#This Row],[Day]]-pa),0)</f>
        <v>-2.9913212599829158</v>
      </c>
      <c r="BS178" s="95">
        <f>Tabella34[[#This Row],[rest of Italy acc. fit]]/y_a_peak</f>
        <v>-8.8522914044863316E-4</v>
      </c>
      <c r="BT178" s="136">
        <f>Tabella34[[#This Row],[rest of Italy acc. fit]]*NOT(ISBLANK(Tabella34[[#This Row],[rest of Italy data]]))</f>
        <v>0</v>
      </c>
      <c r="BU178" s="205"/>
      <c r="BV178" s="137"/>
    </row>
    <row r="179" spans="2:74" x14ac:dyDescent="0.3">
      <c r="B179" s="281">
        <v>44002</v>
      </c>
      <c r="C179" s="4">
        <v>172</v>
      </c>
      <c r="E179" s="10"/>
      <c r="F179" s="10"/>
      <c r="G179" s="136">
        <f>Tabella34[[#This Row],[Spain daily cases]]*NOT(ISBLANK(Tabella34[[#This Row],[Spain daily cases]]))</f>
        <v>0</v>
      </c>
      <c r="H179" s="157">
        <f>Tabella8[[#This Row],[Spain cum. fit]]</f>
        <v>279322.26182610443</v>
      </c>
      <c r="I179" s="157" t="e">
        <f>_xlfn.LOGNORM.INV(alpha*Tabella34[[#This Row],[Spain cumul. Fit]]/Kt,mu_t,sigma_t)-(Tabella34[[#This Row],[Day]]-pt)</f>
        <v>#NUM!</v>
      </c>
      <c r="J179" s="157" t="e">
        <f>Tabella34[[#This Row],[Spain fitted d.t.]]/Spain_dt_at_lockdown</f>
        <v>#NUM!</v>
      </c>
      <c r="K179" s="95">
        <f>Tabella34[[#This Row],[Spain cumul. Fit]]/Kf</f>
        <v>0.99757987787333702</v>
      </c>
      <c r="L179" s="160"/>
      <c r="M179" s="95"/>
      <c r="N179" s="157">
        <f>IFERROR(Kt*_xlfn.LOGNORM.DIST((Tabella34[[#This Row],[Day]]-pt),mu_t,sigma_t,FALSE),0)</f>
        <v>57.040789621333126</v>
      </c>
      <c r="O179" s="157" t="e">
        <f>Kt*EXP(-0.5*Tabella34[[#This Row],[x_t]]^2)/(sigma_t*SQRTPI(2)*(Tabella34[[#This Row],[Day]]-D_bk))</f>
        <v>#NAME?</v>
      </c>
      <c r="P179" s="199">
        <f>Tabella34[[#This Row],[Spain fitted velocity]]/Tabella34[[#This Row],[Spain cumul. Fit]]</f>
        <v>2.0421139814786614E-4</v>
      </c>
      <c r="Q179" s="262">
        <f>(LN(Tabella34[[#This Row],[Day]]-pt)-mu_t)/sigma_t</f>
        <v>2.8174779203601967</v>
      </c>
      <c r="R179" s="262">
        <f>EXP(mu_t+sigma_t*Tabella34[[#This Row],[x_t_alpha©+plus]])-(Tabella34[[#This Row],[Day]]-pt)</f>
        <v>8.2650972040568149</v>
      </c>
      <c r="S179" s="262">
        <f>EXP(mu_t+sigma_t*Tabella34[[#This Row],[x_t_alpha©-minus]])-(Tabella34[[#This Row],[Day]]-pt)</f>
        <v>-112.93983692862078</v>
      </c>
      <c r="T179" s="262">
        <f>-sigma_t+SQRT(sigma_t^2-2*Tabella34[[#This Row],[c_t]])</f>
        <v>3.0344469812196011</v>
      </c>
      <c r="U179" s="262">
        <f>-sigma_t-SQRT(sigma_t^2-2*Tabella34[[#This Row],[c_t]])</f>
        <v>-3.571886331062768</v>
      </c>
      <c r="V179" s="262">
        <f>mu_t-LN(alpha*Kt/(Tabella34[[#This Row],[Spain fitted velocity]]*sigma_t*SQRTPI(2)))</f>
        <v>-5.4193498472764858</v>
      </c>
      <c r="W179" s="262">
        <f>Tabella34[[#This Row],[Spain fitted g.r.]]/Spain_gr_at_lockdown</f>
        <v>9.8550457547718772E-4</v>
      </c>
      <c r="X179" s="262">
        <f>Tabella34[[#This Row],[t_alpha_t+plus]]</f>
        <v>8.2650972040568149</v>
      </c>
      <c r="Y179" s="262">
        <f>Tabella34[[#This Row],[Spain fitted h.t.]]/Spain_ht_at_lockdown</f>
        <v>0.13425959577135263</v>
      </c>
      <c r="Z179" s="90">
        <f>IFERROR(-Kf*_xlfn.LOGNORM.DIST((Tabella34[[#This Row],[Day]]-pf),mu_f,sigma_f,FALSE)*(1+(LN((Tabella34[[#This Row],[Day]]-pf))-mu_f)/sigma_f^2)/(Tabella34[[#This Row],[Day]]-pf),0)</f>
        <v>-4.7586211848710604</v>
      </c>
      <c r="AA179" s="90">
        <f>Tabella34[[#This Row],[Spain acc. fit]]/Spain_acc_at_lockdown</f>
        <v>-1.6215807890944529E-2</v>
      </c>
      <c r="AB179" s="95">
        <f>Tabella34[[#This Row],[Spain acc. fit]]/y_f_peak</f>
        <v>-7.1293774279161464E-4</v>
      </c>
      <c r="AC179" s="157">
        <f>Tabella34[[#This Row],[Colonna4]]*NOT(ISBLANK(Tabella34[[#This Row],[Spain daily cases]]))</f>
        <v>0</v>
      </c>
      <c r="AD179" s="157">
        <f>Tabella34[[#This Row],[Spain acc. fit]]*NOT(ISBLANK(Tabella34[[#This Row],[Spain daily cases]]))</f>
        <v>0</v>
      </c>
      <c r="AE179" s="95">
        <f>Tabella34[[#This Row],[Spain acc. fit]]+CIf</f>
        <v>2337.9297964962216</v>
      </c>
      <c r="AF179" s="95">
        <f>MAX(Tabella34[[#This Row],[Spain acc. fit]]-CIf,0)</f>
        <v>0</v>
      </c>
      <c r="AH179" s="10"/>
      <c r="AI179" s="10"/>
      <c r="AJ179" s="136">
        <f>Tabella34[[#This Row],[Lombardy data]]*NOT(ISBLANK(Tabella34[[#This Row],[Lombardy data]]))</f>
        <v>0</v>
      </c>
      <c r="AK179" s="95">
        <f>Tabella8[[#This Row],[Lombardy fit]]</f>
        <v>86351.809631186756</v>
      </c>
      <c r="AL179" s="157" t="e">
        <f>_xlfn.LOGNORM.INV(alpha*Tabella34[[#This Row],[Lombardy cumul. Fit]]/Kr,mu_r,sigma_r)-(Tabella34[[#This Row],[Day]]-pr)</f>
        <v>#NUM!</v>
      </c>
      <c r="AM179" s="95">
        <f>Tabella34[[#This Row],[Lombardy cumul. Fit]]/Kl</f>
        <v>0.99254953599065232</v>
      </c>
      <c r="AN179" s="95">
        <f>IFERROR(Kr*_xlfn.LOGNORM.DIST((Tabella34[[#This Row],[Day]]-pr),mu_r,sigma_r,FALSE),0)</f>
        <v>37.375817862836612</v>
      </c>
      <c r="AO179" s="202">
        <f>Tabella34[[#This Row],[Lombardy velocity]]/Tabella34[[#This Row],[Lombardy cumul. Fit]]</f>
        <v>4.3283190036747058E-4</v>
      </c>
      <c r="AP179" s="259">
        <f>(LN(Tabella34[[#This Row],[Day]]-pr)-mu_r)/sigma_r</f>
        <v>2.4347780149869909</v>
      </c>
      <c r="AQ179" s="262">
        <f>EXP(mu_r+sigma_r*Tabella34[[#This Row],[x_r_alpha©+plus]])-(Tabella34[[#This Row],[Day]]-pr)</f>
        <v>11.955477115631965</v>
      </c>
      <c r="AR179" s="262">
        <f>EXP(mu_r+sigma_r*Tabella34[[#This Row],[x_r_alpha©-minus]])-(Tabella34[[#This Row],[Day]]-pr)</f>
        <v>-121.16540441254742</v>
      </c>
      <c r="AS179" s="262">
        <f>-sigma_r+SQRT(sigma_r^2-2*Tabella34[[#This Row],[c_r]])</f>
        <v>2.6742134583862875</v>
      </c>
      <c r="AT179" s="262">
        <f>-sigma_r-SQRT(sigma_r^2-2*Tabella34[[#This Row],[c_r]])</f>
        <v>-3.3550680555800168</v>
      </c>
      <c r="AU179" s="262">
        <f>mu_r-LN(alpha*Kr/(Tabella34[[#This Row],[Lombardy velocity]]*sigma_r*SQRTPI(2)))</f>
        <v>-4.4860840740169978</v>
      </c>
      <c r="AV179" s="262">
        <f>Tabella34[[#This Row],[t_alpha_r+plus]]</f>
        <v>11.955477115631965</v>
      </c>
      <c r="AW179" s="90">
        <f>IFERROR(-Kl*_xlfn.LOGNORM.DIST((Tabella34[[#This Row],[Day]]-pl),mu_l,sigma_l,FALSE)*(1+(LN((Tabella34[[#This Row],[Day]]-pl))-mu_l)/sigma_l^2)/(Tabella34[[#This Row],[Day]]-pl),0)</f>
        <v>-2.1643491359646867</v>
      </c>
      <c r="AX179" s="95">
        <f>Tabella34[[#This Row],[Lombardy acc. fit]]/y_l_peak</f>
        <v>-1.2311747376298507E-3</v>
      </c>
      <c r="AY179" s="157">
        <f>Tabella34[[#This Row],[Lombardy acc. fit]]*NOT(ISBLANK(Tabella34[[#This Row],[Lombardy data]]))</f>
        <v>0</v>
      </c>
      <c r="AZ179" s="95">
        <f>Tabella34[[#This Row],[Lombardy acc. fit]]+CIl</f>
        <v>2568.217973780444</v>
      </c>
      <c r="BA179" s="95">
        <f>MAX(Tabella34[[#This Row],[Lombardy acc. fit]]-CIl,0)</f>
        <v>0</v>
      </c>
      <c r="BC179" s="10"/>
      <c r="BD179" s="10"/>
      <c r="BE179" s="95">
        <f>Tabella34[[#This Row],[rest of Italy data]]*NOT(ISBLANK(Tabella34[[#This Row],[rest of Italy data]]))</f>
        <v>0</v>
      </c>
      <c r="BF179" s="95">
        <f>Tabella8[[#This Row],[rest of Italy fit]]</f>
        <v>147409.1570529367</v>
      </c>
      <c r="BG179" s="157" t="e">
        <f>_xlfn.LOGNORM.INV(alpha*Tabella34[[#This Row],[rest of Italy cumul. Fit]]/Ko,mu_o,sigma_o)-(Tabella34[[#This Row],[Day]]-po)</f>
        <v>#NUM!</v>
      </c>
      <c r="BH179" s="95">
        <f>Tabella34[[#This Row],[rest of Italy cumul. Fit]]/Ka</f>
        <v>0.9960079338720309</v>
      </c>
      <c r="BI179" s="157">
        <f>IFERROR(Ko*_xlfn.LOGNORM.DIST((Tabella34[[#This Row],[Day]]-po),mu_o,sigma_o,FALSE),0)</f>
        <v>40.543181924016729</v>
      </c>
      <c r="BJ179" s="199">
        <f>Tabella34[[#This Row],[rest of Italy velocity]]/Tabella34[[#This Row],[rest of Italy cumul. Fit]]</f>
        <v>2.750384218631486E-4</v>
      </c>
      <c r="BK179" s="254">
        <f>(LN(Tabella34[[#This Row],[Day]]-po)-mu_o)/sigma_o</f>
        <v>2.6527400946655075</v>
      </c>
      <c r="BL179" s="262">
        <f>EXP(mu_o+sigma_o*Tabella34[[#This Row],[x_o_alpha©+plus]])-(Tabella34[[#This Row],[Day]]-po)</f>
        <v>10.053362325732166</v>
      </c>
      <c r="BM179" s="262">
        <f>EXP(mu_o+sigma_o*Tabella34[[#This Row],[x_o_alpha©-minus]])-(Tabella34[[#This Row],[Day]]-po)</f>
        <v>-115.82633408875373</v>
      </c>
      <c r="BN179" s="262">
        <f>-sigma_o+SQRT(sigma_o^2-2*Tabella34[[#This Row],[c_o]])</f>
        <v>2.8773130009922205</v>
      </c>
      <c r="BO179" s="262">
        <f>-sigma_o-SQRT(sigma_o^2-2*Tabella34[[#This Row],[c_o]])</f>
        <v>-3.5202857782912469</v>
      </c>
      <c r="BP179" s="262">
        <f>mu_o-LN(alpha*Ko/(Tabella34[[#This Row],[rest of Italy velocity]]*sigma_o*SQRTPI(2)))</f>
        <v>-5.0644820185427113</v>
      </c>
      <c r="BQ179" s="262">
        <f>Tabella34[[#This Row],[t_alpha_o+plus]]</f>
        <v>10.053362325732166</v>
      </c>
      <c r="BR179" s="90">
        <f>IFERROR(-Ka*_xlfn.LOGNORM.DIST((Tabella34[[#This Row],[Day]]-pa),mu_a,sigma_a,FALSE)*(1+(LN((Tabella34[[#This Row],[Day]]-pa))-mu_a)/sigma_a^2)/(Tabella34[[#This Row],[Day]]-pa),0)</f>
        <v>-2.7932487760770397</v>
      </c>
      <c r="BS179" s="95">
        <f>Tabella34[[#This Row],[rest of Italy acc. fit]]/y_a_peak</f>
        <v>-8.2661305764262724E-4</v>
      </c>
      <c r="BT179" s="136">
        <f>Tabella34[[#This Row],[rest of Italy acc. fit]]*NOT(ISBLANK(Tabella34[[#This Row],[rest of Italy data]]))</f>
        <v>0</v>
      </c>
      <c r="BU179" s="205"/>
      <c r="BV179" s="137"/>
    </row>
    <row r="180" spans="2:74" x14ac:dyDescent="0.3">
      <c r="B180" s="281">
        <v>44003</v>
      </c>
      <c r="C180" s="4">
        <v>173</v>
      </c>
      <c r="E180" s="10"/>
      <c r="F180" s="10"/>
      <c r="G180" s="136">
        <f>Tabella34[[#This Row],[Spain daily cases]]*NOT(ISBLANK(Tabella34[[#This Row],[Spain daily cases]]))</f>
        <v>0</v>
      </c>
      <c r="H180" s="157">
        <f>Tabella8[[#This Row],[Spain cum. fit]]</f>
        <v>279376.98701433325</v>
      </c>
      <c r="I180" s="157" t="e">
        <f>_xlfn.LOGNORM.INV(alpha*Tabella34[[#This Row],[Spain cumul. Fit]]/Kt,mu_t,sigma_t)-(Tabella34[[#This Row],[Day]]-pt)</f>
        <v>#NUM!</v>
      </c>
      <c r="J180" s="157" t="e">
        <f>Tabella34[[#This Row],[Spain fitted d.t.]]/Spain_dt_at_lockdown</f>
        <v>#NUM!</v>
      </c>
      <c r="K180" s="95">
        <f>Tabella34[[#This Row],[Spain cumul. Fit]]/Kf</f>
        <v>0.99777532504690991</v>
      </c>
      <c r="L180" s="160"/>
      <c r="M180" s="95"/>
      <c r="N180" s="157">
        <f>IFERROR(Kt*_xlfn.LOGNORM.DIST((Tabella34[[#This Row],[Day]]-pt),mu_t,sigma_t,FALSE),0)</f>
        <v>52.472045215928894</v>
      </c>
      <c r="O180" s="157" t="e">
        <f>Kt*EXP(-0.5*Tabella34[[#This Row],[x_t]]^2)/(sigma_t*SQRTPI(2)*(Tabella34[[#This Row],[Day]]-D_bk))</f>
        <v>#NAME?</v>
      </c>
      <c r="P180" s="199">
        <f>Tabella34[[#This Row],[Spain fitted velocity]]/Tabella34[[#This Row],[Spain cumul. Fit]]</f>
        <v>1.8781806539146638E-4</v>
      </c>
      <c r="Q180" s="262">
        <f>(LN(Tabella34[[#This Row],[Day]]-pt)-mu_t)/sigma_t</f>
        <v>2.84441182315445</v>
      </c>
      <c r="R180" s="262">
        <f>EXP(mu_t+sigma_t*Tabella34[[#This Row],[x_t_alpha©+plus]])-(Tabella34[[#This Row],[Day]]-pt)</f>
        <v>8.2558165322161017</v>
      </c>
      <c r="S180" s="262">
        <f>EXP(mu_t+sigma_t*Tabella34[[#This Row],[x_t_alpha©-minus]])-(Tabella34[[#This Row],[Day]]-pt)</f>
        <v>-114.10657323328064</v>
      </c>
      <c r="T180" s="262">
        <f>-sigma_t+SQRT(sigma_t^2-2*Tabella34[[#This Row],[c_t]])</f>
        <v>3.0596255724097414</v>
      </c>
      <c r="U180" s="262">
        <f>-sigma_t-SQRT(sigma_t^2-2*Tabella34[[#This Row],[c_t]])</f>
        <v>-3.5970649222529083</v>
      </c>
      <c r="V180" s="262">
        <f>mu_t-LN(alpha*Kt/(Tabella34[[#This Row],[Spain fitted velocity]]*sigma_t*SQRTPI(2)))</f>
        <v>-5.5028359108715286</v>
      </c>
      <c r="W180" s="262">
        <f>Tabella34[[#This Row],[Spain fitted g.r.]]/Spain_gr_at_lockdown</f>
        <v>9.063919275776128E-4</v>
      </c>
      <c r="X180" s="262">
        <f>Tabella34[[#This Row],[t_alpha_t+plus]]</f>
        <v>8.2558165322161017</v>
      </c>
      <c r="Y180" s="262">
        <f>Tabella34[[#This Row],[Spain fitted h.t.]]/Spain_ht_at_lockdown</f>
        <v>0.13410883901446788</v>
      </c>
      <c r="Z180" s="90">
        <f>IFERROR(-Kf*_xlfn.LOGNORM.DIST((Tabella34[[#This Row],[Day]]-pf),mu_f,sigma_f,FALSE)*(1+(LN((Tabella34[[#This Row],[Day]]-pf))-mu_f)/sigma_f^2)/(Tabella34[[#This Row],[Day]]-pf),0)</f>
        <v>-4.3838335298913149</v>
      </c>
      <c r="AA180" s="90">
        <f>Tabella34[[#This Row],[Spain acc. fit]]/Spain_acc_at_lockdown</f>
        <v>-1.4938655460242308E-2</v>
      </c>
      <c r="AB180" s="95">
        <f>Tabella34[[#This Row],[Spain acc. fit]]/y_f_peak</f>
        <v>-6.5678696835785139E-4</v>
      </c>
      <c r="AC180" s="157">
        <f>Tabella34[[#This Row],[Colonna4]]*NOT(ISBLANK(Tabella34[[#This Row],[Spain daily cases]]))</f>
        <v>0</v>
      </c>
      <c r="AD180" s="157">
        <f>Tabella34[[#This Row],[Spain acc. fit]]*NOT(ISBLANK(Tabella34[[#This Row],[Spain daily cases]]))</f>
        <v>0</v>
      </c>
      <c r="AE180" s="95">
        <f>Tabella34[[#This Row],[Spain acc. fit]]+CIf</f>
        <v>2338.3045841512012</v>
      </c>
      <c r="AF180" s="95">
        <f>MAX(Tabella34[[#This Row],[Spain acc. fit]]-CIf,0)</f>
        <v>0</v>
      </c>
      <c r="AH180" s="10"/>
      <c r="AI180" s="10"/>
      <c r="AJ180" s="136">
        <f>Tabella34[[#This Row],[Lombardy data]]*NOT(ISBLANK(Tabella34[[#This Row],[Lombardy data]]))</f>
        <v>0</v>
      </c>
      <c r="AK180" s="95">
        <f>Tabella8[[#This Row],[Lombardy fit]]</f>
        <v>86388.123725904021</v>
      </c>
      <c r="AL180" s="157" t="e">
        <f>_xlfn.LOGNORM.INV(alpha*Tabella34[[#This Row],[Lombardy cumul. Fit]]/Kr,mu_r,sigma_r)-(Tabella34[[#This Row],[Day]]-pr)</f>
        <v>#NUM!</v>
      </c>
      <c r="AM180" s="95">
        <f>Tabella34[[#This Row],[Lombardy cumul. Fit]]/Kl</f>
        <v>0.99296693937820713</v>
      </c>
      <c r="AN180" s="95">
        <f>IFERROR(Kr*_xlfn.LOGNORM.DIST((Tabella34[[#This Row],[Day]]-pr),mu_r,sigma_r,FALSE),0)</f>
        <v>35.272538510554277</v>
      </c>
      <c r="AO180" s="202">
        <f>Tabella34[[#This Row],[Lombardy velocity]]/Tabella34[[#This Row],[Lombardy cumul. Fit]]</f>
        <v>4.0830309757008401E-4</v>
      </c>
      <c r="AP180" s="259">
        <f>(LN(Tabella34[[#This Row],[Day]]-pr)-mu_r)/sigma_r</f>
        <v>2.4555703641544775</v>
      </c>
      <c r="AQ180" s="262">
        <f>EXP(mu_r+sigma_r*Tabella34[[#This Row],[x_r_alpha©+plus]])-(Tabella34[[#This Row],[Day]]-pr)</f>
        <v>11.954520097458243</v>
      </c>
      <c r="AR180" s="262">
        <f>EXP(mu_r+sigma_r*Tabella34[[#This Row],[x_r_alpha©-minus]])-(Tabella34[[#This Row],[Day]]-pr)</f>
        <v>-122.29285719828289</v>
      </c>
      <c r="AS180" s="262">
        <f>-sigma_r+SQRT(sigma_r^2-2*Tabella34[[#This Row],[c_r]])</f>
        <v>2.6933652604339695</v>
      </c>
      <c r="AT180" s="262">
        <f>-sigma_r-SQRT(sigma_r^2-2*Tabella34[[#This Row],[c_r]])</f>
        <v>-3.3742198576276987</v>
      </c>
      <c r="AU180" s="262">
        <f>mu_r-LN(alpha*Kr/(Tabella34[[#This Row],[Lombardy velocity]]*sigma_r*SQRTPI(2)))</f>
        <v>-4.5440032728004498</v>
      </c>
      <c r="AV180" s="262">
        <f>Tabella34[[#This Row],[t_alpha_r+plus]]</f>
        <v>11.954520097458243</v>
      </c>
      <c r="AW180" s="90">
        <f>IFERROR(-Kl*_xlfn.LOGNORM.DIST((Tabella34[[#This Row],[Day]]-pl),mu_l,sigma_l,FALSE)*(1+(LN((Tabella34[[#This Row],[Day]]-pl))-mu_l)/sigma_l^2)/(Tabella34[[#This Row],[Day]]-pl),0)</f>
        <v>-2.0433415066861755</v>
      </c>
      <c r="AX180" s="95">
        <f>Tabella34[[#This Row],[Lombardy acc. fit]]/y_l_peak</f>
        <v>-1.1623404013610039E-3</v>
      </c>
      <c r="AY180" s="157">
        <f>Tabella34[[#This Row],[Lombardy acc. fit]]*NOT(ISBLANK(Tabella34[[#This Row],[Lombardy data]]))</f>
        <v>0</v>
      </c>
      <c r="AZ180" s="95">
        <f>Tabella34[[#This Row],[Lombardy acc. fit]]+CIl</f>
        <v>2568.3389814097222</v>
      </c>
      <c r="BA180" s="95">
        <f>MAX(Tabella34[[#This Row],[Lombardy acc. fit]]-CIl,0)</f>
        <v>0</v>
      </c>
      <c r="BC180" s="10"/>
      <c r="BD180" s="10"/>
      <c r="BE180" s="95">
        <f>Tabella34[[#This Row],[rest of Italy data]]*NOT(ISBLANK(Tabella34[[#This Row],[rest of Italy data]]))</f>
        <v>0</v>
      </c>
      <c r="BF180" s="95">
        <f>Tabella8[[#This Row],[rest of Italy fit]]</f>
        <v>147448.33499532519</v>
      </c>
      <c r="BG180" s="157" t="e">
        <f>_xlfn.LOGNORM.INV(alpha*Tabella34[[#This Row],[rest of Italy cumul. Fit]]/Ko,mu_o,sigma_o)-(Tabella34[[#This Row],[Day]]-po)</f>
        <v>#NUM!</v>
      </c>
      <c r="BH180" s="95">
        <f>Tabella34[[#This Row],[rest of Italy cumul. Fit]]/Ka</f>
        <v>0.99627264972979601</v>
      </c>
      <c r="BI180" s="157">
        <f>IFERROR(Ko*_xlfn.LOGNORM.DIST((Tabella34[[#This Row],[Day]]-po),mu_o,sigma_o,FALSE),0)</f>
        <v>37.843564477361163</v>
      </c>
      <c r="BJ180" s="199">
        <f>Tabella34[[#This Row],[rest of Italy velocity]]/Tabella34[[#This Row],[rest of Italy cumul. Fit]]</f>
        <v>2.56656438192815E-4</v>
      </c>
      <c r="BK180" s="254">
        <f>(LN(Tabella34[[#This Row],[Day]]-po)-mu_o)/sigma_o</f>
        <v>2.6758184924283448</v>
      </c>
      <c r="BL180" s="262">
        <f>EXP(mu_o+sigma_o*Tabella34[[#This Row],[x_o_alpha©+plus]])-(Tabella34[[#This Row],[Day]]-po)</f>
        <v>10.053031009735747</v>
      </c>
      <c r="BM180" s="262">
        <f>EXP(mu_o+sigma_o*Tabella34[[#This Row],[x_o_alpha©-minus]])-(Tabella34[[#This Row],[Day]]-po)</f>
        <v>-116.95328250960524</v>
      </c>
      <c r="BN180" s="262">
        <f>-sigma_o+SQRT(sigma_o^2-2*Tabella34[[#This Row],[c_o]])</f>
        <v>2.8987823751733206</v>
      </c>
      <c r="BO180" s="262">
        <f>-sigma_o-SQRT(sigma_o^2-2*Tabella34[[#This Row],[c_o]])</f>
        <v>-3.541755152472347</v>
      </c>
      <c r="BP180" s="262">
        <f>mu_o-LN(alpha*Ko/(Tabella34[[#This Row],[rest of Italy velocity]]*sigma_o*SQRTPI(2)))</f>
        <v>-5.1333887065830686</v>
      </c>
      <c r="BQ180" s="262">
        <f>Tabella34[[#This Row],[t_alpha_o+plus]]</f>
        <v>10.053031009735747</v>
      </c>
      <c r="BR180" s="90">
        <f>IFERROR(-Ka*_xlfn.LOGNORM.DIST((Tabella34[[#This Row],[Day]]-pa),mu_a,sigma_a,FALSE)*(1+(LN((Tabella34[[#This Row],[Day]]-pa))-mu_a)/sigma_a^2)/(Tabella34[[#This Row],[Day]]-pa),0)</f>
        <v>-2.6080655757232183</v>
      </c>
      <c r="BS180" s="95">
        <f>Tabella34[[#This Row],[rest of Italy acc. fit]]/y_a_peak</f>
        <v>-7.7181133257626759E-4</v>
      </c>
      <c r="BT180" s="136">
        <f>Tabella34[[#This Row],[rest of Italy acc. fit]]*NOT(ISBLANK(Tabella34[[#This Row],[rest of Italy data]]))</f>
        <v>0</v>
      </c>
      <c r="BU180" s="205"/>
      <c r="BV180" s="137"/>
    </row>
    <row r="181" spans="2:74" x14ac:dyDescent="0.3">
      <c r="B181" s="281">
        <v>44004</v>
      </c>
      <c r="C181" s="4">
        <v>174</v>
      </c>
      <c r="E181" s="10"/>
      <c r="F181" s="10"/>
      <c r="G181" s="136">
        <f>Tabella34[[#This Row],[Spain daily cases]]*NOT(ISBLANK(Tabella34[[#This Row],[Spain daily cases]]))</f>
        <v>0</v>
      </c>
      <c r="H181" s="157">
        <f>Tabella8[[#This Row],[Spain cum. fit]]</f>
        <v>279427.32597785041</v>
      </c>
      <c r="I181" s="157" t="e">
        <f>_xlfn.LOGNORM.INV(alpha*Tabella34[[#This Row],[Spain cumul. Fit]]/Kt,mu_t,sigma_t)-(Tabella34[[#This Row],[Day]]-pt)</f>
        <v>#NUM!</v>
      </c>
      <c r="J181" s="157" t="e">
        <f>Tabella34[[#This Row],[Spain fitted d.t.]]/Spain_dt_at_lockdown</f>
        <v>#NUM!</v>
      </c>
      <c r="K181" s="95">
        <f>Tabella34[[#This Row],[Spain cumul. Fit]]/Kf</f>
        <v>0.99795510712639557</v>
      </c>
      <c r="L181" s="160"/>
      <c r="M181" s="95"/>
      <c r="N181" s="157">
        <f>IFERROR(Kt*_xlfn.LOGNORM.DIST((Tabella34[[#This Row],[Day]]-pt),mu_t,sigma_t,FALSE),0)</f>
        <v>48.263557010167148</v>
      </c>
      <c r="O181" s="157" t="e">
        <f>Kt*EXP(-0.5*Tabella34[[#This Row],[x_t]]^2)/(sigma_t*SQRTPI(2)*(Tabella34[[#This Row],[Day]]-D_bk))</f>
        <v>#NAME?</v>
      </c>
      <c r="P181" s="199">
        <f>Tabella34[[#This Row],[Spain fitted velocity]]/Tabella34[[#This Row],[Spain cumul. Fit]]</f>
        <v>1.7272311088856388E-4</v>
      </c>
      <c r="Q181" s="262">
        <f>(LN(Tabella34[[#This Row],[Day]]-pt)-mu_t)/sigma_t</f>
        <v>2.8711521871899603</v>
      </c>
      <c r="R181" s="262">
        <f>EXP(mu_t+sigma_t*Tabella34[[#This Row],[x_t_alpha©+plus]])-(Tabella34[[#This Row],[Day]]-pt)</f>
        <v>8.247142918572365</v>
      </c>
      <c r="S181" s="262">
        <f>EXP(mu_t+sigma_t*Tabella34[[#This Row],[x_t_alpha©-minus]])-(Tabella34[[#This Row],[Day]]-pt)</f>
        <v>-115.27117606782411</v>
      </c>
      <c r="T181" s="262">
        <f>-sigma_t+SQRT(sigma_t^2-2*Tabella34[[#This Row],[c_t]])</f>
        <v>3.0846502228975798</v>
      </c>
      <c r="U181" s="262">
        <f>-sigma_t-SQRT(sigma_t^2-2*Tabella34[[#This Row],[c_t]])</f>
        <v>-3.6220895727407467</v>
      </c>
      <c r="V181" s="262">
        <f>mu_t-LN(alpha*Kt/(Tabella34[[#This Row],[Spain fitted velocity]]*sigma_t*SQRTPI(2)))</f>
        <v>-5.5864397039548717</v>
      </c>
      <c r="W181" s="262">
        <f>Tabella34[[#This Row],[Spain fitted g.r.]]/Spain_gr_at_lockdown</f>
        <v>8.3354512830904892E-4</v>
      </c>
      <c r="X181" s="262">
        <f>Tabella34[[#This Row],[t_alpha_t+plus]]</f>
        <v>8.247142918572365</v>
      </c>
      <c r="Y181" s="262">
        <f>Tabella34[[#This Row],[Spain fitted h.t.]]/Spain_ht_at_lockdown</f>
        <v>0.13396794341058879</v>
      </c>
      <c r="Z181" s="90">
        <f>IFERROR(-Kf*_xlfn.LOGNORM.DIST((Tabella34[[#This Row],[Day]]-pf),mu_f,sigma_f,FALSE)*(1+(LN((Tabella34[[#This Row],[Day]]-pf))-mu_f)/sigma_f^2)/(Tabella34[[#This Row],[Day]]-pf),0)</f>
        <v>-4.0377474734234671</v>
      </c>
      <c r="AA181" s="90">
        <f>Tabella34[[#This Row],[Spain acc. fit]]/Spain_acc_at_lockdown</f>
        <v>-1.3759308589081505E-2</v>
      </c>
      <c r="AB181" s="95">
        <f>Tabella34[[#This Row],[Spain acc. fit]]/y_f_peak</f>
        <v>-6.049362741495616E-4</v>
      </c>
      <c r="AC181" s="157">
        <f>Tabella34[[#This Row],[Colonna4]]*NOT(ISBLANK(Tabella34[[#This Row],[Spain daily cases]]))</f>
        <v>0</v>
      </c>
      <c r="AD181" s="157">
        <f>Tabella34[[#This Row],[Spain acc. fit]]*NOT(ISBLANK(Tabella34[[#This Row],[Spain daily cases]]))</f>
        <v>0</v>
      </c>
      <c r="AE181" s="95">
        <f>Tabella34[[#This Row],[Spain acc. fit]]+CIf</f>
        <v>2338.650670207669</v>
      </c>
      <c r="AF181" s="95">
        <f>MAX(Tabella34[[#This Row],[Spain acc. fit]]-CIf,0)</f>
        <v>0</v>
      </c>
      <c r="AH181" s="10"/>
      <c r="AI181" s="10"/>
      <c r="AJ181" s="136">
        <f>Tabella34[[#This Row],[Lombardy data]]*NOT(ISBLANK(Tabella34[[#This Row],[Lombardy data]]))</f>
        <v>0</v>
      </c>
      <c r="AK181" s="95">
        <f>Tabella8[[#This Row],[Lombardy fit]]</f>
        <v>86422.393927951678</v>
      </c>
      <c r="AL181" s="157" t="e">
        <f>_xlfn.LOGNORM.INV(alpha*Tabella34[[#This Row],[Lombardy cumul. Fit]]/Kr,mu_r,sigma_r)-(Tabella34[[#This Row],[Day]]-pr)</f>
        <v>#NUM!</v>
      </c>
      <c r="AM181" s="95">
        <f>Tabella34[[#This Row],[Lombardy cumul. Fit]]/Kl</f>
        <v>0.99336084974657102</v>
      </c>
      <c r="AN181" s="95">
        <f>IFERROR(Kr*_xlfn.LOGNORM.DIST((Tabella34[[#This Row],[Day]]-pr),mu_r,sigma_r,FALSE),0)</f>
        <v>33.286930106712617</v>
      </c>
      <c r="AO181" s="202">
        <f>Tabella34[[#This Row],[Lombardy velocity]]/Tabella34[[#This Row],[Lombardy cumul. Fit]]</f>
        <v>3.8516556408357713E-4</v>
      </c>
      <c r="AP181" s="259">
        <f>(LN(Tabella34[[#This Row],[Day]]-pr)-mu_r)/sigma_r</f>
        <v>2.4762165730016572</v>
      </c>
      <c r="AQ181" s="262">
        <f>EXP(mu_r+sigma_r*Tabella34[[#This Row],[x_r_alpha©+plus]])-(Tabella34[[#This Row],[Day]]-pr)</f>
        <v>11.954126043377158</v>
      </c>
      <c r="AR181" s="262">
        <f>EXP(mu_r+sigma_r*Tabella34[[#This Row],[x_r_alpha©-minus]])-(Tabella34[[#This Row],[Day]]-pr)</f>
        <v>-123.41873458784583</v>
      </c>
      <c r="AS181" s="262">
        <f>-sigma_r+SQRT(sigma_r^2-2*Tabella34[[#This Row],[c_r]])</f>
        <v>2.7124036925543651</v>
      </c>
      <c r="AT181" s="262">
        <f>-sigma_r-SQRT(sigma_r^2-2*Tabella34[[#This Row],[c_r]])</f>
        <v>-3.3932582897480943</v>
      </c>
      <c r="AU181" s="262">
        <f>mu_r-LN(alpha*Kr/(Tabella34[[#This Row],[Lombardy velocity]]*sigma_r*SQRTPI(2)))</f>
        <v>-4.6019431574517204</v>
      </c>
      <c r="AV181" s="262">
        <f>Tabella34[[#This Row],[t_alpha_r+plus]]</f>
        <v>11.954126043377158</v>
      </c>
      <c r="AW181" s="90">
        <f>IFERROR(-Kl*_xlfn.LOGNORM.DIST((Tabella34[[#This Row],[Day]]-pl),mu_l,sigma_l,FALSE)*(1+(LN((Tabella34[[#This Row],[Day]]-pl))-mu_l)/sigma_l^2)/(Tabella34[[#This Row],[Day]]-pl),0)</f>
        <v>-1.9289486524430557</v>
      </c>
      <c r="AX181" s="95">
        <f>Tabella34[[#This Row],[Lombardy acc. fit]]/y_l_peak</f>
        <v>-1.097268833207223E-3</v>
      </c>
      <c r="AY181" s="157">
        <f>Tabella34[[#This Row],[Lombardy acc. fit]]*NOT(ISBLANK(Tabella34[[#This Row],[Lombardy data]]))</f>
        <v>0</v>
      </c>
      <c r="AZ181" s="95">
        <f>Tabella34[[#This Row],[Lombardy acc. fit]]+CIl</f>
        <v>2568.4533742639655</v>
      </c>
      <c r="BA181" s="95">
        <f>MAX(Tabella34[[#This Row],[Lombardy acc. fit]]-CIl,0)</f>
        <v>0</v>
      </c>
      <c r="BC181" s="10"/>
      <c r="BD181" s="10"/>
      <c r="BE181" s="95">
        <f>Tabella34[[#This Row],[rest of Italy data]]*NOT(ISBLANK(Tabella34[[#This Row],[rest of Italy data]]))</f>
        <v>0</v>
      </c>
      <c r="BF181" s="95">
        <f>Tabella8[[#This Row],[rest of Italy fit]]</f>
        <v>147484.90386551686</v>
      </c>
      <c r="BG181" s="157" t="e">
        <f>_xlfn.LOGNORM.INV(alpha*Tabella34[[#This Row],[rest of Italy cumul. Fit]]/Ko,mu_o,sigma_o)-(Tabella34[[#This Row],[Day]]-po)</f>
        <v>#NUM!</v>
      </c>
      <c r="BH181" s="95">
        <f>Tabella34[[#This Row],[rest of Italy cumul. Fit]]/Ka</f>
        <v>0.99651973671931438</v>
      </c>
      <c r="BI181" s="157">
        <f>IFERROR(Ko*_xlfn.LOGNORM.DIST((Tabella34[[#This Row],[Day]]-po),mu_o,sigma_o,FALSE),0)</f>
        <v>35.323024028259177</v>
      </c>
      <c r="BJ181" s="199">
        <f>Tabella34[[#This Row],[rest of Italy velocity]]/Tabella34[[#This Row],[rest of Italy cumul. Fit]]</f>
        <v>2.395026413040093E-4</v>
      </c>
      <c r="BK181" s="254">
        <f>(LN(Tabella34[[#This Row],[Day]]-po)-mu_o)/sigma_o</f>
        <v>2.6987269228206294</v>
      </c>
      <c r="BL181" s="262">
        <f>EXP(mu_o+sigma_o*Tabella34[[#This Row],[x_o_alpha©+plus]])-(Tabella34[[#This Row],[Day]]-po)</f>
        <v>10.053213423441122</v>
      </c>
      <c r="BM181" s="262">
        <f>EXP(mu_o+sigma_o*Tabella34[[#This Row],[x_o_alpha©-minus]])-(Tabella34[[#This Row],[Day]]-po)</f>
        <v>-118.07856037781595</v>
      </c>
      <c r="BN181" s="262">
        <f>-sigma_o+SQRT(sigma_o^2-2*Tabella34[[#This Row],[c_o]])</f>
        <v>2.9201155005252417</v>
      </c>
      <c r="BO181" s="262">
        <f>-sigma_o-SQRT(sigma_o^2-2*Tabella34[[#This Row],[c_o]])</f>
        <v>-3.5630882778242681</v>
      </c>
      <c r="BP181" s="262">
        <f>mu_o-LN(alpha*Ko/(Tabella34[[#This Row],[rest of Italy velocity]]*sigma_o*SQRTPI(2)))</f>
        <v>-5.2023146549072168</v>
      </c>
      <c r="BQ181" s="262">
        <f>Tabella34[[#This Row],[t_alpha_o+plus]]</f>
        <v>10.053213423441122</v>
      </c>
      <c r="BR181" s="90">
        <f>IFERROR(-Ka*_xlfn.LOGNORM.DIST((Tabella34[[#This Row],[Day]]-pa),mu_a,sigma_a,FALSE)*(1+(LN((Tabella34[[#This Row],[Day]]-pa))-mu_a)/sigma_a^2)/(Tabella34[[#This Row],[Day]]-pa),0)</f>
        <v>-2.434964167566084</v>
      </c>
      <c r="BS181" s="95">
        <f>Tabella34[[#This Row],[rest of Italy acc. fit]]/y_a_peak</f>
        <v>-7.2058500232437641E-4</v>
      </c>
      <c r="BT181" s="136">
        <f>Tabella34[[#This Row],[rest of Italy acc. fit]]*NOT(ISBLANK(Tabella34[[#This Row],[rest of Italy data]]))</f>
        <v>0</v>
      </c>
      <c r="BU181" s="205"/>
      <c r="BV181" s="137"/>
    </row>
    <row r="182" spans="2:74" x14ac:dyDescent="0.3">
      <c r="B182" s="281">
        <v>44005</v>
      </c>
      <c r="C182" s="4">
        <v>175</v>
      </c>
      <c r="E182" s="10"/>
      <c r="F182" s="10"/>
      <c r="G182" s="136">
        <f>Tabella34[[#This Row],[Spain daily cases]]*NOT(ISBLANK(Tabella34[[#This Row],[Spain daily cases]]))</f>
        <v>0</v>
      </c>
      <c r="H182" s="157">
        <f>Tabella8[[#This Row],[Spain cum. fit]]</f>
        <v>279473.62497727777</v>
      </c>
      <c r="I182" s="157" t="e">
        <f>_xlfn.LOGNORM.INV(alpha*Tabella34[[#This Row],[Spain cumul. Fit]]/Kt,mu_t,sigma_t)-(Tabella34[[#This Row],[Day]]-pt)</f>
        <v>#NUM!</v>
      </c>
      <c r="J182" s="157" t="e">
        <f>Tabella34[[#This Row],[Spain fitted d.t.]]/Spain_dt_at_lockdown</f>
        <v>#NUM!</v>
      </c>
      <c r="K182" s="95">
        <f>Tabella34[[#This Row],[Spain cumul. Fit]]/Kf</f>
        <v>0.99812046075733218</v>
      </c>
      <c r="L182" s="160"/>
      <c r="M182" s="95"/>
      <c r="N182" s="157">
        <f>IFERROR(Kt*_xlfn.LOGNORM.DIST((Tabella34[[#This Row],[Day]]-pt),mu_t,sigma_t,FALSE),0)</f>
        <v>44.387683024458305</v>
      </c>
      <c r="O182" s="157" t="e">
        <f>Kt*EXP(-0.5*Tabella34[[#This Row],[x_t]]^2)/(sigma_t*SQRTPI(2)*(Tabella34[[#This Row],[Day]]-D_bk))</f>
        <v>#NAME?</v>
      </c>
      <c r="P182" s="199">
        <f>Tabella34[[#This Row],[Spain fitted velocity]]/Tabella34[[#This Row],[Spain cumul. Fit]]</f>
        <v>1.5882601811912373E-4</v>
      </c>
      <c r="Q182" s="262">
        <f>(LN(Tabella34[[#This Row],[Day]]-pt)-mu_t)/sigma_t</f>
        <v>2.8977017740548341</v>
      </c>
      <c r="R182" s="262">
        <f>EXP(mu_t+sigma_t*Tabella34[[#This Row],[x_t_alpha©+plus]])-(Tabella34[[#This Row],[Day]]-pt)</f>
        <v>8.239054730513061</v>
      </c>
      <c r="S182" s="262">
        <f>EXP(mu_t+sigma_t*Tabella34[[#This Row],[x_t_alpha©-minus]])-(Tabella34[[#This Row],[Day]]-pt)</f>
        <v>-116.43368250875929</v>
      </c>
      <c r="T182" s="262">
        <f>-sigma_t+SQRT(sigma_t^2-2*Tabella34[[#This Row],[c_t]])</f>
        <v>3.1095223462571551</v>
      </c>
      <c r="U182" s="262">
        <f>-sigma_t-SQRT(sigma_t^2-2*Tabella34[[#This Row],[c_t]])</f>
        <v>-3.6469616961003219</v>
      </c>
      <c r="V182" s="262">
        <f>mu_t-LN(alpha*Kt/(Tabella34[[#This Row],[Spain fitted velocity]]*sigma_t*SQRTPI(2)))</f>
        <v>-5.6701544449839236</v>
      </c>
      <c r="W182" s="262">
        <f>Tabella34[[#This Row],[Spain fitted g.r.]]/Spain_gr_at_lockdown</f>
        <v>7.664790946090229E-4</v>
      </c>
      <c r="X182" s="262">
        <f>Tabella34[[#This Row],[t_alpha_t+plus]]</f>
        <v>8.239054730513061</v>
      </c>
      <c r="Y182" s="262">
        <f>Tabella34[[#This Row],[Spain fitted h.t.]]/Spain_ht_at_lockdown</f>
        <v>0.13383655755600601</v>
      </c>
      <c r="Z182" s="90">
        <f>IFERROR(-Kf*_xlfn.LOGNORM.DIST((Tabella34[[#This Row],[Day]]-pf),mu_f,sigma_f,FALSE)*(1+(LN((Tabella34[[#This Row],[Day]]-pf))-mu_f)/sigma_f^2)/(Tabella34[[#This Row],[Day]]-pf),0)</f>
        <v>-3.7182678270369092</v>
      </c>
      <c r="AA182" s="90">
        <f>Tabella34[[#This Row],[Spain acc. fit]]/Spain_acc_at_lockdown</f>
        <v>-1.2670627567918924E-2</v>
      </c>
      <c r="AB182" s="95">
        <f>Tabella34[[#This Row],[Spain acc. fit]]/y_f_peak</f>
        <v>-5.5707175854431972E-4</v>
      </c>
      <c r="AC182" s="157">
        <f>Tabella34[[#This Row],[Colonna4]]*NOT(ISBLANK(Tabella34[[#This Row],[Spain daily cases]]))</f>
        <v>0</v>
      </c>
      <c r="AD182" s="157">
        <f>Tabella34[[#This Row],[Spain acc. fit]]*NOT(ISBLANK(Tabella34[[#This Row],[Spain daily cases]]))</f>
        <v>0</v>
      </c>
      <c r="AE182" s="95">
        <f>Tabella34[[#This Row],[Spain acc. fit]]+CIf</f>
        <v>2338.9701498540558</v>
      </c>
      <c r="AF182" s="95">
        <f>MAX(Tabella34[[#This Row],[Spain acc. fit]]-CIf,0)</f>
        <v>0</v>
      </c>
      <c r="AH182" s="10"/>
      <c r="AI182" s="10"/>
      <c r="AJ182" s="136">
        <f>Tabella34[[#This Row],[Lombardy data]]*NOT(ISBLANK(Tabella34[[#This Row],[Lombardy data]]))</f>
        <v>0</v>
      </c>
      <c r="AK182" s="95">
        <f>Tabella8[[#This Row],[Lombardy fit]]</f>
        <v>86454.7346587996</v>
      </c>
      <c r="AL182" s="157" t="e">
        <f>_xlfn.LOGNORM.INV(alpha*Tabella34[[#This Row],[Lombardy cumul. Fit]]/Kr,mu_r,sigma_r)-(Tabella34[[#This Row],[Day]]-pr)</f>
        <v>#NUM!</v>
      </c>
      <c r="AM182" s="95">
        <f>Tabella34[[#This Row],[Lombardy cumul. Fit]]/Kl</f>
        <v>0.9937325822850529</v>
      </c>
      <c r="AN182" s="95">
        <f>IFERROR(Kr*_xlfn.LOGNORM.DIST((Tabella34[[#This Row],[Day]]-pr),mu_r,sigma_r,FALSE),0)</f>
        <v>31.412550928160474</v>
      </c>
      <c r="AO182" s="202">
        <f>Tabella34[[#This Row],[Lombardy velocity]]/Tabella34[[#This Row],[Lombardy cumul. Fit]]</f>
        <v>3.6334101367764961E-4</v>
      </c>
      <c r="AP182" s="259">
        <f>(LN(Tabella34[[#This Row],[Day]]-pr)-mu_r)/sigma_r</f>
        <v>2.4967186815113984</v>
      </c>
      <c r="AQ182" s="262">
        <f>EXP(mu_r+sigma_r*Tabella34[[#This Row],[x_r_alpha©+plus]])-(Tabella34[[#This Row],[Day]]-pr)</f>
        <v>11.954276627830325</v>
      </c>
      <c r="AR182" s="262">
        <f>EXP(mu_r+sigma_r*Tabella34[[#This Row],[x_r_alpha©-minus]])-(Tabella34[[#This Row],[Day]]-pr)</f>
        <v>-124.54306328893718</v>
      </c>
      <c r="AS182" s="262">
        <f>-sigma_r+SQRT(sigma_r^2-2*Tabella34[[#This Row],[c_r]])</f>
        <v>2.7313298001276367</v>
      </c>
      <c r="AT182" s="262">
        <f>-sigma_r-SQRT(sigma_r^2-2*Tabella34[[#This Row],[c_r]])</f>
        <v>-3.4121843973213659</v>
      </c>
      <c r="AU182" s="262">
        <f>mu_r-LN(alpha*Kr/(Tabella34[[#This Row],[Lombardy velocity]]*sigma_r*SQRTPI(2)))</f>
        <v>-4.6599004639672037</v>
      </c>
      <c r="AV182" s="262">
        <f>Tabella34[[#This Row],[t_alpha_r+plus]]</f>
        <v>11.954276627830325</v>
      </c>
      <c r="AW182" s="90">
        <f>IFERROR(-Kl*_xlfn.LOGNORM.DIST((Tabella34[[#This Row],[Day]]-pl),mu_l,sigma_l,FALSE)*(1+(LN((Tabella34[[#This Row],[Day]]-pl))-mu_l)/sigma_l^2)/(Tabella34[[#This Row],[Day]]-pl),0)</f>
        <v>-1.8208271601732986</v>
      </c>
      <c r="AX182" s="95">
        <f>Tabella34[[#This Row],[Lombardy acc. fit]]/y_l_peak</f>
        <v>-1.0357646850707746E-3</v>
      </c>
      <c r="AY182" s="157">
        <f>Tabella34[[#This Row],[Lombardy acc. fit]]*NOT(ISBLANK(Tabella34[[#This Row],[Lombardy data]]))</f>
        <v>0</v>
      </c>
      <c r="AZ182" s="95">
        <f>Tabella34[[#This Row],[Lombardy acc. fit]]+CIl</f>
        <v>2568.5614957562352</v>
      </c>
      <c r="BA182" s="95">
        <f>MAX(Tabella34[[#This Row],[Lombardy acc. fit]]-CIl,0)</f>
        <v>0</v>
      </c>
      <c r="BC182" s="10"/>
      <c r="BD182" s="10"/>
      <c r="BE182" s="95">
        <f>Tabella34[[#This Row],[rest of Italy data]]*NOT(ISBLANK(Tabella34[[#This Row],[rest of Italy data]]))</f>
        <v>0</v>
      </c>
      <c r="BF182" s="95">
        <f>Tabella8[[#This Row],[rest of Italy fit]]</f>
        <v>147519.03682830275</v>
      </c>
      <c r="BG182" s="157" t="e">
        <f>_xlfn.LOGNORM.INV(alpha*Tabella34[[#This Row],[rest of Italy cumul. Fit]]/Ko,mu_o,sigma_o)-(Tabella34[[#This Row],[Day]]-po)</f>
        <v>#NUM!</v>
      </c>
      <c r="BH182" s="95">
        <f>Tabella34[[#This Row],[rest of Italy cumul. Fit]]/Ka</f>
        <v>0.99675036487309376</v>
      </c>
      <c r="BI182" s="157">
        <f>IFERROR(Ko*_xlfn.LOGNORM.DIST((Tabella34[[#This Row],[Day]]-po),mu_o,sigma_o,FALSE),0)</f>
        <v>32.969862942080226</v>
      </c>
      <c r="BJ182" s="199">
        <f>Tabella34[[#This Row],[rest of Italy velocity]]/Tabella34[[#This Row],[rest of Italy cumul. Fit]]</f>
        <v>2.2349564944932371E-4</v>
      </c>
      <c r="BK182" s="254">
        <f>(LN(Tabella34[[#This Row],[Day]]-po)-mu_o)/sigma_o</f>
        <v>2.7214678710954594</v>
      </c>
      <c r="BL182" s="262">
        <f>EXP(mu_o+sigma_o*Tabella34[[#This Row],[x_o_alpha©+plus]])-(Tabella34[[#This Row],[Day]]-po)</f>
        <v>10.053891980227121</v>
      </c>
      <c r="BM182" s="262">
        <f>EXP(mu_o+sigma_o*Tabella34[[#This Row],[x_o_alpha©-minus]])-(Tabella34[[#This Row],[Day]]-po)</f>
        <v>-119.20219824605262</v>
      </c>
      <c r="BN182" s="262">
        <f>-sigma_o+SQRT(sigma_o^2-2*Tabella34[[#This Row],[c_o]])</f>
        <v>2.9413137872760617</v>
      </c>
      <c r="BO182" s="262">
        <f>-sigma_o-SQRT(sigma_o^2-2*Tabella34[[#This Row],[c_o]])</f>
        <v>-3.5842865645750881</v>
      </c>
      <c r="BP182" s="262">
        <f>mu_o-LN(alpha*Ko/(Tabella34[[#This Row],[rest of Italy velocity]]*sigma_o*SQRTPI(2)))</f>
        <v>-5.2712557449665285</v>
      </c>
      <c r="BQ182" s="262">
        <f>Tabella34[[#This Row],[t_alpha_o+plus]]</f>
        <v>10.053891980227121</v>
      </c>
      <c r="BR182" s="90">
        <f>IFERROR(-Ka*_xlfn.LOGNORM.DIST((Tabella34[[#This Row],[Day]]-pa),mu_a,sigma_a,FALSE)*(1+(LN((Tabella34[[#This Row],[Day]]-pa))-mu_a)/sigma_a^2)/(Tabella34[[#This Row],[Day]]-pa),0)</f>
        <v>-2.2731838437010592</v>
      </c>
      <c r="BS182" s="95">
        <f>Tabella34[[#This Row],[rest of Italy acc. fit]]/y_a_peak</f>
        <v>-6.7270894870472768E-4</v>
      </c>
      <c r="BT182" s="136">
        <f>Tabella34[[#This Row],[rest of Italy acc. fit]]*NOT(ISBLANK(Tabella34[[#This Row],[rest of Italy data]]))</f>
        <v>0</v>
      </c>
      <c r="BU182" s="205"/>
      <c r="BV182" s="137"/>
    </row>
    <row r="183" spans="2:74" x14ac:dyDescent="0.3">
      <c r="B183" s="281">
        <v>44006</v>
      </c>
      <c r="C183" s="4">
        <v>176</v>
      </c>
      <c r="E183" s="10"/>
      <c r="F183" s="10"/>
      <c r="G183" s="136">
        <f>Tabella34[[#This Row],[Spain daily cases]]*NOT(ISBLANK(Tabella34[[#This Row],[Spain daily cases]]))</f>
        <v>0</v>
      </c>
      <c r="H183" s="157">
        <f>Tabella8[[#This Row],[Spain cum. fit]]</f>
        <v>279516.20365513558</v>
      </c>
      <c r="I183" s="157" t="e">
        <f>_xlfn.LOGNORM.INV(alpha*Tabella34[[#This Row],[Spain cumul. Fit]]/Kt,mu_t,sigma_t)-(Tabella34[[#This Row],[Day]]-pt)</f>
        <v>#NUM!</v>
      </c>
      <c r="J183" s="157" t="e">
        <f>Tabella34[[#This Row],[Spain fitted d.t.]]/Spain_dt_at_lockdown</f>
        <v>#NUM!</v>
      </c>
      <c r="K183" s="95">
        <f>Tabella34[[#This Row],[Spain cumul. Fit]]/Kf</f>
        <v>0.99827252752057449</v>
      </c>
      <c r="L183" s="160"/>
      <c r="M183" s="95"/>
      <c r="N183" s="157">
        <f>IFERROR(Kt*_xlfn.LOGNORM.DIST((Tabella34[[#This Row],[Day]]-pt),mu_t,sigma_t,FALSE),0)</f>
        <v>40.818805650221073</v>
      </c>
      <c r="O183" s="157" t="e">
        <f>Kt*EXP(-0.5*Tabella34[[#This Row],[x_t]]^2)/(sigma_t*SQRTPI(2)*(Tabella34[[#This Row],[Day]]-D_bk))</f>
        <v>#NAME?</v>
      </c>
      <c r="P183" s="199">
        <f>Tabella34[[#This Row],[Spain fitted velocity]]/Tabella34[[#This Row],[Spain cumul. Fit]]</f>
        <v>1.4603377234109448E-4</v>
      </c>
      <c r="Q183" s="262">
        <f>(LN(Tabella34[[#This Row],[Day]]-pt)-mu_t)/sigma_t</f>
        <v>2.9240632866483476</v>
      </c>
      <c r="R183" s="262">
        <f>EXP(mu_t+sigma_t*Tabella34[[#This Row],[x_t_alpha©+plus]])-(Tabella34[[#This Row],[Day]]-pt)</f>
        <v>8.2315313140014439</v>
      </c>
      <c r="S183" s="262">
        <f>EXP(mu_t+sigma_t*Tabella34[[#This Row],[x_t_alpha©-minus]])-(Tabella34[[#This Row],[Day]]-pt)</f>
        <v>-117.59412895220842</v>
      </c>
      <c r="T183" s="262">
        <f>-sigma_t+SQRT(sigma_t^2-2*Tabella34[[#This Row],[c_t]])</f>
        <v>3.1342433576150839</v>
      </c>
      <c r="U183" s="262">
        <f>-sigma_t-SQRT(sigma_t^2-2*Tabella34[[#This Row],[c_t]])</f>
        <v>-3.6716827074582508</v>
      </c>
      <c r="V183" s="262">
        <f>mu_t-LN(alpha*Kt/(Tabella34[[#This Row],[Spain fitted velocity]]*sigma_t*SQRTPI(2)))</f>
        <v>-5.7539735685605944</v>
      </c>
      <c r="W183" s="262">
        <f>Tabella34[[#This Row],[Spain fitted g.r.]]/Spain_gr_at_lockdown</f>
        <v>7.047449462744223E-4</v>
      </c>
      <c r="X183" s="262">
        <f>Tabella34[[#This Row],[t_alpha_t+plus]]</f>
        <v>8.2315313140014439</v>
      </c>
      <c r="Y183" s="262">
        <f>Tabella34[[#This Row],[Spain fitted h.t.]]/Spain_ht_at_lockdown</f>
        <v>0.13371434594315607</v>
      </c>
      <c r="Z183" s="90">
        <f>IFERROR(-Kf*_xlfn.LOGNORM.DIST((Tabella34[[#This Row],[Day]]-pf),mu_f,sigma_f,FALSE)*(1+(LN((Tabella34[[#This Row],[Day]]-pf))-mu_f)/sigma_f^2)/(Tabella34[[#This Row],[Day]]-pf),0)</f>
        <v>-3.4234397131939405</v>
      </c>
      <c r="AA183" s="90">
        <f>Tabella34[[#This Row],[Spain acc. fit]]/Spain_acc_at_lockdown</f>
        <v>-1.1665950820350365E-2</v>
      </c>
      <c r="AB183" s="95">
        <f>Tabella34[[#This Row],[Spain acc. fit]]/y_f_peak</f>
        <v>-5.129005413306068E-4</v>
      </c>
      <c r="AC183" s="157">
        <f>Tabella34[[#This Row],[Colonna4]]*NOT(ISBLANK(Tabella34[[#This Row],[Spain daily cases]]))</f>
        <v>0</v>
      </c>
      <c r="AD183" s="157">
        <f>Tabella34[[#This Row],[Spain acc. fit]]*NOT(ISBLANK(Tabella34[[#This Row],[Spain daily cases]]))</f>
        <v>0</v>
      </c>
      <c r="AE183" s="95">
        <f>Tabella34[[#This Row],[Spain acc. fit]]+CIf</f>
        <v>2339.2649779678986</v>
      </c>
      <c r="AF183" s="95">
        <f>MAX(Tabella34[[#This Row],[Spain acc. fit]]-CIf,0)</f>
        <v>0</v>
      </c>
      <c r="AH183" s="10"/>
      <c r="AI183" s="10"/>
      <c r="AJ183" s="136">
        <f>Tabella34[[#This Row],[Lombardy data]]*NOT(ISBLANK(Tabella34[[#This Row],[Lombardy data]]))</f>
        <v>0</v>
      </c>
      <c r="AK183" s="95">
        <f>Tabella8[[#This Row],[Lombardy fit]]</f>
        <v>86485.254067232017</v>
      </c>
      <c r="AL183" s="157" t="e">
        <f>_xlfn.LOGNORM.INV(alpha*Tabella34[[#This Row],[Lombardy cumul. Fit]]/Kr,mu_r,sigma_r)-(Tabella34[[#This Row],[Day]]-pr)</f>
        <v>#NUM!</v>
      </c>
      <c r="AM183" s="95">
        <f>Tabella34[[#This Row],[Lombardy cumul. Fit]]/Kl</f>
        <v>0.99408338008312669</v>
      </c>
      <c r="AN183" s="95">
        <f>IFERROR(Kr*_xlfn.LOGNORM.DIST((Tabella34[[#This Row],[Day]]-pr),mu_r,sigma_r,FALSE),0)</f>
        <v>29.643294679872614</v>
      </c>
      <c r="AO183" s="202">
        <f>Tabella34[[#This Row],[Lombardy velocity]]/Tabella34[[#This Row],[Lombardy cumul. Fit]]</f>
        <v>3.427554789493764E-4</v>
      </c>
      <c r="AP183" s="259">
        <f>(LN(Tabella34[[#This Row],[Day]]-pr)-mu_r)/sigma_r</f>
        <v>2.5170786872480631</v>
      </c>
      <c r="AQ183" s="262">
        <f>EXP(mu_r+sigma_r*Tabella34[[#This Row],[x_r_alpha©+plus]])-(Tabella34[[#This Row],[Day]]-pr)</f>
        <v>11.954954272188075</v>
      </c>
      <c r="AR183" s="262">
        <f>EXP(mu_r+sigma_r*Tabella34[[#This Row],[x_r_alpha©-minus]])-(Tabella34[[#This Row],[Day]]-pr)</f>
        <v>-125.66586950961492</v>
      </c>
      <c r="AS183" s="262">
        <f>-sigma_r+SQRT(sigma_r^2-2*Tabella34[[#This Row],[c_r]])</f>
        <v>2.7501446258629887</v>
      </c>
      <c r="AT183" s="262">
        <f>-sigma_r-SQRT(sigma_r^2-2*Tabella34[[#This Row],[c_r]])</f>
        <v>-3.4309992230567179</v>
      </c>
      <c r="AU183" s="262">
        <f>mu_r-LN(alpha*Kr/(Tabella34[[#This Row],[Lombardy velocity]]*sigma_r*SQRTPI(2)))</f>
        <v>-4.7178720373147618</v>
      </c>
      <c r="AV183" s="262">
        <f>Tabella34[[#This Row],[t_alpha_r+plus]]</f>
        <v>11.954954272188075</v>
      </c>
      <c r="AW183" s="90">
        <f>IFERROR(-Kl*_xlfn.LOGNORM.DIST((Tabella34[[#This Row],[Day]]-pl),mu_l,sigma_l,FALSE)*(1+(LN((Tabella34[[#This Row],[Day]]-pl))-mu_l)/sigma_l^2)/(Tabella34[[#This Row],[Day]]-pl),0)</f>
        <v>-1.7186494991794115</v>
      </c>
      <c r="AX183" s="95">
        <f>Tabella34[[#This Row],[Lombardy acc. fit]]/y_l_peak</f>
        <v>-9.7764164342494962E-4</v>
      </c>
      <c r="AY183" s="157">
        <f>Tabella34[[#This Row],[Lombardy acc. fit]]*NOT(ISBLANK(Tabella34[[#This Row],[Lombardy data]]))</f>
        <v>0</v>
      </c>
      <c r="AZ183" s="95">
        <f>Tabella34[[#This Row],[Lombardy acc. fit]]+CIl</f>
        <v>2568.6636734172293</v>
      </c>
      <c r="BA183" s="95">
        <f>MAX(Tabella34[[#This Row],[Lombardy acc. fit]]-CIl,0)</f>
        <v>0</v>
      </c>
      <c r="BC183" s="10"/>
      <c r="BD183" s="10"/>
      <c r="BE183" s="95">
        <f>Tabella34[[#This Row],[rest of Italy data]]*NOT(ISBLANK(Tabella34[[#This Row],[rest of Italy data]]))</f>
        <v>0</v>
      </c>
      <c r="BF183" s="95">
        <f>Tabella8[[#This Row],[rest of Italy fit]]</f>
        <v>147550.89572367969</v>
      </c>
      <c r="BG183" s="157" t="e">
        <f>_xlfn.LOGNORM.INV(alpha*Tabella34[[#This Row],[rest of Italy cumul. Fit]]/Ko,mu_o,sigma_o)-(Tabella34[[#This Row],[Day]]-po)</f>
        <v>#NUM!</v>
      </c>
      <c r="BH183" s="95">
        <f>Tabella34[[#This Row],[rest of Italy cumul. Fit]]/Ka</f>
        <v>0.99696562770475383</v>
      </c>
      <c r="BI183" s="157">
        <f>IFERROR(Ko*_xlfn.LOGNORM.DIST((Tabella34[[#This Row],[Day]]-po),mu_o,sigma_o,FALSE),0)</f>
        <v>30.773121844849612</v>
      </c>
      <c r="BJ183" s="199">
        <f>Tabella34[[#This Row],[rest of Italy velocity]]/Tabella34[[#This Row],[rest of Italy cumul. Fit]]</f>
        <v>2.0855936993075802E-4</v>
      </c>
      <c r="BK183" s="254">
        <f>(LN(Tabella34[[#This Row],[Day]]-po)-mu_o)/sigma_o</f>
        <v>2.7440437683924723</v>
      </c>
      <c r="BL183" s="262">
        <f>EXP(mu_o+sigma_o*Tabella34[[#This Row],[x_o_alpha©+plus]])-(Tabella34[[#This Row],[Day]]-po)</f>
        <v>10.055049847419298</v>
      </c>
      <c r="BM183" s="262">
        <f>EXP(mu_o+sigma_o*Tabella34[[#This Row],[x_o_alpha©-minus]])-(Tabella34[[#This Row],[Day]]-po)</f>
        <v>-120.3242260259758</v>
      </c>
      <c r="BN183" s="262">
        <f>-sigma_o+SQRT(sigma_o^2-2*Tabella34[[#This Row],[c_o]])</f>
        <v>2.9623786367213158</v>
      </c>
      <c r="BO183" s="262">
        <f>-sigma_o-SQRT(sigma_o^2-2*Tabella34[[#This Row],[c_o]])</f>
        <v>-3.6053514140203422</v>
      </c>
      <c r="BP183" s="262">
        <f>mu_o-LN(alpha*Ko/(Tabella34[[#This Row],[rest of Italy velocity]]*sigma_o*SQRTPI(2)))</f>
        <v>-5.3402080033834247</v>
      </c>
      <c r="BQ183" s="262">
        <f>Tabella34[[#This Row],[t_alpha_o+plus]]</f>
        <v>10.055049847419298</v>
      </c>
      <c r="BR183" s="90">
        <f>IFERROR(-Ka*_xlfn.LOGNORM.DIST((Tabella34[[#This Row],[Day]]-pa),mu_a,sigma_a,FALSE)*(1+(LN((Tabella34[[#This Row],[Day]]-pa))-mu_a)/sigma_a^2)/(Tabella34[[#This Row],[Day]]-pa),0)</f>
        <v>-2.1220084181075602</v>
      </c>
      <c r="BS183" s="95">
        <f>Tabella34[[#This Row],[rest of Italy acc. fit]]/y_a_peak</f>
        <v>-6.2797122900695983E-4</v>
      </c>
      <c r="BT183" s="136">
        <f>Tabella34[[#This Row],[rest of Italy acc. fit]]*NOT(ISBLANK(Tabella34[[#This Row],[rest of Italy data]]))</f>
        <v>0</v>
      </c>
      <c r="BU183" s="205"/>
      <c r="BV183" s="137"/>
    </row>
    <row r="184" spans="2:74" x14ac:dyDescent="0.3">
      <c r="B184" s="281">
        <v>44007</v>
      </c>
      <c r="C184" s="4">
        <v>177</v>
      </c>
      <c r="E184" s="10"/>
      <c r="F184" s="10"/>
      <c r="G184" s="136">
        <f>Tabella34[[#This Row],[Spain daily cases]]*NOT(ISBLANK(Tabella34[[#This Row],[Spain daily cases]]))</f>
        <v>0</v>
      </c>
      <c r="H184" s="157">
        <f>Tabella8[[#This Row],[Spain cum. fit]]</f>
        <v>279555.35699137283</v>
      </c>
      <c r="I184" s="157" t="e">
        <f>_xlfn.LOGNORM.INV(alpha*Tabella34[[#This Row],[Spain cumul. Fit]]/Kt,mu_t,sigma_t)-(Tabella34[[#This Row],[Day]]-pt)</f>
        <v>#NUM!</v>
      </c>
      <c r="J184" s="157" t="e">
        <f>Tabella34[[#This Row],[Spain fitted d.t.]]/Spain_dt_at_lockdown</f>
        <v>#NUM!</v>
      </c>
      <c r="K184" s="95">
        <f>Tabella34[[#This Row],[Spain cumul. Fit]]/Kf</f>
        <v>0.99841236091633223</v>
      </c>
      <c r="L184" s="160"/>
      <c r="M184" s="95"/>
      <c r="N184" s="157">
        <f>IFERROR(Kt*_xlfn.LOGNORM.DIST((Tabella34[[#This Row],[Day]]-pt),mu_t,sigma_t,FALSE),0)</f>
        <v>37.533195274926697</v>
      </c>
      <c r="O184" s="157" t="e">
        <f>Kt*EXP(-0.5*Tabella34[[#This Row],[x_t]]^2)/(sigma_t*SQRTPI(2)*(Tabella34[[#This Row],[Day]]-D_bk))</f>
        <v>#NAME?</v>
      </c>
      <c r="P184" s="199">
        <f>Tabella34[[#This Row],[Spain fitted velocity]]/Tabella34[[#This Row],[Spain cumul. Fit]]</f>
        <v>1.3426033283306027E-4</v>
      </c>
      <c r="Q184" s="262">
        <f>(LN(Tabella34[[#This Row],[Day]]-pt)-mu_t)/sigma_t</f>
        <v>2.9502393708322461</v>
      </c>
      <c r="R184" s="262">
        <f>EXP(mu_t+sigma_t*Tabella34[[#This Row],[x_t_alpha©+plus]])-(Tabella34[[#This Row],[Day]]-pt)</f>
        <v>8.2245529397690689</v>
      </c>
      <c r="S184" s="262">
        <f>EXP(mu_t+sigma_t*Tabella34[[#This Row],[x_t_alpha©-minus]])-(Tabella34[[#This Row],[Day]]-pt)</f>
        <v>-118.75255111824048</v>
      </c>
      <c r="T184" s="262">
        <f>-sigma_t+SQRT(sigma_t^2-2*Tabella34[[#This Row],[c_t]])</f>
        <v>3.1588146720048331</v>
      </c>
      <c r="U184" s="262">
        <f>-sigma_t-SQRT(sigma_t^2-2*Tabella34[[#This Row],[c_t]])</f>
        <v>-3.696254021848</v>
      </c>
      <c r="V184" s="262">
        <f>mu_t-LN(alpha*Kt/(Tabella34[[#This Row],[Spain fitted velocity]]*sigma_t*SQRTPI(2)))</f>
        <v>-5.8378907178351671</v>
      </c>
      <c r="W184" s="262">
        <f>Tabella34[[#This Row],[Spain fitted g.r.]]/Spain_gr_at_lockdown</f>
        <v>6.4792745905527E-4</v>
      </c>
      <c r="X184" s="262">
        <f>Tabella34[[#This Row],[t_alpha_t+plus]]</f>
        <v>8.2245529397690689</v>
      </c>
      <c r="Y184" s="262">
        <f>Tabella34[[#This Row],[Spain fitted h.t.]]/Spain_ht_at_lockdown</f>
        <v>0.13360098808656365</v>
      </c>
      <c r="Z184" s="90">
        <f>IFERROR(-Kf*_xlfn.LOGNORM.DIST((Tabella34[[#This Row],[Day]]-pf),mu_f,sigma_f,FALSE)*(1+(LN((Tabella34[[#This Row],[Day]]-pf))-mu_f)/sigma_f^2)/(Tabella34[[#This Row],[Day]]-pf),0)</f>
        <v>-3.1514407302945799</v>
      </c>
      <c r="AA184" s="90">
        <f>Tabella34[[#This Row],[Spain acc. fit]]/Spain_acc_at_lockdown</f>
        <v>-1.0739068204173417E-2</v>
      </c>
      <c r="AB184" s="95">
        <f>Tabella34[[#This Row],[Spain acc. fit]]/y_f_peak</f>
        <v>-4.7214958987298633E-4</v>
      </c>
      <c r="AC184" s="157">
        <f>Tabella34[[#This Row],[Colonna4]]*NOT(ISBLANK(Tabella34[[#This Row],[Spain daily cases]]))</f>
        <v>0</v>
      </c>
      <c r="AD184" s="157">
        <f>Tabella34[[#This Row],[Spain acc. fit]]*NOT(ISBLANK(Tabella34[[#This Row],[Spain daily cases]]))</f>
        <v>0</v>
      </c>
      <c r="AE184" s="95">
        <f>Tabella34[[#This Row],[Spain acc. fit]]+CIf</f>
        <v>2339.5369769507979</v>
      </c>
      <c r="AF184" s="95">
        <f>MAX(Tabella34[[#This Row],[Spain acc. fit]]-CIf,0)</f>
        <v>0</v>
      </c>
      <c r="AH184" s="10"/>
      <c r="AI184" s="10"/>
      <c r="AJ184" s="136">
        <f>Tabella34[[#This Row],[Lombardy data]]*NOT(ISBLANK(Tabella34[[#This Row],[Lombardy data]]))</f>
        <v>0</v>
      </c>
      <c r="AK184" s="95">
        <f>Tabella8[[#This Row],[Lombardy fit]]</f>
        <v>86514.054356922541</v>
      </c>
      <c r="AL184" s="157" t="e">
        <f>_xlfn.LOGNORM.INV(alpha*Tabella34[[#This Row],[Lombardy cumul. Fit]]/Kr,mu_r,sigma_r)-(Tabella34[[#This Row],[Day]]-pr)</f>
        <v>#NUM!</v>
      </c>
      <c r="AM184" s="95">
        <f>Tabella34[[#This Row],[Lombardy cumul. Fit]]/Kl</f>
        <v>0.99441441789566143</v>
      </c>
      <c r="AN184" s="95">
        <f>IFERROR(Kr*_xlfn.LOGNORM.DIST((Tabella34[[#This Row],[Day]]-pr),mu_r,sigma_r,FALSE),0)</f>
        <v>27.973374876525536</v>
      </c>
      <c r="AO184" s="202">
        <f>Tabella34[[#This Row],[Lombardy velocity]]/Tabella34[[#This Row],[Lombardy cumul. Fit]]</f>
        <v>3.2333908154527738E-4</v>
      </c>
      <c r="AP184" s="259">
        <f>(LN(Tabella34[[#This Row],[Day]]-pr)-mu_r)/sigma_r</f>
        <v>2.5372985465254665</v>
      </c>
      <c r="AQ184" s="262">
        <f>EXP(mu_r+sigma_r*Tabella34[[#This Row],[x_r_alpha©+plus]])-(Tabella34[[#This Row],[Day]]-pr)</f>
        <v>11.956142107832676</v>
      </c>
      <c r="AR184" s="262">
        <f>EXP(mu_r+sigma_r*Tabella34[[#This Row],[x_r_alpha©-minus]])-(Tabella34[[#This Row],[Day]]-pr)</f>
        <v>-126.78717896414381</v>
      </c>
      <c r="AS184" s="262">
        <f>-sigma_r+SQRT(sigma_r^2-2*Tabella34[[#This Row],[c_r]])</f>
        <v>2.7688492090178767</v>
      </c>
      <c r="AT184" s="262">
        <f>-sigma_r-SQRT(sigma_r^2-2*Tabella34[[#This Row],[c_r]])</f>
        <v>-3.4497038062116059</v>
      </c>
      <c r="AU184" s="262">
        <f>mu_r-LN(alpha*Kr/(Tabella34[[#This Row],[Lombardy velocity]]*sigma_r*SQRTPI(2)))</f>
        <v>-4.7758548275874828</v>
      </c>
      <c r="AV184" s="262">
        <f>Tabella34[[#This Row],[t_alpha_r+plus]]</f>
        <v>11.956142107832676</v>
      </c>
      <c r="AW184" s="90">
        <f>IFERROR(-Kl*_xlfn.LOGNORM.DIST((Tabella34[[#This Row],[Day]]-pl),mu_l,sigma_l,FALSE)*(1+(LN((Tabella34[[#This Row],[Day]]-pl))-mu_l)/sigma_l^2)/(Tabella34[[#This Row],[Day]]-pl),0)</f>
        <v>-1.6221034919655621</v>
      </c>
      <c r="AX184" s="95">
        <f>Tabella34[[#This Row],[Lombardy acc. fit]]/y_l_peak</f>
        <v>-9.2272212830349463E-4</v>
      </c>
      <c r="AY184" s="157">
        <f>Tabella34[[#This Row],[Lombardy acc. fit]]*NOT(ISBLANK(Tabella34[[#This Row],[Lombardy data]]))</f>
        <v>0</v>
      </c>
      <c r="AZ184" s="95">
        <f>Tabella34[[#This Row],[Lombardy acc. fit]]+CIl</f>
        <v>2568.7602194244432</v>
      </c>
      <c r="BA184" s="95">
        <f>MAX(Tabella34[[#This Row],[Lombardy acc. fit]]-CIl,0)</f>
        <v>0</v>
      </c>
      <c r="BC184" s="10"/>
      <c r="BD184" s="10"/>
      <c r="BE184" s="95">
        <f>Tabella34[[#This Row],[rest of Italy data]]*NOT(ISBLANK(Tabella34[[#This Row],[rest of Italy data]]))</f>
        <v>0</v>
      </c>
      <c r="BF184" s="95">
        <f>Tabella8[[#This Row],[rest of Italy fit]]</f>
        <v>147580.63178322028</v>
      </c>
      <c r="BG184" s="157" t="e">
        <f>_xlfn.LOGNORM.INV(alpha*Tabella34[[#This Row],[rest of Italy cumul. Fit]]/Ko,mu_o,sigma_o)-(Tabella34[[#This Row],[Day]]-po)</f>
        <v>#NUM!</v>
      </c>
      <c r="BH184" s="95">
        <f>Tabella34[[#This Row],[rest of Italy cumul. Fit]]/Ka</f>
        <v>0.99716654704936336</v>
      </c>
      <c r="BI184" s="157">
        <f>IFERROR(Ko*_xlfn.LOGNORM.DIST((Tabella34[[#This Row],[Day]]-po),mu_o,sigma_o,FALSE),0)</f>
        <v>28.72253620975799</v>
      </c>
      <c r="BJ184" s="199">
        <f>Tabella34[[#This Row],[rest of Italy velocity]]/Tabella34[[#This Row],[rest of Italy cumul. Fit]]</f>
        <v>1.9462266736971446E-4</v>
      </c>
      <c r="BK184" s="254">
        <f>(LN(Tabella34[[#This Row],[Day]]-po)-mu_o)/sigma_o</f>
        <v>2.7664569932975427</v>
      </c>
      <c r="BL184" s="262">
        <f>EXP(mu_o+sigma_o*Tabella34[[#This Row],[x_o_alpha©+plus]])-(Tabella34[[#This Row],[Day]]-po)</f>
        <v>10.056670907060067</v>
      </c>
      <c r="BM184" s="262">
        <f>EXP(mu_o+sigma_o*Tabella34[[#This Row],[x_o_alpha©-minus]])-(Tabella34[[#This Row],[Day]]-po)</f>
        <v>-121.44467299909928</v>
      </c>
      <c r="BN184" s="262">
        <f>-sigma_o+SQRT(sigma_o^2-2*Tabella34[[#This Row],[c_o]])</f>
        <v>2.9833114404514602</v>
      </c>
      <c r="BO184" s="262">
        <f>-sigma_o-SQRT(sigma_o^2-2*Tabella34[[#This Row],[c_o]])</f>
        <v>-3.6262842177504866</v>
      </c>
      <c r="BP184" s="262">
        <f>mu_o-LN(alpha*Ko/(Tabella34[[#This Row],[rest of Italy velocity]]*sigma_o*SQRTPI(2)))</f>
        <v>-5.4091675965718009</v>
      </c>
      <c r="BQ184" s="262">
        <f>Tabella34[[#This Row],[t_alpha_o+plus]]</f>
        <v>10.056670907060067</v>
      </c>
      <c r="BR184" s="90">
        <f>IFERROR(-Ka*_xlfn.LOGNORM.DIST((Tabella34[[#This Row],[Day]]-pa),mu_a,sigma_a,FALSE)*(1+(LN((Tabella34[[#This Row],[Day]]-pa))-mu_a)/sigma_a^2)/(Tabella34[[#This Row],[Day]]-pa),0)</f>
        <v>-1.9807640195257319</v>
      </c>
      <c r="BS184" s="95">
        <f>Tabella34[[#This Row],[rest of Italy acc. fit]]/y_a_peak</f>
        <v>-5.8617242283309865E-4</v>
      </c>
      <c r="BT184" s="136">
        <f>Tabella34[[#This Row],[rest of Italy acc. fit]]*NOT(ISBLANK(Tabella34[[#This Row],[rest of Italy data]]))</f>
        <v>0</v>
      </c>
      <c r="BU184" s="205"/>
      <c r="BV184" s="137"/>
    </row>
    <row r="185" spans="2:74" x14ac:dyDescent="0.3">
      <c r="AL185" s="157"/>
      <c r="BG185" s="157"/>
    </row>
  </sheetData>
  <mergeCells count="13">
    <mergeCell ref="AE6:AJ6"/>
    <mergeCell ref="AY6:BC6"/>
    <mergeCell ref="CA6:CE6"/>
    <mergeCell ref="CL8:CL17"/>
    <mergeCell ref="B2:G2"/>
    <mergeCell ref="G3:G6"/>
    <mergeCell ref="CA3:CE3"/>
    <mergeCell ref="B4:E4"/>
    <mergeCell ref="CA4:CE4"/>
    <mergeCell ref="B5:E5"/>
    <mergeCell ref="AE5:AJ5"/>
    <mergeCell ref="AY5:BC5"/>
    <mergeCell ref="CA5:CE5"/>
  </mergeCells>
  <phoneticPr fontId="25" type="noConversion"/>
  <conditionalFormatting sqref="AW8:AW184">
    <cfRule type="top10" dxfId="14" priority="4" rank="1"/>
  </conditionalFormatting>
  <conditionalFormatting sqref="BR8:BR184">
    <cfRule type="top10" dxfId="13" priority="3" rank="1"/>
  </conditionalFormatting>
  <conditionalFormatting sqref="Z8:AA184">
    <cfRule type="top10" dxfId="12" priority="8" rank="1"/>
  </conditionalFormatting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05EB14-AEBC-4B5D-B827-B6FF39F422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80</vt:i4>
      </vt:variant>
    </vt:vector>
  </HeadingPairs>
  <TitlesOfParts>
    <vt:vector size="84" baseType="lpstr">
      <vt:lpstr>time_series_covid19_confirmed_g</vt:lpstr>
      <vt:lpstr>Cumul_cases - LNorm</vt:lpstr>
      <vt:lpstr>New_cases - LNorm</vt:lpstr>
      <vt:lpstr>New_cases_rates - LNorm</vt:lpstr>
      <vt:lpstr>alpha</vt:lpstr>
      <vt:lpstr>CIa</vt:lpstr>
      <vt:lpstr>CIf</vt:lpstr>
      <vt:lpstr>CIl</vt:lpstr>
      <vt:lpstr>CIo</vt:lpstr>
      <vt:lpstr>CIr</vt:lpstr>
      <vt:lpstr>CIt</vt:lpstr>
      <vt:lpstr>Critical_ta</vt:lpstr>
      <vt:lpstr>Critical_tf</vt:lpstr>
      <vt:lpstr>Critical_tl</vt:lpstr>
      <vt:lpstr>Critical_to</vt:lpstr>
      <vt:lpstr>Critical_tr</vt:lpstr>
      <vt:lpstr>Critical_tt</vt:lpstr>
      <vt:lpstr>Critical_tw</vt:lpstr>
      <vt:lpstr>Day_1</vt:lpstr>
      <vt:lpstr>Days_back</vt:lpstr>
      <vt:lpstr>dfa</vt:lpstr>
      <vt:lpstr>dff</vt:lpstr>
      <vt:lpstr>dfl</vt:lpstr>
      <vt:lpstr>dfo</vt:lpstr>
      <vt:lpstr>dfr</vt:lpstr>
      <vt:lpstr>dft</vt:lpstr>
      <vt:lpstr>dfw</vt:lpstr>
      <vt:lpstr>k_a</vt:lpstr>
      <vt:lpstr>k_f</vt:lpstr>
      <vt:lpstr>k_l</vt:lpstr>
      <vt:lpstr>K_sum</vt:lpstr>
      <vt:lpstr>Ka</vt:lpstr>
      <vt:lpstr>Kf</vt:lpstr>
      <vt:lpstr>Kl</vt:lpstr>
      <vt:lpstr>Ko</vt:lpstr>
      <vt:lpstr>Kr</vt:lpstr>
      <vt:lpstr>Kt</vt:lpstr>
      <vt:lpstr>Mean_of_y</vt:lpstr>
      <vt:lpstr>Mean_of_ya</vt:lpstr>
      <vt:lpstr>Mean_of_yf</vt:lpstr>
      <vt:lpstr>Mean_of_yl</vt:lpstr>
      <vt:lpstr>Mean_of_yo</vt:lpstr>
      <vt:lpstr>Mean_of_yr</vt:lpstr>
      <vt:lpstr>Mean_of_yt</vt:lpstr>
      <vt:lpstr>Mean_of_yw</vt:lpstr>
      <vt:lpstr>mu_a</vt:lpstr>
      <vt:lpstr>mu_f</vt:lpstr>
      <vt:lpstr>mu_l</vt:lpstr>
      <vt:lpstr>mu_o</vt:lpstr>
      <vt:lpstr>mu_r</vt:lpstr>
      <vt:lpstr>mu_t</vt:lpstr>
      <vt:lpstr>Oggi</vt:lpstr>
      <vt:lpstr>pa</vt:lpstr>
      <vt:lpstr>pf</vt:lpstr>
      <vt:lpstr>pl</vt:lpstr>
      <vt:lpstr>po</vt:lpstr>
      <vt:lpstr>pr</vt:lpstr>
      <vt:lpstr>pt</vt:lpstr>
      <vt:lpstr>RSQa</vt:lpstr>
      <vt:lpstr>RSQf</vt:lpstr>
      <vt:lpstr>RSQl</vt:lpstr>
      <vt:lpstr>RSQo</vt:lpstr>
      <vt:lpstr>RSQr</vt:lpstr>
      <vt:lpstr>RSQt</vt:lpstr>
      <vt:lpstr>SE_of_ya</vt:lpstr>
      <vt:lpstr>SE_of_yf</vt:lpstr>
      <vt:lpstr>SE_of_yl</vt:lpstr>
      <vt:lpstr>SE_of_yo</vt:lpstr>
      <vt:lpstr>SE_of_yr</vt:lpstr>
      <vt:lpstr>SE_of_yt</vt:lpstr>
      <vt:lpstr>sigma_a</vt:lpstr>
      <vt:lpstr>sigma_f</vt:lpstr>
      <vt:lpstr>sigma_l</vt:lpstr>
      <vt:lpstr>sigma_o</vt:lpstr>
      <vt:lpstr>sigma_r</vt:lpstr>
      <vt:lpstr>sigma_t</vt:lpstr>
      <vt:lpstr>Spain_acc_at_lockdown</vt:lpstr>
      <vt:lpstr>Spain_dt_at_lockdown</vt:lpstr>
      <vt:lpstr>Spain_gr_at_lockdown</vt:lpstr>
      <vt:lpstr>Spain_ht_at_lockdown</vt:lpstr>
      <vt:lpstr>Start_data</vt:lpstr>
      <vt:lpstr>y_a_peak</vt:lpstr>
      <vt:lpstr>y_f_peak</vt:lpstr>
      <vt:lpstr>y_l_peak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 Franco Nali</dc:creator>
  <cp:lastModifiedBy>ampfn</cp:lastModifiedBy>
  <dcterms:created xsi:type="dcterms:W3CDTF">2015-06-05T18:17:20Z</dcterms:created>
  <dcterms:modified xsi:type="dcterms:W3CDTF">2020-04-30T01:12:39Z</dcterms:modified>
</cp:coreProperties>
</file>