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08BA1A12-AB82-444A-9B0B-ED1A783259D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Boltzmann fit'!$N$15</definedName>
    <definedName name="CId">'New_confirmed - Boltzmann fit'!$R$26</definedName>
    <definedName name="CIh">'Cumul_confirmed - Boltzmann fit'!$N$26</definedName>
    <definedName name="CIn">'New_confirmed - Boltzmann fit'!$R$15</definedName>
    <definedName name="Critical_t">'Cumul_confirmed - Boltzmann fit'!$N$14</definedName>
    <definedName name="Critical_td">'New_confirmed - Boltzmann fit'!$R$25</definedName>
    <definedName name="Critical_th">'Cumul_confirmed - Boltzmann fit'!$N$25</definedName>
    <definedName name="Critical_tn">'New_confirmed - Boltzmann fit'!$R$14</definedName>
    <definedName name="DatiEsterni_1" localSheetId="0" hidden="1">'dpc-covid19-ita-andamento-naz'!$A$1:$O$38</definedName>
    <definedName name="DatiEsterni_2" localSheetId="0" hidden="1">'dpc-covid19-ita-andamento-naz'!#REF!</definedName>
    <definedName name="df">'Cumul_confirmed - Boltzmann fit'!$N$11</definedName>
    <definedName name="dfd">'New_confirmed - Boltzmann fit'!$R$22</definedName>
    <definedName name="dfh">'Cumul_confirmed - Boltzmann fit'!$N$22</definedName>
    <definedName name="dfn">'New_confirmed - Boltzmann fit'!$R$11</definedName>
    <definedName name="dpc_covid19_ita_andamento_nazionale_1" localSheetId="1" hidden="1">'Cumul_confirmed - Boltzmann fit'!#REF!</definedName>
    <definedName name="E_end">'New_confirmed - Boltzmann fit'!$E$47</definedName>
    <definedName name="E_start">'New_confirmed - Boltzmann fit'!$E$7</definedName>
    <definedName name="G_end">'New_confirmed - Boltzmann fit'!$G$47</definedName>
    <definedName name="G_start">'New_confirmed - Boltzmann fit'!$G$7</definedName>
    <definedName name="K">'Cumul_confirmed - Boltzmann fit'!$N$7</definedName>
    <definedName name="K_end">'New_confirmed - Boltzmann fit'!$K$47</definedName>
    <definedName name="K_start">'New_confirmed - Boltzmann fit'!$K$7</definedName>
    <definedName name="Kd">'New_confirmed - Boltzmann fit'!$R$18</definedName>
    <definedName name="Kh">'Cumul_confirmed - Boltzmann fit'!$N$18</definedName>
    <definedName name="Kn">'New_confirmed - Boltzmann fit'!$R$7</definedName>
    <definedName name="M_end">'New_confirmed - Boltzmann fit'!$M$47</definedName>
    <definedName name="M_start">'New_confirmed - Boltzmann fit'!$M$7</definedName>
    <definedName name="Mean_of_y">'Cumul_confirmed - Boltzmann fit'!$N$10</definedName>
    <definedName name="Mean_of_yd">'New_confirmed - Boltzmann fit'!$R$21</definedName>
    <definedName name="Mean_of_yh">'Cumul_confirmed - Boltzmann fit'!$N$21</definedName>
    <definedName name="Mean_of_yn">'New_confirmed - Boltzmann fit'!$R$10</definedName>
    <definedName name="RSQ">'Cumul_confirmed - Boltzmann fit'!$N$13</definedName>
    <definedName name="RSQd">'New_confirmed - Boltzmann fit'!$R$24</definedName>
    <definedName name="RSQh">'Cumul_confirmed - Boltzmann fit'!$N$24</definedName>
    <definedName name="RSQn">'New_confirmed - Boltzmann fit'!$R$13</definedName>
    <definedName name="SE_of_y">'Cumul_confirmed - Boltzmann fit'!$N$12</definedName>
    <definedName name="SE_of_yd">'New_confirmed - Boltzmann fit'!$R$23</definedName>
    <definedName name="SE_of_yh">'Cumul_confirmed - Boltzmann fit'!$N$23</definedName>
    <definedName name="SE_of_yn">'New_confirmed - Boltzmann fit'!$R$12</definedName>
    <definedName name="solver_adj" localSheetId="1" hidden="1">'Cumul_confirmed - Boltzmann fit'!$N$18,'Cumul_confirmed - Boltzmann fit'!$N$19,'Cumul_confirmed - Boltzmann fit'!$N$20</definedName>
    <definedName name="solver_adj" localSheetId="2" hidden="1">'New_confirmed - Boltzmann fit'!$R$7,'New_confirmed - Boltzmann fit'!$R$8,'New_confirmed - Boltzmann fit'!$R$9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 fit'!$N$18</definedName>
    <definedName name="solver_lhs1" localSheetId="2" hidden="1">'New_confirmed - Boltzmann fit'!$R$7</definedName>
    <definedName name="solver_lhs2" localSheetId="1" hidden="1">'Cumul_confirmed - Boltzmann fit'!$N$19</definedName>
    <definedName name="solver_lhs2" localSheetId="2" hidden="1">'New_confirmed - Boltzmann fit'!$R$8</definedName>
    <definedName name="solver_lhs3" localSheetId="1" hidden="1">'Cumul_confirmed - Boltzmann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'Cumul_confirmed - Boltzmann fit'!$N$24</definedName>
    <definedName name="solver_opt" localSheetId="2" hidden="1">'New_confirmed - Boltzmann fit'!$R$13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fit'!$N$8</definedName>
    <definedName name="t0d">'New_confirmed - Boltzmann fit'!$R$19</definedName>
    <definedName name="t0h">'Cumul_confirmed - Boltzmann fit'!$N$19</definedName>
    <definedName name="t0n">'New_confirmed - Boltzmann fit'!$R$8</definedName>
    <definedName name="w">'Cumul_confirmed - Boltzmann fit'!$N$9</definedName>
    <definedName name="wd">'New_confirmed - Boltzmann fit'!$R$20</definedName>
    <definedName name="wh">'Cumul_confirmed - Boltzmann fit'!$N$20</definedName>
    <definedName name="wn">'New_confirmed - Boltzmann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1" i="19" l="1"/>
  <c r="K47" i="19"/>
  <c r="J47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11" i="19"/>
  <c r="E47" i="19"/>
  <c r="D47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11" i="19"/>
  <c r="N22" i="12"/>
  <c r="N21" i="12"/>
  <c r="N11" i="12"/>
  <c r="N10" i="12"/>
  <c r="H47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11" i="12"/>
  <c r="D47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11" i="12"/>
  <c r="R27" i="19" l="1"/>
  <c r="R16" i="19"/>
  <c r="K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" i="19"/>
  <c r="G7" i="19" s="1"/>
  <c r="K44" i="19"/>
  <c r="K46" i="19"/>
  <c r="K16" i="19"/>
  <c r="K18" i="19"/>
  <c r="K19" i="19"/>
  <c r="K28" i="19"/>
  <c r="K30" i="19"/>
  <c r="K31" i="19"/>
  <c r="K32" i="19"/>
  <c r="K36" i="19"/>
  <c r="K38" i="19"/>
  <c r="K40" i="19"/>
  <c r="K45" i="19"/>
  <c r="K9" i="19"/>
  <c r="K10" i="19"/>
  <c r="K14" i="19"/>
  <c r="K17" i="19"/>
  <c r="K23" i="19"/>
  <c r="K24" i="19"/>
  <c r="K26" i="19"/>
  <c r="K29" i="19"/>
  <c r="K35" i="19"/>
  <c r="K41" i="19"/>
  <c r="K42" i="19"/>
  <c r="K43" i="19"/>
  <c r="K11" i="19"/>
  <c r="E45" i="19"/>
  <c r="K8" i="19"/>
  <c r="E7" i="19"/>
  <c r="E8" i="19"/>
  <c r="E9" i="19"/>
  <c r="E10" i="19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" i="12"/>
  <c r="N24" i="12" l="1" a="1"/>
  <c r="N24" i="12" s="1"/>
  <c r="N23" i="12" a="1"/>
  <c r="N23" i="12" s="1"/>
  <c r="R22" i="19"/>
  <c r="R25" i="19" s="1"/>
  <c r="K15" i="19"/>
  <c r="K12" i="19"/>
  <c r="K37" i="19"/>
  <c r="K25" i="19"/>
  <c r="K13" i="19"/>
  <c r="E46" i="19"/>
  <c r="K27" i="19"/>
  <c r="K33" i="19"/>
  <c r="K21" i="19"/>
  <c r="K20" i="19"/>
  <c r="K39" i="19"/>
  <c r="G8" i="19"/>
  <c r="K34" i="19"/>
  <c r="K22" i="19"/>
  <c r="M67" i="19"/>
  <c r="G11" i="19"/>
  <c r="G10" i="19"/>
  <c r="M56" i="19"/>
  <c r="M62" i="19"/>
  <c r="M54" i="19"/>
  <c r="M51" i="19"/>
  <c r="M68" i="19"/>
  <c r="M55" i="19"/>
  <c r="M69" i="19"/>
  <c r="M70" i="19"/>
  <c r="M59" i="19"/>
  <c r="M49" i="19"/>
  <c r="M63" i="19"/>
  <c r="M53" i="19"/>
  <c r="M64" i="19"/>
  <c r="M48" i="19"/>
  <c r="M66" i="19"/>
  <c r="M57" i="19"/>
  <c r="M58" i="19"/>
  <c r="M65" i="19"/>
  <c r="M60" i="19"/>
  <c r="M50" i="19"/>
  <c r="M52" i="19"/>
  <c r="M61" i="19"/>
  <c r="G9" i="19"/>
  <c r="E7" i="12"/>
  <c r="E8" i="12"/>
  <c r="E9" i="12"/>
  <c r="E10" i="12"/>
  <c r="E44" i="19" l="1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11" i="12"/>
  <c r="N13" i="12" l="1" a="1"/>
  <c r="N13" i="12" s="1"/>
  <c r="N12" i="12" a="1"/>
  <c r="N12" i="12" s="1"/>
  <c r="N25" i="12"/>
  <c r="E43" i="19"/>
  <c r="E11" i="19"/>
  <c r="E37" i="19" l="1"/>
  <c r="E25" i="19"/>
  <c r="E13" i="19"/>
  <c r="E33" i="19"/>
  <c r="E21" i="19"/>
  <c r="E32" i="19"/>
  <c r="E20" i="19"/>
  <c r="E38" i="19"/>
  <c r="E26" i="19"/>
  <c r="E14" i="19"/>
  <c r="E36" i="19"/>
  <c r="E24" i="19"/>
  <c r="E31" i="19"/>
  <c r="E19" i="19"/>
  <c r="E39" i="19"/>
  <c r="E27" i="19"/>
  <c r="E34" i="19"/>
  <c r="E22" i="19"/>
  <c r="E41" i="19"/>
  <c r="E29" i="19"/>
  <c r="E17" i="19"/>
  <c r="N26" i="12"/>
  <c r="E15" i="19"/>
  <c r="E40" i="19"/>
  <c r="E28" i="19"/>
  <c r="E16" i="19"/>
  <c r="E35" i="19"/>
  <c r="E23" i="19"/>
  <c r="E18" i="19"/>
  <c r="E42" i="19"/>
  <c r="E30" i="19"/>
  <c r="J47" i="12" l="1"/>
  <c r="K47" i="12"/>
  <c r="K8" i="12"/>
  <c r="K20" i="12"/>
  <c r="K32" i="12"/>
  <c r="K44" i="12"/>
  <c r="J16" i="12"/>
  <c r="J28" i="12"/>
  <c r="J29" i="12"/>
  <c r="K9" i="12"/>
  <c r="K21" i="12"/>
  <c r="K33" i="12"/>
  <c r="J17" i="12"/>
  <c r="K10" i="12"/>
  <c r="K22" i="12"/>
  <c r="K34" i="12"/>
  <c r="K46" i="12"/>
  <c r="J18" i="12"/>
  <c r="K11" i="12"/>
  <c r="K23" i="12"/>
  <c r="K35" i="12"/>
  <c r="K7" i="12"/>
  <c r="J19" i="12"/>
  <c r="J31" i="12"/>
  <c r="J43" i="12"/>
  <c r="J13" i="12"/>
  <c r="K12" i="12"/>
  <c r="K24" i="12"/>
  <c r="K36" i="12"/>
  <c r="J8" i="12"/>
  <c r="J20" i="12"/>
  <c r="J32" i="12"/>
  <c r="J44" i="12"/>
  <c r="J25" i="12"/>
  <c r="K13" i="12"/>
  <c r="K25" i="12"/>
  <c r="K37" i="12"/>
  <c r="J9" i="12"/>
  <c r="J21" i="12"/>
  <c r="J33" i="12"/>
  <c r="J45" i="12"/>
  <c r="K39" i="12"/>
  <c r="J35" i="12"/>
  <c r="K40" i="12"/>
  <c r="J24" i="12"/>
  <c r="J30" i="12"/>
  <c r="K14" i="12"/>
  <c r="K26" i="12"/>
  <c r="K38" i="12"/>
  <c r="J10" i="12"/>
  <c r="J22" i="12"/>
  <c r="J34" i="12"/>
  <c r="J46" i="12"/>
  <c r="K27" i="12"/>
  <c r="J11" i="12"/>
  <c r="J7" i="12"/>
  <c r="K28" i="12"/>
  <c r="J36" i="12"/>
  <c r="J42" i="12"/>
  <c r="K15" i="12"/>
  <c r="J23" i="12"/>
  <c r="J12" i="12"/>
  <c r="J37" i="12"/>
  <c r="K16" i="12"/>
  <c r="K17" i="12"/>
  <c r="K29" i="12"/>
  <c r="K41" i="12"/>
  <c r="K18" i="12"/>
  <c r="K30" i="12"/>
  <c r="K42" i="12"/>
  <c r="J14" i="12"/>
  <c r="J26" i="12"/>
  <c r="J38" i="12"/>
  <c r="K19" i="12"/>
  <c r="K31" i="12"/>
  <c r="K43" i="12"/>
  <c r="J15" i="12"/>
  <c r="J27" i="12"/>
  <c r="J39" i="12"/>
  <c r="J40" i="12"/>
  <c r="K45" i="12"/>
  <c r="J41" i="12"/>
  <c r="G64" i="19"/>
  <c r="G52" i="19"/>
  <c r="G40" i="19"/>
  <c r="G34" i="19"/>
  <c r="G28" i="19"/>
  <c r="G22" i="19"/>
  <c r="G16" i="19"/>
  <c r="E12" i="19"/>
  <c r="R11" i="19" l="1"/>
  <c r="R10" i="19"/>
  <c r="G51" i="19"/>
  <c r="G46" i="19"/>
  <c r="G41" i="19"/>
  <c r="G53" i="19"/>
  <c r="G65" i="19"/>
  <c r="G19" i="19"/>
  <c r="G57" i="19"/>
  <c r="G60" i="19"/>
  <c r="G39" i="19"/>
  <c r="G14" i="19"/>
  <c r="G63" i="19"/>
  <c r="G45" i="19"/>
  <c r="G37" i="19"/>
  <c r="G25" i="19"/>
  <c r="G26" i="19"/>
  <c r="G32" i="19"/>
  <c r="G38" i="19"/>
  <c r="G48" i="19"/>
  <c r="G20" i="19"/>
  <c r="G17" i="19"/>
  <c r="G23" i="19"/>
  <c r="G29" i="19"/>
  <c r="G35" i="19"/>
  <c r="G42" i="19"/>
  <c r="G54" i="19"/>
  <c r="G66" i="19"/>
  <c r="G67" i="19"/>
  <c r="G36" i="19"/>
  <c r="G44" i="19"/>
  <c r="G56" i="19"/>
  <c r="G68" i="19"/>
  <c r="G58" i="19"/>
  <c r="G70" i="19"/>
  <c r="G12" i="19"/>
  <c r="G24" i="19"/>
  <c r="G47" i="19"/>
  <c r="G59" i="19"/>
  <c r="G43" i="19"/>
  <c r="G13" i="19"/>
  <c r="G61" i="19"/>
  <c r="G15" i="19"/>
  <c r="G27" i="19"/>
  <c r="G33" i="19"/>
  <c r="G50" i="19"/>
  <c r="G62" i="19"/>
  <c r="G30" i="19"/>
  <c r="G49" i="19"/>
  <c r="G21" i="19"/>
  <c r="G55" i="19"/>
  <c r="G69" i="19"/>
  <c r="G31" i="19"/>
  <c r="G18" i="19"/>
  <c r="R13" i="19" l="1" a="1"/>
  <c r="R13" i="19" s="1"/>
  <c r="R12" i="19" a="1"/>
  <c r="R12" i="19" s="1"/>
  <c r="R14" i="19"/>
  <c r="R15" i="19" l="1"/>
  <c r="H47" i="19" l="1"/>
  <c r="I47" i="19"/>
  <c r="H46" i="19"/>
  <c r="I46" i="19"/>
  <c r="H45" i="19"/>
  <c r="I45" i="19"/>
  <c r="I44" i="19"/>
  <c r="H7" i="19"/>
  <c r="I8" i="19"/>
  <c r="H10" i="19"/>
  <c r="I7" i="19"/>
  <c r="M7" i="19" s="1"/>
  <c r="H8" i="19"/>
  <c r="I10" i="19"/>
  <c r="I9" i="19"/>
  <c r="H9" i="19"/>
  <c r="I22" i="19"/>
  <c r="I33" i="19"/>
  <c r="I21" i="19"/>
  <c r="H24" i="19"/>
  <c r="I42" i="19"/>
  <c r="I16" i="19"/>
  <c r="H44" i="19"/>
  <c r="H40" i="19"/>
  <c r="I24" i="19"/>
  <c r="I30" i="19"/>
  <c r="I18" i="19"/>
  <c r="H28" i="19"/>
  <c r="I28" i="19"/>
  <c r="I12" i="19"/>
  <c r="H39" i="19"/>
  <c r="H43" i="19"/>
  <c r="H13" i="19"/>
  <c r="H27" i="19"/>
  <c r="I39" i="19"/>
  <c r="I13" i="19"/>
  <c r="H19" i="19"/>
  <c r="H16" i="19"/>
  <c r="I41" i="19"/>
  <c r="H36" i="19"/>
  <c r="I27" i="19"/>
  <c r="H23" i="19"/>
  <c r="I15" i="19"/>
  <c r="H15" i="19"/>
  <c r="I14" i="19"/>
  <c r="H12" i="19"/>
  <c r="H33" i="19"/>
  <c r="H31" i="19"/>
  <c r="I35" i="19"/>
  <c r="I32" i="19"/>
  <c r="H21" i="19"/>
  <c r="I23" i="19"/>
  <c r="I20" i="19"/>
  <c r="H38" i="19"/>
  <c r="H35" i="19"/>
  <c r="I29" i="19"/>
  <c r="H26" i="19"/>
  <c r="I43" i="19"/>
  <c r="I17" i="19"/>
  <c r="I11" i="19"/>
  <c r="H14" i="19"/>
  <c r="H42" i="19"/>
  <c r="I31" i="19"/>
  <c r="M31" i="19" s="1"/>
  <c r="H11" i="19"/>
  <c r="H18" i="19"/>
  <c r="H30" i="19"/>
  <c r="I34" i="19"/>
  <c r="M34" i="19" s="1"/>
  <c r="I26" i="19"/>
  <c r="I19" i="19"/>
  <c r="H32" i="19"/>
  <c r="H41" i="19"/>
  <c r="I38" i="19"/>
  <c r="H37" i="19"/>
  <c r="H29" i="19"/>
  <c r="H34" i="19"/>
  <c r="H20" i="19"/>
  <c r="I37" i="19"/>
  <c r="I25" i="19"/>
  <c r="M25" i="19" s="1"/>
  <c r="H25" i="19"/>
  <c r="H17" i="19"/>
  <c r="H22" i="19"/>
  <c r="I40" i="19"/>
  <c r="I36" i="19"/>
  <c r="N14" i="12"/>
  <c r="M47" i="19" l="1"/>
  <c r="M46" i="19"/>
  <c r="M17" i="19"/>
  <c r="M12" i="19"/>
  <c r="M40" i="19"/>
  <c r="M15" i="19"/>
  <c r="M18" i="19"/>
  <c r="M10" i="19"/>
  <c r="M37" i="19"/>
  <c r="M27" i="19"/>
  <c r="M9" i="19"/>
  <c r="M41" i="19"/>
  <c r="M22" i="19"/>
  <c r="M20" i="19"/>
  <c r="M36" i="19"/>
  <c r="M43" i="19"/>
  <c r="M26" i="19"/>
  <c r="M21" i="19"/>
  <c r="M33" i="19"/>
  <c r="M23" i="19"/>
  <c r="M28" i="19"/>
  <c r="M30" i="19"/>
  <c r="M35" i="19"/>
  <c r="M24" i="19"/>
  <c r="M13" i="19"/>
  <c r="M38" i="19"/>
  <c r="M39" i="19"/>
  <c r="M11" i="19"/>
  <c r="M16" i="19"/>
  <c r="M8" i="19"/>
  <c r="M32" i="19"/>
  <c r="M19" i="19"/>
  <c r="M14" i="19"/>
  <c r="M42" i="19"/>
  <c r="M29" i="19"/>
  <c r="M45" i="19"/>
  <c r="M44" i="19"/>
  <c r="N15" i="12"/>
  <c r="R23" i="19" l="1" a="1"/>
  <c r="R23" i="19" s="1"/>
  <c r="R26" i="19" s="1"/>
  <c r="F47" i="12"/>
  <c r="G47" i="12"/>
  <c r="R24" i="19" a="1"/>
  <c r="R24" i="19" s="1"/>
  <c r="G46" i="12"/>
  <c r="F46" i="12"/>
  <c r="G8" i="12"/>
  <c r="F7" i="12"/>
  <c r="G10" i="12"/>
  <c r="G7" i="12"/>
  <c r="G9" i="12"/>
  <c r="F8" i="12"/>
  <c r="F9" i="12"/>
  <c r="F10" i="12"/>
  <c r="F45" i="12"/>
  <c r="G45" i="12"/>
  <c r="F44" i="12"/>
  <c r="G44" i="12"/>
  <c r="G43" i="12"/>
  <c r="F43" i="12"/>
  <c r="G42" i="12"/>
  <c r="F42" i="12"/>
  <c r="F41" i="12"/>
  <c r="G41" i="12"/>
  <c r="G40" i="12"/>
  <c r="F40" i="12"/>
  <c r="F39" i="12"/>
  <c r="G39" i="12"/>
  <c r="G37" i="12"/>
  <c r="F38" i="12"/>
  <c r="G38" i="12"/>
  <c r="G29" i="12"/>
  <c r="G14" i="12"/>
  <c r="G19" i="12"/>
  <c r="G35" i="12"/>
  <c r="G24" i="12"/>
  <c r="G17" i="12"/>
  <c r="G26" i="12"/>
  <c r="G18" i="12"/>
  <c r="G23" i="12"/>
  <c r="G30" i="12"/>
  <c r="G13" i="12"/>
  <c r="G32" i="12"/>
  <c r="G12" i="12"/>
  <c r="G11" i="12"/>
  <c r="G25" i="12"/>
  <c r="G34" i="12"/>
  <c r="G15" i="12"/>
  <c r="G31" i="12"/>
  <c r="G27" i="12"/>
  <c r="G21" i="12"/>
  <c r="G22" i="12"/>
  <c r="G16" i="12"/>
  <c r="G20" i="12"/>
  <c r="G36" i="12"/>
  <c r="G28" i="12"/>
  <c r="G33" i="12"/>
  <c r="F37" i="12"/>
  <c r="F36" i="12"/>
  <c r="F19" i="12"/>
  <c r="F15" i="12"/>
  <c r="F21" i="12"/>
  <c r="F28" i="12"/>
  <c r="F17" i="12"/>
  <c r="F34" i="12"/>
  <c r="F13" i="12"/>
  <c r="F26" i="12"/>
  <c r="F11" i="12"/>
  <c r="F33" i="12"/>
  <c r="F31" i="12"/>
  <c r="F27" i="12"/>
  <c r="F29" i="12"/>
  <c r="F30" i="12"/>
  <c r="F32" i="12"/>
  <c r="F35" i="12"/>
  <c r="F14" i="12"/>
  <c r="F22" i="12"/>
  <c r="F24" i="12"/>
  <c r="F25" i="12"/>
  <c r="F23" i="12"/>
  <c r="F16" i="12"/>
  <c r="F20" i="12"/>
  <c r="F18" i="12"/>
  <c r="F12" i="12"/>
  <c r="O43" i="19" l="1"/>
  <c r="O47" i="19"/>
  <c r="N47" i="19"/>
  <c r="N18" i="19"/>
  <c r="N28" i="19"/>
  <c r="O19" i="19"/>
  <c r="O41" i="19"/>
  <c r="N23" i="19"/>
  <c r="O11" i="19"/>
  <c r="O26" i="19"/>
  <c r="N19" i="19"/>
  <c r="O33" i="19"/>
  <c r="N39" i="19"/>
  <c r="O14" i="19"/>
  <c r="N41" i="19"/>
  <c r="O28" i="19"/>
  <c r="O18" i="19"/>
  <c r="N33" i="19"/>
  <c r="O29" i="19"/>
  <c r="N32" i="19"/>
  <c r="N10" i="19"/>
  <c r="O27" i="19"/>
  <c r="N24" i="19"/>
  <c r="N40" i="19"/>
  <c r="N26" i="19"/>
  <c r="N16" i="19"/>
  <c r="N29" i="19"/>
  <c r="O32" i="19"/>
  <c r="O10" i="19"/>
  <c r="N27" i="19"/>
  <c r="O24" i="19"/>
  <c r="N38" i="19"/>
  <c r="O23" i="19"/>
  <c r="N14" i="19"/>
  <c r="O15" i="19"/>
  <c r="O42" i="19"/>
  <c r="O30" i="19"/>
  <c r="N9" i="19"/>
  <c r="N46" i="19"/>
  <c r="N11" i="19"/>
  <c r="O40" i="19"/>
  <c r="O38" i="19"/>
  <c r="O39" i="19"/>
  <c r="O16" i="19"/>
  <c r="N13" i="19"/>
  <c r="N15" i="19"/>
  <c r="O13" i="19"/>
  <c r="N42" i="19"/>
  <c r="N30" i="19"/>
  <c r="O9" i="19"/>
  <c r="O46" i="19"/>
  <c r="N21" i="19"/>
  <c r="N20" i="19"/>
  <c r="N45" i="19"/>
  <c r="N35" i="19"/>
  <c r="N44" i="19"/>
  <c r="N36" i="19"/>
  <c r="O21" i="19"/>
  <c r="O20" i="19"/>
  <c r="O45" i="19"/>
  <c r="O35" i="19"/>
  <c r="O44" i="19"/>
  <c r="O36" i="19"/>
  <c r="N8" i="19"/>
  <c r="N12" i="19"/>
  <c r="N22" i="19"/>
  <c r="N37" i="19"/>
  <c r="O17" i="19"/>
  <c r="N31" i="19"/>
  <c r="O31" i="19"/>
  <c r="O25" i="19"/>
  <c r="O34" i="19"/>
  <c r="N34" i="19"/>
  <c r="O7" i="19"/>
  <c r="N7" i="19"/>
  <c r="N25" i="19"/>
  <c r="O8" i="19"/>
  <c r="O12" i="19"/>
  <c r="O22" i="19"/>
  <c r="O37" i="19"/>
  <c r="N17" i="19"/>
  <c r="N4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tc={72AF2297-8B28-419B-B702-DE9C5B9C6056}</author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72AF2297-8B28-419B-B702-DE9C5B9C605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7" authorId="2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6" authorId="5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tc={6ABD3661-8066-4E44-BA0D-35D35302F623}</author>
    <author>tc={6F280F21-F37E-4D54-8202-F02FF9F60413}</author>
    <author>tc={8C2E90DC-6FBB-4F6F-A491-7F04B14E3003}</author>
    <author>tc={165FF3CB-B6DD-4A5B-BEAB-465BE46910E5}</author>
    <author>tc={7F2EC179-DDA6-4C29-9AE2-3E7B978CA4FE}</author>
    <author>tc={330B5948-4F91-4530-8246-D8E052E48EC7}</author>
    <author>tc={B00751F2-9E53-4B46-A4E1-C852EDF26698}</author>
    <author>tc={F0A6F119-92D4-458E-9366-D89100014E7A}</author>
  </authors>
  <commentList>
    <comment ref="B7" authorId="0" shapeId="0" xr:uid="{6ABD3661-8066-4E44-BA0D-35D35302F62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6F280F21-F37E-4D54-8202-F02FF9F6041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7" authorId="2" shapeId="0" xr:uid="{8C2E90DC-6FBB-4F6F-A491-7F04B14E300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165FF3CB-B6DD-4A5B-BEAB-465BE46910E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7F2EC179-DDA6-4C29-9AE2-3E7B978CA4F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6" authorId="5" shapeId="0" xr:uid="{330B5948-4F91-4530-8246-D8E052E48EC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B00751F2-9E53-4B46-A4E1-C852EDF266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F0A6F119-92D4-458E-9366-D89100014E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86DEF9B-B6EF-473E-B763-5372677BF1D3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<sst xmlns="http://schemas.openxmlformats.org/spreadsheetml/2006/main" count="210" uniqueCount="73">
  <si>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</si>
  <si>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</si>
  <si>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</si>
  <si>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</si>
  <si>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</si>
  <si>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</si>
  <si>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</si>
  <si>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</si>
  <si>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</si>
  <si>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</si>
  <si>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</si>
  <si>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</si>
  <si>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</si>
  <si>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</si>
  <si>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</si>
  <si>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</si>
  <si>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</si>
  <si>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</si>
  <si>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</si>
  <si>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</si>
  <si>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</si>
  <si>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</si>
  <si>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</si>
  <si>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</si>
  <si>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</si>
  <si>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</si>
  <si>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</si>
  <si>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</si>
  <si>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</si>
  <si>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</si>
  <si>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</si>
  <si>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</si>
  <si>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</si>
  <si>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</si>
  <si>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</si>
  <si>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</si>
  <si>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</si>
  <si>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</si>
  <si>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</si>
  <si>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</si>
  <si>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</si>
  <si>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</si>
  <si>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</si>
  <si>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</si>
  <si>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</si>
  <si>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</si>
  <si>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</si>
  <si>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Confirmed fit</t>
  </si>
  <si>
    <t>C. Upper CI</t>
  </si>
  <si>
    <t>C. Lower CI</t>
  </si>
  <si>
    <t>Confirmed</t>
  </si>
  <si>
    <t>pd-IT-0009</t>
  </si>
  <si>
    <t>pd-EN-0009</t>
  </si>
  <si>
    <t>Deaths</t>
  </si>
  <si>
    <t>Deaths fit</t>
  </si>
  <si>
    <t>saturation value - constraint (integer)</t>
  </si>
  <si>
    <t>crossover point - constraint (integer)</t>
  </si>
  <si>
    <t>Solver method: GRG non linear engine - option: integer optimization 0%</t>
  </si>
  <si>
    <t>width of crossover region - constraint (none)</t>
  </si>
  <si>
    <t>Cum_fit</t>
  </si>
  <si>
    <t>New_fit</t>
  </si>
  <si>
    <t>Cum_deaths</t>
  </si>
  <si>
    <t>New deaths</t>
  </si>
  <si>
    <t>Cum_D_fit</t>
  </si>
  <si>
    <t>New_D_fit</t>
  </si>
  <si>
    <t>ND_Upper CI</t>
  </si>
  <si>
    <t>ND_Lower CI</t>
  </si>
  <si>
    <t>K/4w=</t>
  </si>
  <si>
    <t>D. Upper CI</t>
  </si>
  <si>
    <t>D. Lower CI</t>
  </si>
  <si>
    <t>totale_positivi</t>
  </si>
  <si>
    <t>variazione_totale_positivi</t>
  </si>
  <si>
    <t>nuovi_positivi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</si>
</sst>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3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1" fillId="0" borderId="0" xfId="0" applyFont="1" applyFill="1"/>
    <xf numFmtId="0" fontId="10" fillId="0" borderId="0" xfId="0" applyFont="1" applyFill="1"/>
    <xf numFmtId="1" fontId="11" fillId="0" borderId="0" xfId="0" applyNumberFormat="1" applyFont="1"/>
    <xf numFmtId="1" fontId="10" fillId="0" borderId="0" xfId="0" applyNumberFormat="1" applyFont="1"/>
    <xf numFmtId="0" fontId="11" fillId="0" borderId="0" xfId="0" applyFont="1" applyAlignment="1">
      <alignment horizontal="center" wrapText="1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Cumulative Cases and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fit'!$D$7:$D$46</c:f>
              <c:numCache>
                <c:formatCode>0</c:formatCode>
                <c:ptCount val="40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fit'!$E$7:$E$70</c:f>
              <c:numCache>
                <c:formatCode>0</c:formatCode>
                <c:ptCount val="64"/>
                <c:pt idx="0">
                  <c:v>247.54003122429097</c:v>
                </c:pt>
                <c:pt idx="1">
                  <c:v>302.02903059899893</c:v>
                </c:pt>
                <c:pt idx="2">
                  <c:v>368.47534900974944</c:v>
                </c:pt>
                <c:pt idx="3">
                  <c:v>449.48494748871258</c:v>
                </c:pt>
                <c:pt idx="4">
                  <c:v>548.22295241404925</c:v>
                </c:pt>
                <c:pt idx="5">
                  <c:v>668.52936486171018</c:v>
                </c:pt>
                <c:pt idx="6">
                  <c:v>815.05662821226565</c:v>
                </c:pt>
                <c:pt idx="7">
                  <c:v>993.43214866772041</c:v>
                </c:pt>
                <c:pt idx="8">
                  <c:v>1210.4487567506351</c:v>
                </c:pt>
                <c:pt idx="9">
                  <c:v>1474.2856262302491</c:v>
                </c:pt>
                <c:pt idx="10">
                  <c:v>1794.7611171908595</c:v>
                </c:pt>
                <c:pt idx="11">
                  <c:v>2183.6170830125111</c:v>
                </c:pt>
                <c:pt idx="12">
                  <c:v>2654.8309717561801</c:v>
                </c:pt>
                <c:pt idx="13">
                  <c:v>3224.9470364496447</c:v>
                </c:pt>
                <c:pt idx="14">
                  <c:v>3913.4105086610871</c:v>
                </c:pt>
                <c:pt idx="15">
                  <c:v>4742.8779835825962</c:v>
                </c:pt>
                <c:pt idx="16">
                  <c:v>5739.4628730948625</c:v>
                </c:pt>
                <c:pt idx="17">
                  <c:v>6932.8562861784658</c:v>
                </c:pt>
                <c:pt idx="18">
                  <c:v>8356.2415440607347</c:v>
                </c:pt>
                <c:pt idx="19">
                  <c:v>10045.896647957543</c:v>
                </c:pt>
                <c:pt idx="20">
                  <c:v>12040.357709566522</c:v>
                </c:pt>
                <c:pt idx="21">
                  <c:v>14379.00536134924</c:v>
                </c:pt>
                <c:pt idx="22">
                  <c:v>17099.947263101145</c:v>
                </c:pt>
                <c:pt idx="23">
                  <c:v>20237.118210234603</c:v>
                </c:pt>
                <c:pt idx="24">
                  <c:v>23816.620482887993</c:v>
                </c:pt>
                <c:pt idx="25">
                  <c:v>27852.489750876866</c:v>
                </c:pt>
                <c:pt idx="26">
                  <c:v>32342.287523570791</c:v>
                </c:pt>
                <c:pt idx="27">
                  <c:v>37263.152436952842</c:v>
                </c:pt>
                <c:pt idx="28">
                  <c:v>42569.118379844782</c:v>
                </c:pt>
                <c:pt idx="29">
                  <c:v>48190.534006249203</c:v>
                </c:pt>
                <c:pt idx="30">
                  <c:v>54036.214137479685</c:v>
                </c:pt>
                <c:pt idx="31">
                  <c:v>59998.5</c:v>
                </c:pt>
                <c:pt idx="32">
                  <c:v>65960.785862520323</c:v>
                </c:pt>
                <c:pt idx="33">
                  <c:v>71806.465993750797</c:v>
                </c:pt>
                <c:pt idx="34">
                  <c:v>77427.881620155225</c:v>
                </c:pt>
                <c:pt idx="35">
                  <c:v>82733.847563047166</c:v>
                </c:pt>
                <c:pt idx="36">
                  <c:v>87654.712476429209</c:v>
                </c:pt>
                <c:pt idx="37">
                  <c:v>92144.510249123137</c:v>
                </c:pt>
                <c:pt idx="38">
                  <c:v>96180.379517112015</c:v>
                </c:pt>
                <c:pt idx="39">
                  <c:v>99759.881789765393</c:v>
                </c:pt>
                <c:pt idx="40">
                  <c:v>102897.05273689886</c:v>
                </c:pt>
                <c:pt idx="41">
                  <c:v>105617.99463865077</c:v>
                </c:pt>
                <c:pt idx="42">
                  <c:v>107956.64229043348</c:v>
                </c:pt>
                <c:pt idx="43">
                  <c:v>109951.10335204247</c:v>
                </c:pt>
                <c:pt idx="44">
                  <c:v>111640.75845593927</c:v>
                </c:pt>
                <c:pt idx="45">
                  <c:v>113064.14371382154</c:v>
                </c:pt>
                <c:pt idx="46">
                  <c:v>114257.53712690514</c:v>
                </c:pt>
                <c:pt idx="47">
                  <c:v>115254.1220164174</c:v>
                </c:pt>
                <c:pt idx="48">
                  <c:v>116083.58949133892</c:v>
                </c:pt>
                <c:pt idx="49">
                  <c:v>116772.05296355035</c:v>
                </c:pt>
                <c:pt idx="50">
                  <c:v>117342.16902824382</c:v>
                </c:pt>
                <c:pt idx="51">
                  <c:v>117813.3829169875</c:v>
                </c:pt>
                <c:pt idx="52">
                  <c:v>118202.23888280914</c:v>
                </c:pt>
                <c:pt idx="53">
                  <c:v>118522.71437376976</c:v>
                </c:pt>
                <c:pt idx="54">
                  <c:v>118786.55124324937</c:v>
                </c:pt>
                <c:pt idx="55">
                  <c:v>119003.56785133228</c:v>
                </c:pt>
                <c:pt idx="56">
                  <c:v>119181.94337178773</c:v>
                </c:pt>
                <c:pt idx="57">
                  <c:v>119328.47063513829</c:v>
                </c:pt>
                <c:pt idx="58">
                  <c:v>119448.77704758594</c:v>
                </c:pt>
                <c:pt idx="59">
                  <c:v>119547.5150525113</c:v>
                </c:pt>
                <c:pt idx="60">
                  <c:v>119628.52465099025</c:v>
                </c:pt>
                <c:pt idx="61">
                  <c:v>119694.97096940101</c:v>
                </c:pt>
                <c:pt idx="62">
                  <c:v>119749.4599687757</c:v>
                </c:pt>
                <c:pt idx="63">
                  <c:v>119794.13527918728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fit'!$F$7:$F$46</c:f>
              <c:numCache>
                <c:formatCode>0</c:formatCode>
                <c:ptCount val="40"/>
                <c:pt idx="0">
                  <c:v>2654.3724595565805</c:v>
                </c:pt>
                <c:pt idx="1">
                  <c:v>2708.8614589312883</c:v>
                </c:pt>
                <c:pt idx="2">
                  <c:v>2775.3077773420391</c:v>
                </c:pt>
                <c:pt idx="3">
                  <c:v>2856.3173758210023</c:v>
                </c:pt>
                <c:pt idx="4">
                  <c:v>2955.0553807463389</c:v>
                </c:pt>
                <c:pt idx="5">
                  <c:v>3075.3617931939998</c:v>
                </c:pt>
                <c:pt idx="6">
                  <c:v>3221.8890565445554</c:v>
                </c:pt>
                <c:pt idx="7">
                  <c:v>3400.2645770000099</c:v>
                </c:pt>
                <c:pt idx="8">
                  <c:v>3617.2811850829248</c:v>
                </c:pt>
                <c:pt idx="9">
                  <c:v>3881.1180545625384</c:v>
                </c:pt>
                <c:pt idx="10">
                  <c:v>4201.5935455231493</c:v>
                </c:pt>
                <c:pt idx="11">
                  <c:v>4590.4495113448011</c:v>
                </c:pt>
                <c:pt idx="12">
                  <c:v>5061.6634000884696</c:v>
                </c:pt>
                <c:pt idx="13">
                  <c:v>5631.7794647819337</c:v>
                </c:pt>
                <c:pt idx="14">
                  <c:v>6320.2429369933761</c:v>
                </c:pt>
                <c:pt idx="15">
                  <c:v>7149.7104119148862</c:v>
                </c:pt>
                <c:pt idx="16">
                  <c:v>8146.2953014271516</c:v>
                </c:pt>
                <c:pt idx="17">
                  <c:v>9339.6887145107557</c:v>
                </c:pt>
                <c:pt idx="18">
                  <c:v>10763.073972393024</c:v>
                </c:pt>
                <c:pt idx="19">
                  <c:v>12452.729076289832</c:v>
                </c:pt>
                <c:pt idx="20">
                  <c:v>14447.190137898811</c:v>
                </c:pt>
                <c:pt idx="21">
                  <c:v>16785.837789681529</c:v>
                </c:pt>
                <c:pt idx="22">
                  <c:v>19506.779691433436</c:v>
                </c:pt>
                <c:pt idx="23">
                  <c:v>22643.950638566894</c:v>
                </c:pt>
                <c:pt idx="24">
                  <c:v>26223.452911220284</c:v>
                </c:pt>
                <c:pt idx="25">
                  <c:v>30259.322179209157</c:v>
                </c:pt>
                <c:pt idx="26">
                  <c:v>34749.119951903078</c:v>
                </c:pt>
                <c:pt idx="27">
                  <c:v>39669.984865285129</c:v>
                </c:pt>
                <c:pt idx="28">
                  <c:v>44975.950808177069</c:v>
                </c:pt>
                <c:pt idx="29">
                  <c:v>50597.36643458149</c:v>
                </c:pt>
                <c:pt idx="30">
                  <c:v>56443.046565811972</c:v>
                </c:pt>
                <c:pt idx="31">
                  <c:v>62405.332428332287</c:v>
                </c:pt>
                <c:pt idx="32">
                  <c:v>68367.61829085261</c:v>
                </c:pt>
                <c:pt idx="33">
                  <c:v>74213.298422083084</c:v>
                </c:pt>
                <c:pt idx="34">
                  <c:v>79834.714048487513</c:v>
                </c:pt>
                <c:pt idx="35">
                  <c:v>85140.679991379453</c:v>
                </c:pt>
                <c:pt idx="36">
                  <c:v>90061.544904761497</c:v>
                </c:pt>
                <c:pt idx="37">
                  <c:v>94551.342677455425</c:v>
                </c:pt>
                <c:pt idx="38">
                  <c:v>98587.211945444302</c:v>
                </c:pt>
                <c:pt idx="39">
                  <c:v>102166.71421809768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Boltzmann fit'!$G$7:$G$46</c:f>
              <c:numCache>
                <c:formatCode>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247.99854342389062</c:v>
                </c:pt>
                <c:pt idx="13">
                  <c:v>818.11460811735515</c:v>
                </c:pt>
                <c:pt idx="14">
                  <c:v>1506.5780803287976</c:v>
                </c:pt>
                <c:pt idx="15">
                  <c:v>2336.0455552503067</c:v>
                </c:pt>
                <c:pt idx="16">
                  <c:v>3332.630444762573</c:v>
                </c:pt>
                <c:pt idx="17">
                  <c:v>4526.0238578461758</c:v>
                </c:pt>
                <c:pt idx="18">
                  <c:v>5949.4091157284456</c:v>
                </c:pt>
                <c:pt idx="19">
                  <c:v>7639.0642196252538</c:v>
                </c:pt>
                <c:pt idx="20">
                  <c:v>9633.5252812342333</c:v>
                </c:pt>
                <c:pt idx="21">
                  <c:v>11972.172933016951</c:v>
                </c:pt>
                <c:pt idx="22">
                  <c:v>14693.114834768856</c:v>
                </c:pt>
                <c:pt idx="23">
                  <c:v>17830.285781902312</c:v>
                </c:pt>
                <c:pt idx="24">
                  <c:v>21409.788054555702</c:v>
                </c:pt>
                <c:pt idx="25">
                  <c:v>25445.657322544575</c:v>
                </c:pt>
                <c:pt idx="26">
                  <c:v>29935.4550952385</c:v>
                </c:pt>
                <c:pt idx="27">
                  <c:v>34856.320008620554</c:v>
                </c:pt>
                <c:pt idx="28">
                  <c:v>40162.285951512495</c:v>
                </c:pt>
                <c:pt idx="29">
                  <c:v>45783.701577916916</c:v>
                </c:pt>
                <c:pt idx="30">
                  <c:v>51629.381709147397</c:v>
                </c:pt>
                <c:pt idx="31">
                  <c:v>57591.667571667713</c:v>
                </c:pt>
                <c:pt idx="32">
                  <c:v>63553.953434188035</c:v>
                </c:pt>
                <c:pt idx="33">
                  <c:v>69399.63356541851</c:v>
                </c:pt>
                <c:pt idx="34">
                  <c:v>75021.049191822938</c:v>
                </c:pt>
                <c:pt idx="35">
                  <c:v>80327.015134714879</c:v>
                </c:pt>
                <c:pt idx="36">
                  <c:v>85247.880048096922</c:v>
                </c:pt>
                <c:pt idx="37">
                  <c:v>89737.67782079085</c:v>
                </c:pt>
                <c:pt idx="38">
                  <c:v>93773.547088779727</c:v>
                </c:pt>
                <c:pt idx="39">
                  <c:v>97353.049361433106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Boltzmann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Boltzmann fit'!$H$7:$H$46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Boltzmann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fit'!$I$7:$I$70</c:f>
              <c:numCache>
                <c:formatCode>0</c:formatCode>
                <c:ptCount val="64"/>
                <c:pt idx="0">
                  <c:v>17.797860857715563</c:v>
                </c:pt>
                <c:pt idx="1">
                  <c:v>21.615547796184931</c:v>
                </c:pt>
                <c:pt idx="2">
                  <c:v>26.250806519549815</c:v>
                </c:pt>
                <c:pt idx="3">
                  <c:v>31.878090885859805</c:v>
                </c:pt>
                <c:pt idx="4">
                  <c:v>38.708779981351611</c:v>
                </c:pt>
                <c:pt idx="5">
                  <c:v>46.998851639781449</c:v>
                </c:pt>
                <c:pt idx="6">
                  <c:v>57.058083125907217</c:v>
                </c:pt>
                <c:pt idx="7">
                  <c:v>69.261050632607876</c:v>
                </c:pt>
                <c:pt idx="8">
                  <c:v>84.060231714974122</c:v>
                </c:pt>
                <c:pt idx="9">
                  <c:v>102.00154265616986</c:v>
                </c:pt>
                <c:pt idx="10">
                  <c:v>123.74266009400732</c:v>
                </c:pt>
                <c:pt idx="11">
                  <c:v>150.07447389495354</c:v>
                </c:pt>
                <c:pt idx="12">
                  <c:v>181.94598260645972</c:v>
                </c:pt>
                <c:pt idx="13">
                  <c:v>220.49285407380947</c:v>
                </c:pt>
                <c:pt idx="14">
                  <c:v>267.06970411394207</c:v>
                </c:pt>
                <c:pt idx="15">
                  <c:v>323.28585748170963</c:v>
                </c:pt>
                <c:pt idx="16">
                  <c:v>391.04389784623118</c:v>
                </c:pt>
                <c:pt idx="17">
                  <c:v>472.57962489111793</c:v>
                </c:pt>
                <c:pt idx="18">
                  <c:v>570.50104496698941</c:v>
                </c:pt>
                <c:pt idx="19">
                  <c:v>687.82265359325186</c:v>
                </c:pt>
                <c:pt idx="20">
                  <c:v>827.98946730096952</c:v>
                </c:pt>
                <c:pt idx="21">
                  <c:v>994.88302398712005</c:v>
                </c:pt>
                <c:pt idx="22">
                  <c:v>1192.798997654085</c:v>
                </c:pt>
                <c:pt idx="23">
                  <c:v>1426.3834562234563</c:v>
                </c:pt>
                <c:pt idx="24">
                  <c:v>1700.5127105207785</c:v>
                </c:pt>
                <c:pt idx="25">
                  <c:v>2020.101124036798</c:v>
                </c:pt>
                <c:pt idx="26">
                  <c:v>2389.8235598661395</c:v>
                </c:pt>
                <c:pt idx="27">
                  <c:v>2813.7460040566734</c:v>
                </c:pt>
                <c:pt idx="28">
                  <c:v>3294.8708593760007</c:v>
                </c:pt>
                <c:pt idx="29">
                  <c:v>3834.6230370685853</c:v>
                </c:pt>
                <c:pt idx="30">
                  <c:v>4432.32777625171</c:v>
                </c:pt>
                <c:pt idx="31">
                  <c:v>5084.7563852833046</c:v>
                </c:pt>
                <c:pt idx="32">
                  <c:v>5785.8336691512177</c:v>
                </c:pt>
                <c:pt idx="33">
                  <c:v>6526.6006367974023</c:v>
                </c:pt>
                <c:pt idx="34">
                  <c:v>7295.5000951739494</c:v>
                </c:pt>
                <c:pt idx="35">
                  <c:v>8079</c:v>
                </c:pt>
                <c:pt idx="36">
                  <c:v>8862.4999048260488</c:v>
                </c:pt>
                <c:pt idx="37">
                  <c:v>9631.3993632025977</c:v>
                </c:pt>
                <c:pt idx="38">
                  <c:v>10372.166330848782</c:v>
                </c:pt>
                <c:pt idx="39">
                  <c:v>11073.243614716695</c:v>
                </c:pt>
                <c:pt idx="40">
                  <c:v>11725.672223748288</c:v>
                </c:pt>
                <c:pt idx="41">
                  <c:v>12323.376962931416</c:v>
                </c:pt>
                <c:pt idx="42">
                  <c:v>12863.129140623998</c:v>
                </c:pt>
                <c:pt idx="43">
                  <c:v>13344.253995943325</c:v>
                </c:pt>
                <c:pt idx="44">
                  <c:v>13768.176440133862</c:v>
                </c:pt>
                <c:pt idx="45">
                  <c:v>14137.898875963201</c:v>
                </c:pt>
                <c:pt idx="46">
                  <c:v>14457.487289479221</c:v>
                </c:pt>
                <c:pt idx="47">
                  <c:v>14731.616543776543</c:v>
                </c:pt>
                <c:pt idx="48">
                  <c:v>14965.201002345913</c:v>
                </c:pt>
                <c:pt idx="49">
                  <c:v>15163.11697601288</c:v>
                </c:pt>
                <c:pt idx="50">
                  <c:v>15330.010532699032</c:v>
                </c:pt>
                <c:pt idx="51">
                  <c:v>15470.177346406748</c:v>
                </c:pt>
                <c:pt idx="52">
                  <c:v>15587.498955033012</c:v>
                </c:pt>
                <c:pt idx="53">
                  <c:v>15685.420375108883</c:v>
                </c:pt>
                <c:pt idx="54">
                  <c:v>15766.956102153768</c:v>
                </c:pt>
                <c:pt idx="55">
                  <c:v>15834.714142518291</c:v>
                </c:pt>
                <c:pt idx="56">
                  <c:v>15890.930295886059</c:v>
                </c:pt>
                <c:pt idx="57">
                  <c:v>15937.507145926189</c:v>
                </c:pt>
                <c:pt idx="58">
                  <c:v>15976.054017393541</c:v>
                </c:pt>
                <c:pt idx="59">
                  <c:v>16007.925526105048</c:v>
                </c:pt>
                <c:pt idx="60">
                  <c:v>16034.257339905991</c:v>
                </c:pt>
                <c:pt idx="61">
                  <c:v>16055.998457343829</c:v>
                </c:pt>
                <c:pt idx="62">
                  <c:v>16073.939768285025</c:v>
                </c:pt>
                <c:pt idx="63">
                  <c:v>16088.738949367393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Boltzmann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fit'!$J$7:$J$46</c:f>
              <c:numCache>
                <c:formatCode>0</c:formatCode>
                <c:ptCount val="40"/>
                <c:pt idx="0">
                  <c:v>476.52149327521545</c:v>
                </c:pt>
                <c:pt idx="1">
                  <c:v>480.33918021368487</c:v>
                </c:pt>
                <c:pt idx="2">
                  <c:v>484.97443893704974</c:v>
                </c:pt>
                <c:pt idx="3">
                  <c:v>490.60172330335973</c:v>
                </c:pt>
                <c:pt idx="4">
                  <c:v>497.43241239885151</c:v>
                </c:pt>
                <c:pt idx="5">
                  <c:v>505.72248405728135</c:v>
                </c:pt>
                <c:pt idx="6">
                  <c:v>515.78171554340713</c:v>
                </c:pt>
                <c:pt idx="7">
                  <c:v>527.98468305010783</c:v>
                </c:pt>
                <c:pt idx="8">
                  <c:v>542.78386413247404</c:v>
                </c:pt>
                <c:pt idx="9">
                  <c:v>560.72517507366979</c:v>
                </c:pt>
                <c:pt idx="10">
                  <c:v>582.46629251150728</c:v>
                </c:pt>
                <c:pt idx="11">
                  <c:v>608.79810631245346</c:v>
                </c:pt>
                <c:pt idx="12">
                  <c:v>640.66961502395964</c:v>
                </c:pt>
                <c:pt idx="13">
                  <c:v>679.21648649130941</c:v>
                </c:pt>
                <c:pt idx="14">
                  <c:v>725.79333653144204</c:v>
                </c:pt>
                <c:pt idx="15">
                  <c:v>782.00948989920948</c:v>
                </c:pt>
                <c:pt idx="16">
                  <c:v>849.76753026373103</c:v>
                </c:pt>
                <c:pt idx="17">
                  <c:v>931.30325730861784</c:v>
                </c:pt>
                <c:pt idx="18">
                  <c:v>1029.2246773844893</c:v>
                </c:pt>
                <c:pt idx="19">
                  <c:v>1146.5462860107518</c:v>
                </c:pt>
                <c:pt idx="20">
                  <c:v>1286.7130997184695</c:v>
                </c:pt>
                <c:pt idx="21">
                  <c:v>1453.60665640462</c:v>
                </c:pt>
                <c:pt idx="22">
                  <c:v>1651.5226300715849</c:v>
                </c:pt>
                <c:pt idx="23">
                  <c:v>1885.1070886409561</c:v>
                </c:pt>
                <c:pt idx="24">
                  <c:v>2159.2363429382785</c:v>
                </c:pt>
                <c:pt idx="25">
                  <c:v>2478.824756454298</c:v>
                </c:pt>
                <c:pt idx="26">
                  <c:v>2848.5471922836396</c:v>
                </c:pt>
                <c:pt idx="27">
                  <c:v>3272.4696364741735</c:v>
                </c:pt>
                <c:pt idx="28">
                  <c:v>3753.5944917935008</c:v>
                </c:pt>
                <c:pt idx="29">
                  <c:v>4293.3466694860854</c:v>
                </c:pt>
                <c:pt idx="30">
                  <c:v>4891.0514086692101</c:v>
                </c:pt>
                <c:pt idx="31">
                  <c:v>5543.4800177008046</c:v>
                </c:pt>
                <c:pt idx="32">
                  <c:v>6244.5573015687178</c:v>
                </c:pt>
                <c:pt idx="33">
                  <c:v>6985.3242692149024</c:v>
                </c:pt>
                <c:pt idx="34">
                  <c:v>7754.2237275914495</c:v>
                </c:pt>
                <c:pt idx="35">
                  <c:v>8537.7236324174992</c:v>
                </c:pt>
                <c:pt idx="36">
                  <c:v>9321.223537243548</c:v>
                </c:pt>
                <c:pt idx="37">
                  <c:v>10090.122995620097</c:v>
                </c:pt>
                <c:pt idx="38">
                  <c:v>10830.889963266281</c:v>
                </c:pt>
                <c:pt idx="39">
                  <c:v>11531.967247134195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Boltzmann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fit'!$K$7:$K$46</c:f>
              <c:numCache>
                <c:formatCode>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13.855992473618016</c:v>
                </c:pt>
                <c:pt idx="18">
                  <c:v>111.7774125494895</c:v>
                </c:pt>
                <c:pt idx="19">
                  <c:v>229.09902117575194</c:v>
                </c:pt>
                <c:pt idx="20">
                  <c:v>369.26583488346961</c:v>
                </c:pt>
                <c:pt idx="21">
                  <c:v>536.15939156962008</c:v>
                </c:pt>
                <c:pt idx="22">
                  <c:v>734.07536523658518</c:v>
                </c:pt>
                <c:pt idx="23">
                  <c:v>967.65982380595642</c:v>
                </c:pt>
                <c:pt idx="24">
                  <c:v>1241.7890781032786</c:v>
                </c:pt>
                <c:pt idx="25">
                  <c:v>1561.3774916192981</c:v>
                </c:pt>
                <c:pt idx="26">
                  <c:v>1931.0999274486396</c:v>
                </c:pt>
                <c:pt idx="27">
                  <c:v>2355.0223716391733</c:v>
                </c:pt>
                <c:pt idx="28">
                  <c:v>2836.1472269585006</c:v>
                </c:pt>
                <c:pt idx="29">
                  <c:v>3375.8994046510852</c:v>
                </c:pt>
                <c:pt idx="30">
                  <c:v>3973.6041438342099</c:v>
                </c:pt>
                <c:pt idx="31">
                  <c:v>4626.0327528658045</c:v>
                </c:pt>
                <c:pt idx="32">
                  <c:v>5327.1100367337176</c:v>
                </c:pt>
                <c:pt idx="33">
                  <c:v>6067.8770043799022</c:v>
                </c:pt>
                <c:pt idx="34">
                  <c:v>6836.7764627564493</c:v>
                </c:pt>
                <c:pt idx="35">
                  <c:v>7620.2763675824999</c:v>
                </c:pt>
                <c:pt idx="36">
                  <c:v>8403.7762724085496</c:v>
                </c:pt>
                <c:pt idx="37">
                  <c:v>9172.6757307850985</c:v>
                </c:pt>
                <c:pt idx="38">
                  <c:v>9913.4426984312831</c:v>
                </c:pt>
                <c:pt idx="39">
                  <c:v>10614.519982299196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Daily</a:t>
            </a:r>
            <a:r>
              <a:rPr lang="it-IT" baseline="0"/>
              <a:t> </a:t>
            </a:r>
            <a:r>
              <a:rPr lang="it-IT"/>
              <a:t>New Cases and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fit'!$E$7:$E$47</c:f>
              <c:numCache>
                <c:formatCode>0</c:formatCode>
                <c:ptCount val="41"/>
                <c:pt idx="0">
                  <c:v>0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fit'!$G$7:$G$70</c:f>
              <c:numCache>
                <c:formatCode>0</c:formatCode>
                <c:ptCount val="64"/>
                <c:pt idx="0">
                  <c:v>0</c:v>
                </c:pt>
                <c:pt idx="1">
                  <c:v>101.89119681636919</c:v>
                </c:pt>
                <c:pt idx="2">
                  <c:v>120.23995725831003</c:v>
                </c:pt>
                <c:pt idx="3">
                  <c:v>141.85223386440498</c:v>
                </c:pt>
                <c:pt idx="4">
                  <c:v>167.29244824275622</c:v>
                </c:pt>
                <c:pt idx="5">
                  <c:v>197.2163379086328</c:v>
                </c:pt>
                <c:pt idx="6">
                  <c:v>232.38323521931216</c:v>
                </c:pt>
                <c:pt idx="7">
                  <c:v>273.66897461733402</c:v>
                </c:pt>
                <c:pt idx="8">
                  <c:v>322.07897702718878</c:v>
                </c:pt>
                <c:pt idx="9">
                  <c:v>378.76079757694106</c:v>
                </c:pt>
                <c:pt idx="10">
                  <c:v>445.0150665189135</c:v>
                </c:pt>
                <c:pt idx="11">
                  <c:v>522.30328249748482</c:v>
                </c:pt>
                <c:pt idx="12">
                  <c:v>612.25031338987037</c:v>
                </c:pt>
                <c:pt idx="13">
                  <c:v>716.63871184572736</c:v>
                </c:pt>
                <c:pt idx="14">
                  <c:v>837.39106680199984</c:v>
                </c:pt>
                <c:pt idx="15">
                  <c:v>976.53562738128858</c:v>
                </c:pt>
                <c:pt idx="16">
                  <c:v>1136.1494440517909</c:v>
                </c:pt>
                <c:pt idx="17">
                  <c:v>1318.2724475613022</c:v>
                </c:pt>
                <c:pt idx="18">
                  <c:v>1524.7855161203261</c:v>
                </c:pt>
                <c:pt idx="19">
                  <c:v>1757.2460945236398</c:v>
                </c:pt>
                <c:pt idx="20">
                  <c:v>2016.6769055548812</c:v>
                </c:pt>
                <c:pt idx="21">
                  <c:v>2303.3074298600459</c:v>
                </c:pt>
                <c:pt idx="22">
                  <c:v>2616.27481880302</c:v>
                </c:pt>
                <c:pt idx="23">
                  <c:v>2953.3011955004258</c:v>
                </c:pt>
                <c:pt idx="24">
                  <c:v>3310.3777111323288</c:v>
                </c:pt>
                <c:pt idx="25">
                  <c:v>3681.5009420650858</c:v>
                </c:pt>
                <c:pt idx="26">
                  <c:v>4058.5213107593809</c:v>
                </c:pt>
                <c:pt idx="27">
                  <c:v>4431.1714760459508</c:v>
                </c:pt>
                <c:pt idx="28">
                  <c:v>4787.3390982659403</c:v>
                </c:pt>
                <c:pt idx="29">
                  <c:v>5113.6274145936914</c:v>
                </c:pt>
                <c:pt idx="30">
                  <c:v>5396.2060288816429</c:v>
                </c:pt>
                <c:pt idx="31">
                  <c:v>5621.8965978605411</c:v>
                </c:pt>
                <c:pt idx="32">
                  <c:v>5779.374870242631</c:v>
                </c:pt>
                <c:pt idx="33">
                  <c:v>5860.3196149717187</c:v>
                </c:pt>
                <c:pt idx="34">
                  <c:v>5860.3196149717114</c:v>
                </c:pt>
                <c:pt idx="35">
                  <c:v>5779.3748702426237</c:v>
                </c:pt>
                <c:pt idx="36">
                  <c:v>5621.8965978605556</c:v>
                </c:pt>
                <c:pt idx="37">
                  <c:v>5396.2060288816429</c:v>
                </c:pt>
                <c:pt idx="38">
                  <c:v>5113.6274145936914</c:v>
                </c:pt>
                <c:pt idx="39">
                  <c:v>4787.339098265933</c:v>
                </c:pt>
                <c:pt idx="40">
                  <c:v>4431.1714760459436</c:v>
                </c:pt>
                <c:pt idx="41">
                  <c:v>4058.5213107593881</c:v>
                </c:pt>
                <c:pt idx="42">
                  <c:v>3681.500942065104</c:v>
                </c:pt>
                <c:pt idx="43">
                  <c:v>3310.3777111323143</c:v>
                </c:pt>
                <c:pt idx="44">
                  <c:v>2953.3011955004331</c:v>
                </c:pt>
                <c:pt idx="45">
                  <c:v>2616.2748188030091</c:v>
                </c:pt>
                <c:pt idx="46">
                  <c:v>2303.307429860055</c:v>
                </c:pt>
                <c:pt idx="47">
                  <c:v>2016.6769055548939</c:v>
                </c:pt>
                <c:pt idx="48">
                  <c:v>1757.2460945236235</c:v>
                </c:pt>
                <c:pt idx="49">
                  <c:v>1524.7855161203479</c:v>
                </c:pt>
                <c:pt idx="50">
                  <c:v>1318.2724475612922</c:v>
                </c:pt>
                <c:pt idx="51">
                  <c:v>1136.1494440517854</c:v>
                </c:pt>
                <c:pt idx="52">
                  <c:v>976.53562738126493</c:v>
                </c:pt>
                <c:pt idx="53">
                  <c:v>837.39106680202531</c:v>
                </c:pt>
                <c:pt idx="54">
                  <c:v>716.63871184570598</c:v>
                </c:pt>
                <c:pt idx="55">
                  <c:v>612.25031338990084</c:v>
                </c:pt>
                <c:pt idx="56">
                  <c:v>522.30328249747981</c:v>
                </c:pt>
                <c:pt idx="57">
                  <c:v>445.01506651891395</c:v>
                </c:pt>
                <c:pt idx="58">
                  <c:v>378.7607975769206</c:v>
                </c:pt>
                <c:pt idx="59">
                  <c:v>322.07897702718037</c:v>
                </c:pt>
                <c:pt idx="60">
                  <c:v>273.66897461735061</c:v>
                </c:pt>
                <c:pt idx="61">
                  <c:v>232.38323521931306</c:v>
                </c:pt>
                <c:pt idx="62">
                  <c:v>197.21633790864144</c:v>
                </c:pt>
                <c:pt idx="63">
                  <c:v>167.29244824274792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fit'!$H$7:$H$47</c:f>
              <c:numCache>
                <c:formatCode>0</c:formatCode>
                <c:ptCount val="41"/>
                <c:pt idx="0">
                  <c:v>900.74787633499216</c:v>
                </c:pt>
                <c:pt idx="1">
                  <c:v>1002.6390731513613</c:v>
                </c:pt>
                <c:pt idx="2">
                  <c:v>1020.9878335933022</c:v>
                </c:pt>
                <c:pt idx="3">
                  <c:v>1042.600110199397</c:v>
                </c:pt>
                <c:pt idx="4">
                  <c:v>1068.0403245777484</c:v>
                </c:pt>
                <c:pt idx="5">
                  <c:v>1097.9642142436251</c:v>
                </c:pt>
                <c:pt idx="6">
                  <c:v>1133.1311115543044</c:v>
                </c:pt>
                <c:pt idx="7">
                  <c:v>1174.4168509523261</c:v>
                </c:pt>
                <c:pt idx="8">
                  <c:v>1222.8268533621808</c:v>
                </c:pt>
                <c:pt idx="9">
                  <c:v>1279.5086739119333</c:v>
                </c:pt>
                <c:pt idx="10">
                  <c:v>1345.7629428539058</c:v>
                </c:pt>
                <c:pt idx="11">
                  <c:v>1423.0511588324771</c:v>
                </c:pt>
                <c:pt idx="12">
                  <c:v>1512.9981897248626</c:v>
                </c:pt>
                <c:pt idx="13">
                  <c:v>1617.3865881807196</c:v>
                </c:pt>
                <c:pt idx="14">
                  <c:v>1738.1389431369921</c:v>
                </c:pt>
                <c:pt idx="15">
                  <c:v>1877.2835037162808</c:v>
                </c:pt>
                <c:pt idx="16">
                  <c:v>2036.8973203867831</c:v>
                </c:pt>
                <c:pt idx="17">
                  <c:v>2219.0203238962945</c:v>
                </c:pt>
                <c:pt idx="18">
                  <c:v>2425.5333924553183</c:v>
                </c:pt>
                <c:pt idx="19">
                  <c:v>2657.9939708586321</c:v>
                </c:pt>
                <c:pt idx="20">
                  <c:v>2917.4247818898734</c:v>
                </c:pt>
                <c:pt idx="21">
                  <c:v>3204.0553061950382</c:v>
                </c:pt>
                <c:pt idx="22">
                  <c:v>3517.0226951380123</c:v>
                </c:pt>
                <c:pt idx="23">
                  <c:v>3854.0490718354181</c:v>
                </c:pt>
                <c:pt idx="24">
                  <c:v>4211.1255874673207</c:v>
                </c:pt>
                <c:pt idx="25">
                  <c:v>4582.2488184000777</c:v>
                </c:pt>
                <c:pt idx="26">
                  <c:v>4959.2691870943727</c:v>
                </c:pt>
                <c:pt idx="27">
                  <c:v>5331.9193523809427</c:v>
                </c:pt>
                <c:pt idx="28">
                  <c:v>5688.0869746009321</c:v>
                </c:pt>
                <c:pt idx="29">
                  <c:v>6014.3752909286832</c:v>
                </c:pt>
                <c:pt idx="30">
                  <c:v>6296.9539052166347</c:v>
                </c:pt>
                <c:pt idx="31">
                  <c:v>6522.6444741955329</c:v>
                </c:pt>
                <c:pt idx="32">
                  <c:v>6680.1227465776228</c:v>
                </c:pt>
                <c:pt idx="33">
                  <c:v>6761.0674913067105</c:v>
                </c:pt>
                <c:pt idx="34">
                  <c:v>6761.0674913067032</c:v>
                </c:pt>
                <c:pt idx="35">
                  <c:v>6680.1227465776155</c:v>
                </c:pt>
                <c:pt idx="36">
                  <c:v>6522.6444741955474</c:v>
                </c:pt>
                <c:pt idx="37">
                  <c:v>6296.9539052166347</c:v>
                </c:pt>
                <c:pt idx="38">
                  <c:v>6014.3752909286832</c:v>
                </c:pt>
                <c:pt idx="39">
                  <c:v>5688.0869746009248</c:v>
                </c:pt>
                <c:pt idx="40">
                  <c:v>5331.9193523809354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Boltzmann fit'!$I$7:$I$47</c:f>
              <c:numCache>
                <c:formatCode>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75.787751046296421</c:v>
                </c:pt>
                <c:pt idx="16">
                  <c:v>235.4015677167987</c:v>
                </c:pt>
                <c:pt idx="17">
                  <c:v>417.52457122631006</c:v>
                </c:pt>
                <c:pt idx="18">
                  <c:v>624.03763978533391</c:v>
                </c:pt>
                <c:pt idx="19">
                  <c:v>856.49821818864768</c:v>
                </c:pt>
                <c:pt idx="20">
                  <c:v>1115.9290292198889</c:v>
                </c:pt>
                <c:pt idx="21">
                  <c:v>1402.5595535250536</c:v>
                </c:pt>
                <c:pt idx="22">
                  <c:v>1715.5269424680278</c:v>
                </c:pt>
                <c:pt idx="23">
                  <c:v>2052.5533191654335</c:v>
                </c:pt>
                <c:pt idx="24">
                  <c:v>2409.6298347973366</c:v>
                </c:pt>
                <c:pt idx="25">
                  <c:v>2780.7530657300936</c:v>
                </c:pt>
                <c:pt idx="26">
                  <c:v>3157.7734344243886</c:v>
                </c:pt>
                <c:pt idx="27">
                  <c:v>3530.4235997109586</c:v>
                </c:pt>
                <c:pt idx="28">
                  <c:v>3886.591221930948</c:v>
                </c:pt>
                <c:pt idx="29">
                  <c:v>4212.8795382586995</c:v>
                </c:pt>
                <c:pt idx="30">
                  <c:v>4495.458152546651</c:v>
                </c:pt>
                <c:pt idx="31">
                  <c:v>4721.1487215255493</c:v>
                </c:pt>
                <c:pt idx="32">
                  <c:v>4878.6269939076392</c:v>
                </c:pt>
                <c:pt idx="33">
                  <c:v>4959.5717386367269</c:v>
                </c:pt>
                <c:pt idx="34">
                  <c:v>4959.5717386367196</c:v>
                </c:pt>
                <c:pt idx="35">
                  <c:v>4878.6269939076319</c:v>
                </c:pt>
                <c:pt idx="36">
                  <c:v>4721.1487215255638</c:v>
                </c:pt>
                <c:pt idx="37">
                  <c:v>4495.458152546651</c:v>
                </c:pt>
                <c:pt idx="38">
                  <c:v>4212.8795382586995</c:v>
                </c:pt>
                <c:pt idx="39">
                  <c:v>3886.5912219309407</c:v>
                </c:pt>
                <c:pt idx="40">
                  <c:v>3530.4235997109513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Boltzmann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Boltzmann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4-4C6D-B8AE-A194F4E0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Boltzmann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fit'!$M$7:$M$70</c:f>
              <c:numCache>
                <c:formatCode>0</c:formatCode>
                <c:ptCount val="64"/>
                <c:pt idx="0">
                  <c:v>0</c:v>
                </c:pt>
                <c:pt idx="1">
                  <c:v>8.6278829988342665</c:v>
                </c:pt>
                <c:pt idx="2">
                  <c:v>10.149042067425242</c:v>
                </c:pt>
                <c:pt idx="3">
                  <c:v>11.936460580403121</c:v>
                </c:pt>
                <c:pt idx="4">
                  <c:v>14.03600180769871</c:v>
                </c:pt>
                <c:pt idx="5">
                  <c:v>16.501144047741974</c:v>
                </c:pt>
                <c:pt idx="6">
                  <c:v>19.394135162091828</c:v>
                </c:pt>
                <c:pt idx="7">
                  <c:v>22.787279054753725</c:v>
                </c:pt>
                <c:pt idx="8">
                  <c:v>26.76435117944024</c:v>
                </c:pt>
                <c:pt idx="9">
                  <c:v>31.422130579630448</c:v>
                </c:pt>
                <c:pt idx="10">
                  <c:v>36.872021849618335</c:v>
                </c:pt>
                <c:pt idx="11">
                  <c:v>43.241720231888792</c:v>
                </c:pt>
                <c:pt idx="12">
                  <c:v>50.676844987755885</c:v>
                </c:pt>
                <c:pt idx="13">
                  <c:v>59.342428040392349</c:v>
                </c:pt>
                <c:pt idx="14">
                  <c:v>69.424094347583036</c:v>
                </c:pt>
                <c:pt idx="15">
                  <c:v>81.128705242909462</c:v>
                </c:pt>
                <c:pt idx="16">
                  <c:v>94.684154387622698</c:v>
                </c:pt>
                <c:pt idx="17">
                  <c:v>110.33790772784857</c:v>
                </c:pt>
                <c:pt idx="18">
                  <c:v>128.35376645994211</c:v>
                </c:pt>
                <c:pt idx="19">
                  <c:v>149.00621274567641</c:v>
                </c:pt>
                <c:pt idx="20">
                  <c:v>172.57158652910562</c:v>
                </c:pt>
                <c:pt idx="21">
                  <c:v>199.31526379706543</c:v>
                </c:pt>
                <c:pt idx="22">
                  <c:v>229.47400169972775</c:v>
                </c:pt>
                <c:pt idx="23">
                  <c:v>263.23274043089737</c:v>
                </c:pt>
                <c:pt idx="24">
                  <c:v>300.69547793602555</c:v>
                </c:pt>
                <c:pt idx="25">
                  <c:v>341.85044259127881</c:v>
                </c:pt>
                <c:pt idx="26">
                  <c:v>386.53075363640301</c:v>
                </c:pt>
                <c:pt idx="27">
                  <c:v>434.37311151510812</c:v>
                </c:pt>
                <c:pt idx="28">
                  <c:v>484.77874476533862</c:v>
                </c:pt>
                <c:pt idx="29">
                  <c:v>536.88265706770926</c:v>
                </c:pt>
                <c:pt idx="30">
                  <c:v>589.53877753010875</c:v>
                </c:pt>
                <c:pt idx="31">
                  <c:v>641.32933643671186</c:v>
                </c:pt>
                <c:pt idx="32">
                  <c:v>690.60597602154303</c:v>
                </c:pt>
                <c:pt idx="33">
                  <c:v>735.5671637042542</c:v>
                </c:pt>
                <c:pt idx="34">
                  <c:v>774.37120693999714</c:v>
                </c:pt>
                <c:pt idx="35">
                  <c:v>805.27709745737957</c:v>
                </c:pt>
                <c:pt idx="36">
                  <c:v>826.79793936410169</c:v>
                </c:pt>
                <c:pt idx="37">
                  <c:v>837.84593004832823</c:v>
                </c:pt>
                <c:pt idx="38">
                  <c:v>837.84593004832823</c:v>
                </c:pt>
                <c:pt idx="39">
                  <c:v>826.79793936410169</c:v>
                </c:pt>
                <c:pt idx="40">
                  <c:v>805.27709745738139</c:v>
                </c:pt>
                <c:pt idx="41">
                  <c:v>774.3712069399935</c:v>
                </c:pt>
                <c:pt idx="42">
                  <c:v>735.5671637042542</c:v>
                </c:pt>
                <c:pt idx="43">
                  <c:v>690.60597602154485</c:v>
                </c:pt>
                <c:pt idx="44">
                  <c:v>641.32933643671095</c:v>
                </c:pt>
                <c:pt idx="45">
                  <c:v>589.53877753010784</c:v>
                </c:pt>
                <c:pt idx="46">
                  <c:v>536.88265706771017</c:v>
                </c:pt>
                <c:pt idx="47">
                  <c:v>484.77874476533907</c:v>
                </c:pt>
                <c:pt idx="48">
                  <c:v>434.37311151510949</c:v>
                </c:pt>
                <c:pt idx="49">
                  <c:v>386.53075363640164</c:v>
                </c:pt>
                <c:pt idx="50">
                  <c:v>341.85044259127972</c:v>
                </c:pt>
                <c:pt idx="51">
                  <c:v>300.69547793602396</c:v>
                </c:pt>
                <c:pt idx="52">
                  <c:v>263.23274043089623</c:v>
                </c:pt>
                <c:pt idx="53">
                  <c:v>229.47400169972752</c:v>
                </c:pt>
                <c:pt idx="54">
                  <c:v>199.31526379707066</c:v>
                </c:pt>
                <c:pt idx="55">
                  <c:v>172.57158652910584</c:v>
                </c:pt>
                <c:pt idx="56">
                  <c:v>149.00621274567311</c:v>
                </c:pt>
                <c:pt idx="57">
                  <c:v>128.35376645994256</c:v>
                </c:pt>
                <c:pt idx="58">
                  <c:v>110.33790772784778</c:v>
                </c:pt>
                <c:pt idx="59">
                  <c:v>94.684154387621675</c:v>
                </c:pt>
                <c:pt idx="60">
                  <c:v>81.128705242910655</c:v>
                </c:pt>
                <c:pt idx="61">
                  <c:v>69.424094347581558</c:v>
                </c:pt>
                <c:pt idx="62">
                  <c:v>59.342428040392406</c:v>
                </c:pt>
                <c:pt idx="63">
                  <c:v>50.67684498775634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44-4C6D-B8AE-A194F4E036FC}"/>
            </c:ext>
          </c:extLst>
        </c:ser>
        <c:ser>
          <c:idx val="6"/>
          <c:order val="6"/>
          <c:tx>
            <c:strRef>
              <c:f>'New_confirmed - Boltzmann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fit'!$N$7:$N$70</c:f>
              <c:numCache>
                <c:formatCode>0</c:formatCode>
                <c:ptCount val="64"/>
                <c:pt idx="0">
                  <c:v>127.21374411630319</c:v>
                </c:pt>
                <c:pt idx="1">
                  <c:v>135.84162711513744</c:v>
                </c:pt>
                <c:pt idx="2">
                  <c:v>137.36278618372842</c:v>
                </c:pt>
                <c:pt idx="3">
                  <c:v>139.15020469670631</c:v>
                </c:pt>
                <c:pt idx="4">
                  <c:v>141.2497459240019</c:v>
                </c:pt>
                <c:pt idx="5">
                  <c:v>143.71488816404516</c:v>
                </c:pt>
                <c:pt idx="6">
                  <c:v>146.60787927839502</c:v>
                </c:pt>
                <c:pt idx="7">
                  <c:v>150.00102317105691</c:v>
                </c:pt>
                <c:pt idx="8">
                  <c:v>153.97809529574343</c:v>
                </c:pt>
                <c:pt idx="9">
                  <c:v>158.63587469593364</c:v>
                </c:pt>
                <c:pt idx="10">
                  <c:v>164.08576596592152</c:v>
                </c:pt>
                <c:pt idx="11">
                  <c:v>170.45546434819198</c:v>
                </c:pt>
                <c:pt idx="12">
                  <c:v>177.89058910405907</c:v>
                </c:pt>
                <c:pt idx="13">
                  <c:v>186.55617215669554</c:v>
                </c:pt>
                <c:pt idx="14">
                  <c:v>196.63783846388623</c:v>
                </c:pt>
                <c:pt idx="15">
                  <c:v>208.34244935921265</c:v>
                </c:pt>
                <c:pt idx="16">
                  <c:v>221.89789850392589</c:v>
                </c:pt>
                <c:pt idx="17">
                  <c:v>237.55165184415176</c:v>
                </c:pt>
                <c:pt idx="18">
                  <c:v>255.5675105762453</c:v>
                </c:pt>
                <c:pt idx="19">
                  <c:v>276.2199568619796</c:v>
                </c:pt>
                <c:pt idx="20">
                  <c:v>299.78533064540881</c:v>
                </c:pt>
                <c:pt idx="21">
                  <c:v>326.52900791336862</c:v>
                </c:pt>
                <c:pt idx="22">
                  <c:v>356.68774581603094</c:v>
                </c:pt>
                <c:pt idx="23">
                  <c:v>390.44648454720055</c:v>
                </c:pt>
                <c:pt idx="24">
                  <c:v>427.90922205232874</c:v>
                </c:pt>
                <c:pt idx="25">
                  <c:v>469.064186707582</c:v>
                </c:pt>
                <c:pt idx="26">
                  <c:v>513.74449775270614</c:v>
                </c:pt>
                <c:pt idx="27">
                  <c:v>561.58685563141125</c:v>
                </c:pt>
                <c:pt idx="28">
                  <c:v>611.99248888164175</c:v>
                </c:pt>
                <c:pt idx="29">
                  <c:v>664.09640118401239</c:v>
                </c:pt>
                <c:pt idx="30">
                  <c:v>716.75252164641188</c:v>
                </c:pt>
                <c:pt idx="31">
                  <c:v>768.54308055301499</c:v>
                </c:pt>
                <c:pt idx="32">
                  <c:v>817.81972013784616</c:v>
                </c:pt>
                <c:pt idx="33">
                  <c:v>862.78090782055733</c:v>
                </c:pt>
                <c:pt idx="34">
                  <c:v>901.58495105630027</c:v>
                </c:pt>
                <c:pt idx="35">
                  <c:v>932.4908415736827</c:v>
                </c:pt>
                <c:pt idx="36">
                  <c:v>954.01168348040483</c:v>
                </c:pt>
                <c:pt idx="37">
                  <c:v>965.05967416463136</c:v>
                </c:pt>
                <c:pt idx="38">
                  <c:v>965.05967416463136</c:v>
                </c:pt>
                <c:pt idx="39">
                  <c:v>954.01168348040483</c:v>
                </c:pt>
                <c:pt idx="40">
                  <c:v>932.49084157368452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44-4C6D-B8AE-A194F4E036FC}"/>
            </c:ext>
          </c:extLst>
        </c:ser>
        <c:ser>
          <c:idx val="7"/>
          <c:order val="7"/>
          <c:tx>
            <c:strRef>
              <c:f>'New_confirmed - Boltzmann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Boltzmann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1.1400223436389183</c:v>
                </c:pt>
                <c:pt idx="19">
                  <c:v>21.792468629373218</c:v>
                </c:pt>
                <c:pt idx="20">
                  <c:v>45.357842412802427</c:v>
                </c:pt>
                <c:pt idx="21">
                  <c:v>72.101519680762237</c:v>
                </c:pt>
                <c:pt idx="22">
                  <c:v>102.26025758342456</c:v>
                </c:pt>
                <c:pt idx="23">
                  <c:v>136.01899631459418</c:v>
                </c:pt>
                <c:pt idx="24">
                  <c:v>173.48173381972236</c:v>
                </c:pt>
                <c:pt idx="25">
                  <c:v>214.63669847497562</c:v>
                </c:pt>
                <c:pt idx="26">
                  <c:v>259.31700952009982</c:v>
                </c:pt>
                <c:pt idx="27">
                  <c:v>307.15936739880493</c:v>
                </c:pt>
                <c:pt idx="28">
                  <c:v>357.56500064903543</c:v>
                </c:pt>
                <c:pt idx="29">
                  <c:v>409.66891295140607</c:v>
                </c:pt>
                <c:pt idx="30">
                  <c:v>462.32503341380556</c:v>
                </c:pt>
                <c:pt idx="31">
                  <c:v>514.11559232040872</c:v>
                </c:pt>
                <c:pt idx="32">
                  <c:v>563.3922319052399</c:v>
                </c:pt>
                <c:pt idx="33">
                  <c:v>608.35341958795107</c:v>
                </c:pt>
                <c:pt idx="34">
                  <c:v>647.157462823694</c:v>
                </c:pt>
                <c:pt idx="35">
                  <c:v>678.06335334107644</c:v>
                </c:pt>
                <c:pt idx="36">
                  <c:v>699.58419524779856</c:v>
                </c:pt>
                <c:pt idx="37">
                  <c:v>710.6321859320251</c:v>
                </c:pt>
                <c:pt idx="38">
                  <c:v>710.6321859320251</c:v>
                </c:pt>
                <c:pt idx="39">
                  <c:v>699.58419524779856</c:v>
                </c:pt>
                <c:pt idx="40">
                  <c:v>678.06335334107825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44-4C6D-B8AE-A194F4E0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541020</xdr:colOff>
      <xdr:row>2</xdr:row>
      <xdr:rowOff>152400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295900" y="7315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295900" y="7315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144779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8470302" y="1290918"/>
          <a:ext cx="6940476" cy="5971837"/>
          <a:chOff x="6629400" y="1287780"/>
          <a:chExt cx="6941820" cy="5303520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D7E1A92A-3CA9-4350-9FDC-7482CD6BAA0A}"/>
              </a:ext>
            </a:extLst>
          </xdr:cNvPr>
          <xdr:cNvGrpSpPr/>
        </xdr:nvGrpSpPr>
        <xdr:grpSpPr>
          <a:xfrm>
            <a:off x="6629400" y="1287780"/>
            <a:ext cx="6941820" cy="5303520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9745980" y="1991766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 xmlns="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9745980" y="1991766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𝑦=𝐾/(</a:t>
                  </a:r>
                  <a:r>
                    <a:rPr lang="it-IT" sz="14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8031480" y="2609725"/>
            <a:ext cx="1828800" cy="12000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119997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32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5.015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0.9989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2407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0.62971</cdr:x>
      <cdr:y>0.445</cdr:y>
    </cdr:from>
    <cdr:to>
      <cdr:x>0.89315</cdr:x>
      <cdr:y>0.68256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371361" y="2702541"/>
          <a:ext cx="1828753" cy="144274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16158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5.140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0.9966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459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670560</xdr:colOff>
      <xdr:row>1</xdr:row>
      <xdr:rowOff>274320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5699760" y="4572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5699760" y="4572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4</xdr:row>
      <xdr:rowOff>228599</xdr:rowOff>
    </xdr:from>
    <xdr:to>
      <xdr:col>29</xdr:col>
      <xdr:colOff>99060</xdr:colOff>
      <xdr:row>37</xdr:row>
      <xdr:rowOff>144777</xdr:rowOff>
    </xdr:to>
    <xdr:grpSp>
      <xdr:nvGrpSpPr>
        <xdr:cNvPr id="20" name="Gruppo 19">
          <a:extLst>
            <a:ext uri="{FF2B5EF4-FFF2-40B4-BE49-F238E27FC236}">
              <a16:creationId xmlns:a16="http://schemas.microsoft.com/office/drawing/2014/main" id="{95F3DA41-4DFD-45B3-8167-891DCA1368C7}"/>
            </a:ext>
          </a:extLst>
        </xdr:cNvPr>
        <xdr:cNvGrpSpPr/>
      </xdr:nvGrpSpPr>
      <xdr:grpSpPr>
        <a:xfrm>
          <a:off x="11034849" y="1284513"/>
          <a:ext cx="6938554" cy="6131921"/>
          <a:chOff x="8846820" y="1287779"/>
          <a:chExt cx="6941820" cy="5303518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D25FE9E0-6E39-41D0-A756-6C7FAD1336E5}"/>
              </a:ext>
            </a:extLst>
          </xdr:cNvPr>
          <xdr:cNvGrpSpPr/>
        </xdr:nvGrpSpPr>
        <xdr:grpSpPr>
          <a:xfrm>
            <a:off x="8846820" y="1287779"/>
            <a:ext cx="6941820" cy="5303518"/>
            <a:chOff x="8846820" y="1287779"/>
            <a:chExt cx="6941820" cy="5303518"/>
          </a:xfrm>
        </xdr:grpSpPr>
        <xdr:grpSp>
          <xdr:nvGrpSpPr>
            <xdr:cNvPr id="18" name="Gruppo 17">
              <a:extLst>
                <a:ext uri="{FF2B5EF4-FFF2-40B4-BE49-F238E27FC236}">
                  <a16:creationId xmlns:a16="http://schemas.microsoft.com/office/drawing/2014/main" id="{2CA05283-5F31-4B63-8812-E61CCEB33C10}"/>
                </a:ext>
              </a:extLst>
            </xdr:cNvPr>
            <xdr:cNvGrpSpPr/>
          </xdr:nvGrpSpPr>
          <xdr:grpSpPr>
            <a:xfrm>
              <a:off x="8846820" y="1287779"/>
              <a:ext cx="6941820" cy="5303518"/>
              <a:chOff x="8846820" y="1287779"/>
              <a:chExt cx="6941820" cy="5303518"/>
            </a:xfrm>
          </xdr:grpSpPr>
          <xdr:graphicFrame macro="">
            <xdr:nvGraphicFramePr>
              <xdr:cNvPr id="2" name="Grafico 1">
                <a:extLst>
                  <a:ext uri="{FF2B5EF4-FFF2-40B4-BE49-F238E27FC236}">
                    <a16:creationId xmlns:a16="http://schemas.microsoft.com/office/drawing/2014/main" id="{F5082D72-C1F7-4963-A285-6EBE98D385D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8846820" y="1287779"/>
              <a:ext cx="6941820" cy="530351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" name="CasellaDiTesto 2">
                    <a:extLst>
                      <a:ext uri="{FF2B5EF4-FFF2-40B4-BE49-F238E27FC236}">
                        <a16:creationId xmlns:a16="http://schemas.microsoft.com/office/drawing/2014/main" id="{F60049A7-7A9D-42EC-BA7A-E00A5179BC56}"/>
                      </a:ext>
                    </a:extLst>
                  </xdr:cNvPr>
                  <xdr:cNvSpPr txBox="1"/>
                </xdr:nvSpPr>
                <xdr:spPr>
                  <a:xfrm>
                    <a:off x="12161520" y="2537460"/>
                    <a:ext cx="3017520" cy="66294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𝐵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(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)=</m:t>
                          </m:r>
                          <m:f>
                            <m:f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𝐾</m:t>
                              </m:r>
                            </m:num>
                            <m:den>
                              <m:d>
                                <m:d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1+</m:t>
                                  </m:r>
                                  <m:sSup>
                                    <m:sSup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𝑒</m:t>
                                      </m:r>
                                    </m:e>
                                    <m:sup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 </m:t>
                                      </m:r>
                                      <m:box>
                                        <m:box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boxPr>
                                        <m:e>
                                          <m:argPr>
                                            <m:argSz m:val="-1"/>
                                          </m:argPr>
                                          <m:f>
                                            <m:fPr>
                                              <m:ctrlP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fPr>
                                            <m:num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−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  <m:t>𝑡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it-IT" sz="1400" b="0" i="1">
                                                      <a:solidFill>
                                                        <a:sysClr val="windowText" lastClr="000000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Cambria Math" panose="02040503050406030204" pitchFamily="18" charset="0"/>
                                                      <a:cs typeface="+mn-cs"/>
                                                    </a:rPr>
                                                    <m:t>0</m:t>
                                                  </m:r>
                                                </m:sub>
                                              </m:sSub>
                                            </m:num>
                                            <m:den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𝑤</m:t>
                                              </m:r>
                                            </m:den>
                                          </m:f>
                                        </m:e>
                                      </m:box>
                                    </m:sup>
                                  </m:sSup>
                                </m:e>
                              </m:d>
                            </m:den>
                          </m:f>
                        </m:oMath>
                      </m:oMathPara>
                    </a14:m>
                    <a:endParaRPr lang="it-IT" sz="16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3" name="CasellaDiTesto 2">
                    <a:extLst>
                      <a:ext uri="{FF2B5EF4-FFF2-40B4-BE49-F238E27FC236}">
                        <a16:creationId xmlns:a16="http://schemas.microsoft.com/office/drawing/2014/main" id="{F60049A7-7A9D-42EC-BA7A-E00A5179BC56}"/>
                      </a:ext>
                    </a:extLst>
                  </xdr:cNvPr>
                  <xdr:cNvSpPr txBox="1"/>
                </xdr:nvSpPr>
                <xdr:spPr>
                  <a:xfrm>
                    <a:off x="12161520" y="2537460"/>
                    <a:ext cx="3017520" cy="66294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𝐵(𝑡)=𝐾/(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(1+𝑒^(− □(64&amp;(𝑡−𝑡_0)/𝑤)) ) )</a:t>
                    </a:r>
                    <a:endParaRPr lang="it-IT" sz="16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  <xdr:cxnSp macro="">
          <xdr:nvCxnSpPr>
            <xdr:cNvPr id="7" name="Connettore diritto 6">
              <a:extLst>
                <a:ext uri="{FF2B5EF4-FFF2-40B4-BE49-F238E27FC236}">
                  <a16:creationId xmlns:a16="http://schemas.microsoft.com/office/drawing/2014/main" id="{F2565D0C-65C1-4565-A4DC-96DFBF81741D}"/>
                </a:ext>
              </a:extLst>
            </xdr:cNvPr>
            <xdr:cNvCxnSpPr/>
          </xdr:nvCxnSpPr>
          <xdr:spPr>
            <a:xfrm>
              <a:off x="9296400" y="2888717"/>
              <a:ext cx="3489960" cy="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3060680" y="312451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3060680" y="312451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𝑦=𝐵(𝑡+1)−𝐵(𝑡)</a:t>
                </a:r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18</xdr:col>
      <xdr:colOff>502920</xdr:colOff>
      <xdr:row>15</xdr:row>
      <xdr:rowOff>80556</xdr:rowOff>
    </xdr:from>
    <xdr:to>
      <xdr:col>21</xdr:col>
      <xdr:colOff>502920</xdr:colOff>
      <xdr:row>22</xdr:row>
      <xdr:rowOff>171995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9293C884-D776-4B8E-9F62-AF94A78AF218}"/>
            </a:ext>
          </a:extLst>
        </xdr:cNvPr>
        <xdr:cNvSpPr txBox="1"/>
      </xdr:nvSpPr>
      <xdr:spPr>
        <a:xfrm>
          <a:off x="11530149" y="3248299"/>
          <a:ext cx="1828800" cy="139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K/4w=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5874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5.982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0.9636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901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571500</xdr:colOff>
      <xdr:row>21</xdr:row>
      <xdr:rowOff>91441</xdr:rowOff>
    </xdr:from>
    <xdr:to>
      <xdr:col>28</xdr:col>
      <xdr:colOff>571453</xdr:colOff>
      <xdr:row>29</xdr:row>
      <xdr:rowOff>15241</xdr:rowOff>
    </xdr:to>
    <xdr:sp macro="" textlink="">
      <xdr:nvSpPr>
        <xdr:cNvPr id="16" name="CasellaDiTesto 6">
          <a:extLst>
            <a:ext uri="{FF2B5EF4-FFF2-40B4-BE49-F238E27FC236}">
              <a16:creationId xmlns:a16="http://schemas.microsoft.com/office/drawing/2014/main" id="{CEB1BF83-AB2A-4FDF-92A5-CE635460130E}"/>
            </a:ext>
          </a:extLst>
        </xdr:cNvPr>
        <xdr:cNvSpPr txBox="1"/>
      </xdr:nvSpPr>
      <xdr:spPr>
        <a:xfrm>
          <a:off x="15994380" y="4358641"/>
          <a:ext cx="1828753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 new deaths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K/4w=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840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38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6.124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0.9640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18</xdr:col>
      <xdr:colOff>449580</xdr:colOff>
      <xdr:row>29</xdr:row>
      <xdr:rowOff>22860</xdr:rowOff>
    </xdr:from>
    <xdr:to>
      <xdr:col>24</xdr:col>
      <xdr:colOff>137160</xdr:colOff>
      <xdr:row>29</xdr:row>
      <xdr:rowOff>22862</xdr:rowOff>
    </xdr:to>
    <xdr:cxnSp macro="">
      <xdr:nvCxnSpPr>
        <xdr:cNvPr id="17" name="Connettore diritto 16">
          <a:extLst>
            <a:ext uri="{FF2B5EF4-FFF2-40B4-BE49-F238E27FC236}">
              <a16:creationId xmlns:a16="http://schemas.microsoft.com/office/drawing/2014/main" id="{EB0DF4AC-5E4A-4DC2-BC30-DFE6FF957242}"/>
            </a:ext>
          </a:extLst>
        </xdr:cNvPr>
        <xdr:cNvCxnSpPr/>
      </xdr:nvCxnSpPr>
      <xdr:spPr>
        <a:xfrm>
          <a:off x="11460480" y="5775960"/>
          <a:ext cx="3489960" cy="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0.2082</cdr:x>
      <cdr:y>0.2356</cdr:y>
    </cdr:from>
    <cdr:to>
      <cdr:x>0.27706</cdr:x>
      <cdr:y>0.28115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4607" y="1444671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 xmlns="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4607" y="1444671"/>
              <a:ext cx="477823" cy="27930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0070C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C472245-A03D-4A71-9570-BE0D48B366C0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38269-E2C7-4D0F-B397-CB7C63C69247}" name="dpc_covid19_ita_andamento_nazionale__8" displayName="dpc_covid19_ita_andamento_nazionale__8" ref="A1:O38" tableType="queryTable" totalsRowShown="0">
  <autoFilter ref="A1:O38" xr:uid="{46EDFBA1-D4C7-48DD-807A-5BA4A2158DD5}"/>
  <tableColumns count="15">
    <tableColumn id="1" xr3:uid="{1597B4C5-C435-4062-B545-93C389BD10FD}" uniqueName="1" name="data" queryTableFieldId="1" dataDxfId="3"/>
    <tableColumn id="2" xr3:uid="{C9DFBF57-23AC-42CC-8F4C-3F76C465A55E}" uniqueName="2" name="stato" queryTableFieldId="2" dataDxfId="2"/>
    <tableColumn id="3" xr3:uid="{7604452C-2DC4-4E04-B26E-BEE2B3EAD53E}" uniqueName="3" name="ricoverati_con_sintomi" queryTableFieldId="3"/>
    <tableColumn id="4" xr3:uid="{8D512155-3BD5-4A69-B8CE-4331BA2012A3}" uniqueName="4" name="terapia_intensiva" queryTableFieldId="4"/>
    <tableColumn id="5" xr3:uid="{07E78C5F-AD7E-469D-BC71-DF89B9FC92E9}" uniqueName="5" name="totale_ospedalizzati" queryTableFieldId="5"/>
    <tableColumn id="6" xr3:uid="{5D1A6368-3039-481A-A029-D870A1988E2C}" uniqueName="6" name="isolamento_domiciliare" queryTableFieldId="6"/>
    <tableColumn id="7" xr3:uid="{ADDC5A4F-AC57-4C0C-84A4-956511D02C18}" uniqueName="7" name="totale_positivi" queryTableFieldId="7"/>
    <tableColumn id="8" xr3:uid="{3B9203F4-1719-494E-9E03-AF543553CB17}" uniqueName="8" name="variazione_totale_positivi" queryTableFieldId="8"/>
    <tableColumn id="9" xr3:uid="{8B11D556-1269-411C-B5B3-2C26B63DF39F}" uniqueName="9" name="nuovi_positivi" queryTableFieldId="9"/>
    <tableColumn id="10" xr3:uid="{89DACC67-0BA3-494B-AB48-C27AD24ABB7E}" uniqueName="10" name="dimessi_guariti" queryTableFieldId="10"/>
    <tableColumn id="11" xr3:uid="{F30DDA0F-52BB-496C-B126-1D724A447981}" uniqueName="11" name="deceduti" queryTableFieldId="11"/>
    <tableColumn id="12" xr3:uid="{4C74A0BB-6CDD-473A-B78A-4DF4E7DA6A3C}" uniqueName="12" name="totale_casi" queryTableFieldId="12"/>
    <tableColumn id="13" xr3:uid="{A612C32C-635D-4E7A-8FE9-8E4897D106AC}" uniqueName="13" name="tamponi" queryTableFieldId="13"/>
    <tableColumn id="14" xr3:uid="{C064B719-C1F9-47A4-B109-75B44C8FDA9D}" uniqueName="14" name="note_it" queryTableFieldId="14" dataDxfId="1"/>
    <tableColumn id="15" xr3:uid="{4ED24097-F667-4B3A-A74B-6206A5A621A4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30T22:47:17.14" personId="{46504131-ADD3-4530-BCC7-16E4FED1C2C4}" id="{72AF2297-8B28-419B-B702-DE9C5B9C6056}">
    <text>Worldometer data</text>
  </threadedComment>
  <threadedComment ref="B11" dT="2020-03-21T22:11:56.31" personId="{46504131-ADD3-4530-BCC7-16E4FED1C2C4}" id="{6AE41525-C545-4B83-8686-2D973E356B51}">
    <text>first red zones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(northern Italy)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30T22:47:17.14" personId="{46504131-ADD3-4530-BCC7-16E4FED1C2C4}" id="{6ABD3661-8066-4E44-BA0D-35D35302F623}">
    <text>Worldometer data</text>
  </threadedComment>
  <threadedComment ref="B11" dT="2020-03-21T22:11:56.31" personId="{46504131-ADD3-4530-BCC7-16E4FED1C2C4}" id="{6F280F21-F37E-4D54-8202-F02FF9F60413}">
    <text>first red zones</text>
  </threadedComment>
  <threadedComment ref="B17" dT="2020-03-21T22:12:51.46" personId="{46504131-ADD3-4530-BCC7-16E4FED1C2C4}" id="{8C2E90DC-6FBB-4F6F-A491-7F04B14E3003}">
    <text>partial lockdown (north)</text>
  </threadedComment>
  <threadedComment ref="B21" dT="2020-03-21T22:13:52.19" personId="{46504131-ADD3-4530-BCC7-16E4FED1C2C4}" id="{165FF3CB-B6DD-4A5B-BEAB-465BE46910E5}">
    <text>school closure (Italy)</text>
  </threadedComment>
  <threadedComment ref="B24" dT="2020-03-21T22:14:24.84" personId="{46504131-ADD3-4530-BCC7-16E4FED1C2C4}" id="{7F2EC179-DDA6-4C29-9AE2-3E7B978CA4FE}">
    <text>lockdown (northern Italy)</text>
  </threadedComment>
  <threadedComment ref="B26" dT="2020-03-21T22:14:52.14" personId="{46504131-ADD3-4530-BCC7-16E4FED1C2C4}" id="{330B5948-4F91-4530-8246-D8E052E48EC7}">
    <text>partial lockdown (Italy)</text>
  </threadedComment>
  <threadedComment ref="B28" dT="2020-03-21T22:15:16.77" personId="{46504131-ADD3-4530-BCC7-16E4FED1C2C4}" id="{B00751F2-9E53-4B46-A4E1-C852EDF26698}">
    <text>lockdown (Italy)</text>
  </threadedComment>
  <threadedComment ref="B39" dT="2020-03-23T21:41:16.67" personId="{46504131-ADD3-4530-BCC7-16E4FED1C2C4}" id="{F0A6F119-92D4-458E-9366-D89100014E7A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38"/>
  <sheetViews>
    <sheetView topLeftCell="D1" workbookViewId="0">
      <selection activeCell="K2" sqref="K2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70</v>
      </c>
      <c r="H1" t="s">
        <v>71</v>
      </c>
      <c r="I1" t="s">
        <v>72</v>
      </c>
      <c r="J1" t="s">
        <v>20</v>
      </c>
      <c r="K1" t="s">
        <v>21</v>
      </c>
      <c r="L1" t="s">
        <v>22</v>
      </c>
      <c r="M1" t="s">
        <v>23</v>
      </c>
      <c r="N1" t="s">
        <v>30</v>
      </c>
      <c r="O1" t="s">
        <v>31</v>
      </c>
    </row>
    <row r="2" spans="1:15" x14ac:dyDescent="0.3">
      <c r="A2" s="19">
        <v>43885.75</v>
      </c>
      <c r="B2" s="18" t="s">
        <v>24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8" t="s">
        <v>32</v>
      </c>
      <c r="O2" s="18" t="s">
        <v>32</v>
      </c>
    </row>
    <row r="3" spans="1:15" x14ac:dyDescent="0.3">
      <c r="A3" s="19">
        <v>43886.75</v>
      </c>
      <c r="B3" s="18" t="s">
        <v>24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8" t="s">
        <v>32</v>
      </c>
      <c r="O3" s="18" t="s">
        <v>32</v>
      </c>
    </row>
    <row r="4" spans="1:15" x14ac:dyDescent="0.3">
      <c r="A4" s="19">
        <v>43887.75</v>
      </c>
      <c r="B4" s="18" t="s">
        <v>24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8" t="s">
        <v>32</v>
      </c>
      <c r="O4" s="18" t="s">
        <v>32</v>
      </c>
    </row>
    <row r="5" spans="1:15" x14ac:dyDescent="0.3">
      <c r="A5" s="19">
        <v>43888.75</v>
      </c>
      <c r="B5" s="18" t="s">
        <v>24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8" t="s">
        <v>32</v>
      </c>
      <c r="O5" s="18" t="s">
        <v>32</v>
      </c>
    </row>
    <row r="6" spans="1:15" x14ac:dyDescent="0.3">
      <c r="A6" s="19">
        <v>43889.75</v>
      </c>
      <c r="B6" s="18" t="s">
        <v>24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8" t="s">
        <v>32</v>
      </c>
      <c r="O6" s="18" t="s">
        <v>32</v>
      </c>
    </row>
    <row r="7" spans="1:15" x14ac:dyDescent="0.3">
      <c r="A7" s="19">
        <v>43890.75</v>
      </c>
      <c r="B7" s="18" t="s">
        <v>24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8" t="s">
        <v>32</v>
      </c>
      <c r="O7" s="18" t="s">
        <v>32</v>
      </c>
    </row>
    <row r="8" spans="1:15" x14ac:dyDescent="0.3">
      <c r="A8" s="19">
        <v>43891.75</v>
      </c>
      <c r="B8" s="18" t="s">
        <v>24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8" t="s">
        <v>32</v>
      </c>
      <c r="O8" s="18" t="s">
        <v>32</v>
      </c>
    </row>
    <row r="9" spans="1:15" x14ac:dyDescent="0.3">
      <c r="A9" s="19">
        <v>43892.75</v>
      </c>
      <c r="B9" s="18" t="s">
        <v>24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8" t="s">
        <v>32</v>
      </c>
      <c r="O9" s="18" t="s">
        <v>32</v>
      </c>
    </row>
    <row r="10" spans="1:15" x14ac:dyDescent="0.3">
      <c r="A10" s="19">
        <v>43893.75</v>
      </c>
      <c r="B10" s="18" t="s">
        <v>24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8" t="s">
        <v>32</v>
      </c>
      <c r="O10" s="18" t="s">
        <v>32</v>
      </c>
    </row>
    <row r="11" spans="1:15" x14ac:dyDescent="0.3">
      <c r="A11" s="19">
        <v>43894.75</v>
      </c>
      <c r="B11" s="18" t="s">
        <v>24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8" t="s">
        <v>32</v>
      </c>
      <c r="O11" s="18" t="s">
        <v>32</v>
      </c>
    </row>
    <row r="12" spans="1:15" x14ac:dyDescent="0.3">
      <c r="A12" s="19">
        <v>43895.75</v>
      </c>
      <c r="B12" s="18" t="s">
        <v>24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8" t="s">
        <v>32</v>
      </c>
      <c r="O12" s="18" t="s">
        <v>32</v>
      </c>
    </row>
    <row r="13" spans="1:15" x14ac:dyDescent="0.3">
      <c r="A13" s="19">
        <v>43896.75</v>
      </c>
      <c r="B13" s="18" t="s">
        <v>24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8" t="s">
        <v>32</v>
      </c>
      <c r="O13" s="18" t="s">
        <v>32</v>
      </c>
    </row>
    <row r="14" spans="1:15" x14ac:dyDescent="0.3">
      <c r="A14" s="19">
        <v>43897.75</v>
      </c>
      <c r="B14" s="18" t="s">
        <v>24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8" t="s">
        <v>33</v>
      </c>
      <c r="O14" s="18" t="s">
        <v>34</v>
      </c>
    </row>
    <row r="15" spans="1:15" x14ac:dyDescent="0.3">
      <c r="A15" s="19">
        <v>43898.75</v>
      </c>
      <c r="B15" s="18" t="s">
        <v>24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8" t="s">
        <v>32</v>
      </c>
      <c r="O15" s="18" t="s">
        <v>32</v>
      </c>
    </row>
    <row r="16" spans="1:15" x14ac:dyDescent="0.3">
      <c r="A16" s="19">
        <v>43899.75</v>
      </c>
      <c r="B16" s="18" t="s">
        <v>24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8" t="s">
        <v>32</v>
      </c>
      <c r="O16" s="18" t="s">
        <v>32</v>
      </c>
    </row>
    <row r="17" spans="1:15" x14ac:dyDescent="0.3">
      <c r="A17" s="19">
        <v>43900.75</v>
      </c>
      <c r="B17" s="18" t="s">
        <v>24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8" t="s">
        <v>35</v>
      </c>
      <c r="O17" s="18" t="s">
        <v>36</v>
      </c>
    </row>
    <row r="18" spans="1:15" x14ac:dyDescent="0.3">
      <c r="A18" s="19">
        <v>43901.708333333336</v>
      </c>
      <c r="B18" s="18" t="s">
        <v>24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8" t="s">
        <v>37</v>
      </c>
      <c r="O18" s="18" t="s">
        <v>38</v>
      </c>
    </row>
    <row r="19" spans="1:15" x14ac:dyDescent="0.3">
      <c r="A19" s="19">
        <v>43902.708333333336</v>
      </c>
      <c r="B19" s="18" t="s">
        <v>24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8" t="s">
        <v>32</v>
      </c>
      <c r="O19" s="18" t="s">
        <v>32</v>
      </c>
    </row>
    <row r="20" spans="1:15" x14ac:dyDescent="0.3">
      <c r="A20" s="19">
        <v>43903.708333333336</v>
      </c>
      <c r="B20" s="18" t="s">
        <v>24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8" t="s">
        <v>32</v>
      </c>
      <c r="O20" s="18" t="s">
        <v>32</v>
      </c>
    </row>
    <row r="21" spans="1:15" x14ac:dyDescent="0.3">
      <c r="A21" s="19">
        <v>43904.708333333336</v>
      </c>
      <c r="B21" s="18" t="s">
        <v>24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8" t="s">
        <v>32</v>
      </c>
      <c r="O21" s="18" t="s">
        <v>32</v>
      </c>
    </row>
    <row r="22" spans="1:15" x14ac:dyDescent="0.3">
      <c r="A22" s="19">
        <v>43905.708333333336</v>
      </c>
      <c r="B22" s="18" t="s">
        <v>24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8" t="s">
        <v>32</v>
      </c>
      <c r="O22" s="18" t="s">
        <v>32</v>
      </c>
    </row>
    <row r="23" spans="1:15" x14ac:dyDescent="0.3">
      <c r="A23" s="19">
        <v>43906.708333333336</v>
      </c>
      <c r="B23" s="18" t="s">
        <v>24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8" t="s">
        <v>39</v>
      </c>
      <c r="O23" s="18" t="s">
        <v>40</v>
      </c>
    </row>
    <row r="24" spans="1:15" x14ac:dyDescent="0.3">
      <c r="A24" s="19">
        <v>43907.708333333336</v>
      </c>
      <c r="B24" s="18" t="s">
        <v>24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8" t="s">
        <v>41</v>
      </c>
      <c r="O24" s="18" t="s">
        <v>42</v>
      </c>
    </row>
    <row r="25" spans="1:15" x14ac:dyDescent="0.3">
      <c r="A25" s="19">
        <v>43908.708333333336</v>
      </c>
      <c r="B25" s="18" t="s">
        <v>24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8" t="s">
        <v>43</v>
      </c>
      <c r="O25" s="18" t="s">
        <v>44</v>
      </c>
    </row>
    <row r="26" spans="1:15" x14ac:dyDescent="0.3">
      <c r="A26" s="19">
        <v>43909.708333333336</v>
      </c>
      <c r="B26" s="18" t="s">
        <v>24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8" t="s">
        <v>32</v>
      </c>
      <c r="O26" s="18" t="s">
        <v>32</v>
      </c>
    </row>
    <row r="27" spans="1:15" x14ac:dyDescent="0.3">
      <c r="A27" s="19">
        <v>43910.708333333336</v>
      </c>
      <c r="B27" s="18" t="s">
        <v>24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8" t="s">
        <v>32</v>
      </c>
      <c r="O27" s="18" t="s">
        <v>32</v>
      </c>
    </row>
    <row r="28" spans="1:15" x14ac:dyDescent="0.3">
      <c r="A28" s="19">
        <v>43911.708333333336</v>
      </c>
      <c r="B28" s="18" t="s">
        <v>24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8" t="s">
        <v>32</v>
      </c>
      <c r="O28" s="18" t="s">
        <v>32</v>
      </c>
    </row>
    <row r="29" spans="1:15" x14ac:dyDescent="0.3">
      <c r="A29" s="19">
        <v>43912.708333333336</v>
      </c>
      <c r="B29" s="18" t="s">
        <v>24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8" t="s">
        <v>32</v>
      </c>
      <c r="O29" s="18" t="s">
        <v>32</v>
      </c>
    </row>
    <row r="30" spans="1:15" x14ac:dyDescent="0.3">
      <c r="A30" s="19">
        <v>43913.708333333336</v>
      </c>
      <c r="B30" s="18" t="s">
        <v>24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8" t="s">
        <v>32</v>
      </c>
      <c r="O30" s="18" t="s">
        <v>32</v>
      </c>
    </row>
    <row r="31" spans="1:15" x14ac:dyDescent="0.3">
      <c r="A31" s="19">
        <v>43914.708333333336</v>
      </c>
      <c r="B31" s="18" t="s">
        <v>24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8" t="s">
        <v>32</v>
      </c>
      <c r="O31" s="18" t="s">
        <v>32</v>
      </c>
    </row>
    <row r="32" spans="1:15" x14ac:dyDescent="0.3">
      <c r="A32" s="19">
        <v>43915.708333333336</v>
      </c>
      <c r="B32" s="18" t="s">
        <v>24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8" t="s">
        <v>32</v>
      </c>
      <c r="O32" s="18" t="s">
        <v>32</v>
      </c>
    </row>
    <row r="33" spans="1:15" x14ac:dyDescent="0.3">
      <c r="A33" s="19">
        <v>43916.708333333336</v>
      </c>
      <c r="B33" s="18" t="s">
        <v>24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8" t="s">
        <v>45</v>
      </c>
      <c r="O33" s="18" t="s">
        <v>46</v>
      </c>
    </row>
    <row r="34" spans="1:15" x14ac:dyDescent="0.3">
      <c r="A34" s="19">
        <v>43917.708333333336</v>
      </c>
      <c r="B34" s="18" t="s">
        <v>24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8" t="s">
        <v>32</v>
      </c>
      <c r="O34" s="18" t="s">
        <v>32</v>
      </c>
    </row>
    <row r="35" spans="1:15" x14ac:dyDescent="0.3">
      <c r="A35" s="19">
        <v>43918.708333333336</v>
      </c>
      <c r="B35" s="18" t="s">
        <v>24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8" t="s">
        <v>32</v>
      </c>
      <c r="O35" s="18" t="s">
        <v>32</v>
      </c>
    </row>
    <row r="36" spans="1:15" x14ac:dyDescent="0.3">
      <c r="A36" s="19">
        <v>43919.708333333336</v>
      </c>
      <c r="B36" s="18" t="s">
        <v>24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8" t="s">
        <v>51</v>
      </c>
      <c r="O36" s="18" t="s">
        <v>52</v>
      </c>
    </row>
    <row r="37" spans="1:15" x14ac:dyDescent="0.3">
      <c r="A37" s="19">
        <v>43920.708333333336</v>
      </c>
      <c r="B37" s="18" t="s">
        <v>24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8" t="s">
        <v>32</v>
      </c>
      <c r="O37" s="18" t="s">
        <v>32</v>
      </c>
    </row>
    <row r="38" spans="1:15" x14ac:dyDescent="0.3">
      <c r="A38" s="19">
        <v>43921.708333333336</v>
      </c>
      <c r="B38" s="18" t="s">
        <v>24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8" t="s">
        <v>32</v>
      </c>
      <c r="O38" s="18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72"/>
  <sheetViews>
    <sheetView topLeftCell="A7" zoomScale="85" zoomScaleNormal="85" workbookViewId="0">
      <selection activeCell="AA17" sqref="AA17"/>
    </sheetView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5546875" style="2" bestFit="1" customWidth="1"/>
    <col min="5" max="5" width="11.77734375" style="2" bestFit="1" customWidth="1"/>
    <col min="6" max="6" width="10.21875" style="2" bestFit="1" customWidth="1"/>
    <col min="7" max="7" width="10.33203125" style="2" bestFit="1" customWidth="1"/>
    <col min="8" max="8" width="6.6640625" style="2" bestFit="1" customWidth="1"/>
    <col min="9" max="9" width="8.88671875" style="2" bestFit="1" customWidth="1"/>
    <col min="10" max="10" width="10.33203125" style="2" bestFit="1" customWidth="1"/>
    <col min="11" max="11" width="10.44140625" style="2" bestFit="1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2" t="s">
        <v>13</v>
      </c>
    </row>
    <row r="3" spans="2:18" ht="17.399999999999999" customHeight="1" x14ac:dyDescent="0.6">
      <c r="B3" s="13"/>
      <c r="C3" s="14"/>
      <c r="D3" s="14"/>
      <c r="E3" s="14"/>
      <c r="F3" s="14"/>
      <c r="H3" s="14"/>
      <c r="I3" s="14"/>
      <c r="J3" s="14"/>
      <c r="O3" s="21" t="s">
        <v>0</v>
      </c>
      <c r="P3" s="20" t="s">
        <v>55</v>
      </c>
      <c r="Q3" s="17"/>
      <c r="R3" s="17"/>
    </row>
    <row r="4" spans="2:18" ht="20.399999999999999" x14ac:dyDescent="0.35">
      <c r="B4" s="16" t="s">
        <v>25</v>
      </c>
      <c r="C4" s="15"/>
      <c r="D4" s="14"/>
      <c r="E4" s="14"/>
      <c r="F4" s="14"/>
      <c r="H4" s="14"/>
      <c r="I4" s="14"/>
      <c r="J4" s="14"/>
      <c r="O4" s="21" t="s">
        <v>26</v>
      </c>
      <c r="P4" s="20" t="s">
        <v>56</v>
      </c>
      <c r="Q4" s="17"/>
      <c r="R4" s="17"/>
    </row>
    <row r="5" spans="2:18" ht="18" x14ac:dyDescent="0.35">
      <c r="B5" s="16" t="s">
        <v>57</v>
      </c>
      <c r="C5" s="14"/>
      <c r="D5" s="14"/>
      <c r="E5" s="14"/>
      <c r="F5" s="14"/>
      <c r="H5" s="14"/>
      <c r="I5" s="14"/>
      <c r="J5" s="14"/>
      <c r="O5" s="21" t="s">
        <v>1</v>
      </c>
      <c r="P5" s="20" t="s">
        <v>58</v>
      </c>
      <c r="Q5" s="17"/>
      <c r="R5" s="17"/>
    </row>
    <row r="6" spans="2:18" x14ac:dyDescent="0.3">
      <c r="B6" s="4" t="s">
        <v>10</v>
      </c>
      <c r="C6" s="4" t="s">
        <v>11</v>
      </c>
      <c r="D6" s="4" t="s">
        <v>12</v>
      </c>
      <c r="E6" s="9" t="s">
        <v>47</v>
      </c>
      <c r="F6" s="9" t="s">
        <v>48</v>
      </c>
      <c r="G6" s="9" t="s">
        <v>49</v>
      </c>
      <c r="H6" s="4" t="s">
        <v>53</v>
      </c>
      <c r="I6" s="9" t="s">
        <v>54</v>
      </c>
      <c r="J6" s="9" t="s">
        <v>68</v>
      </c>
      <c r="K6" s="9" t="s">
        <v>69</v>
      </c>
      <c r="L6" s="9"/>
      <c r="M6" s="33" t="s">
        <v>50</v>
      </c>
      <c r="N6" s="3"/>
      <c r="O6" s="3"/>
    </row>
    <row r="7" spans="2:18" x14ac:dyDescent="0.3">
      <c r="B7" s="26">
        <v>43881</v>
      </c>
      <c r="C7" s="27">
        <v>1</v>
      </c>
      <c r="D7" s="28">
        <v>3</v>
      </c>
      <c r="E7" s="11">
        <f t="shared" ref="E7:E38" si="0">K/(1+EXP(-($C7-t0)/w))</f>
        <v>247.54003122429097</v>
      </c>
      <c r="F7" s="11">
        <f t="shared" ref="F7:F10" si="1">E7+CI</f>
        <v>2654.3724595565805</v>
      </c>
      <c r="G7" s="11">
        <f t="shared" ref="G7:G10" si="2">MAX(E7-CI,0)</f>
        <v>0</v>
      </c>
      <c r="H7" s="27">
        <v>0</v>
      </c>
      <c r="I7" s="11">
        <f t="shared" ref="I7:I38" si="3">Kh/(1+EXP(-($C7-t0h)/wh))</f>
        <v>17.797860857715563</v>
      </c>
      <c r="J7" s="11">
        <f t="shared" ref="J7:J47" si="4">I7+CIh</f>
        <v>476.52149327521545</v>
      </c>
      <c r="K7" s="11">
        <f t="shared" ref="K7:K46" si="5">MAX(I7-CIh,0)</f>
        <v>0</v>
      </c>
      <c r="L7" s="9"/>
      <c r="M7" s="22" t="s">
        <v>0</v>
      </c>
      <c r="N7" s="5">
        <v>119997</v>
      </c>
      <c r="O7" s="3"/>
    </row>
    <row r="8" spans="2:18" ht="15.6" x14ac:dyDescent="0.35">
      <c r="B8" s="26">
        <v>43882</v>
      </c>
      <c r="C8" s="27">
        <v>2</v>
      </c>
      <c r="D8" s="28">
        <v>20</v>
      </c>
      <c r="E8" s="11">
        <f t="shared" si="0"/>
        <v>302.02903059899893</v>
      </c>
      <c r="F8" s="11">
        <f t="shared" si="1"/>
        <v>2708.8614589312883</v>
      </c>
      <c r="G8" s="11">
        <f t="shared" si="2"/>
        <v>0</v>
      </c>
      <c r="H8" s="27">
        <v>1</v>
      </c>
      <c r="I8" s="11">
        <f t="shared" si="3"/>
        <v>21.615547796184931</v>
      </c>
      <c r="J8" s="11">
        <f t="shared" si="4"/>
        <v>480.33918021368487</v>
      </c>
      <c r="K8" s="11">
        <f t="shared" si="5"/>
        <v>0</v>
      </c>
      <c r="L8" s="9"/>
      <c r="M8" s="22" t="s">
        <v>27</v>
      </c>
      <c r="N8" s="5">
        <v>32</v>
      </c>
      <c r="O8" s="3"/>
    </row>
    <row r="9" spans="2:18" x14ac:dyDescent="0.3">
      <c r="B9" s="26">
        <v>43883</v>
      </c>
      <c r="C9" s="27">
        <v>3</v>
      </c>
      <c r="D9" s="28">
        <v>62</v>
      </c>
      <c r="E9" s="11">
        <f t="shared" si="0"/>
        <v>368.47534900974944</v>
      </c>
      <c r="F9" s="11">
        <f t="shared" si="1"/>
        <v>2775.3077773420391</v>
      </c>
      <c r="G9" s="11">
        <f t="shared" si="2"/>
        <v>0</v>
      </c>
      <c r="H9" s="27">
        <v>2</v>
      </c>
      <c r="I9" s="11">
        <f t="shared" si="3"/>
        <v>26.250806519549815</v>
      </c>
      <c r="J9" s="11">
        <f t="shared" si="4"/>
        <v>484.97443893704974</v>
      </c>
      <c r="K9" s="11">
        <f t="shared" si="5"/>
        <v>0</v>
      </c>
      <c r="L9" s="9"/>
      <c r="M9" s="22" t="s">
        <v>1</v>
      </c>
      <c r="N9" s="25">
        <v>5.014895295100759</v>
      </c>
      <c r="O9" s="3"/>
    </row>
    <row r="10" spans="2:18" x14ac:dyDescent="0.3">
      <c r="B10" s="26">
        <v>43884</v>
      </c>
      <c r="C10" s="27">
        <v>4</v>
      </c>
      <c r="D10" s="28">
        <v>155</v>
      </c>
      <c r="E10" s="11">
        <f t="shared" si="0"/>
        <v>449.48494748871258</v>
      </c>
      <c r="F10" s="11">
        <f t="shared" si="1"/>
        <v>2856.3173758210023</v>
      </c>
      <c r="G10" s="11">
        <f t="shared" si="2"/>
        <v>0</v>
      </c>
      <c r="H10" s="27">
        <v>3</v>
      </c>
      <c r="I10" s="11">
        <f t="shared" si="3"/>
        <v>31.878090885859805</v>
      </c>
      <c r="J10" s="11">
        <f t="shared" si="4"/>
        <v>490.60172330335973</v>
      </c>
      <c r="K10" s="11">
        <f t="shared" si="5"/>
        <v>0</v>
      </c>
      <c r="L10" s="9"/>
      <c r="M10" s="6" t="s">
        <v>2</v>
      </c>
      <c r="N10" s="1">
        <f>AVERAGE(D7:D47)</f>
        <v>29599.487804878048</v>
      </c>
      <c r="O10" s="3"/>
    </row>
    <row r="11" spans="2:18" x14ac:dyDescent="0.3">
      <c r="B11" s="23">
        <v>43885</v>
      </c>
      <c r="C11" s="4">
        <v>5</v>
      </c>
      <c r="D11" s="11">
        <f>'dpc-covid19-ita-andamento-naz'!L2</f>
        <v>229</v>
      </c>
      <c r="E11" s="11">
        <f t="shared" si="0"/>
        <v>548.22295241404925</v>
      </c>
      <c r="F11" s="11">
        <f t="shared" ref="F11:F33" si="6">E11+CI</f>
        <v>2955.0553807463389</v>
      </c>
      <c r="G11" s="11">
        <f t="shared" ref="G11:G37" si="7">MAX(E11-CI,0)</f>
        <v>0</v>
      </c>
      <c r="H11" s="11">
        <f>'dpc-covid19-ita-andamento-naz'!K2</f>
        <v>7</v>
      </c>
      <c r="I11" s="11">
        <f t="shared" si="3"/>
        <v>38.708779981351611</v>
      </c>
      <c r="J11" s="11">
        <f t="shared" si="4"/>
        <v>497.43241239885151</v>
      </c>
      <c r="K11" s="11">
        <f t="shared" si="5"/>
        <v>0</v>
      </c>
      <c r="L11" s="1"/>
      <c r="M11" s="6" t="s">
        <v>3</v>
      </c>
      <c r="N11" s="1">
        <f>COUNT(D7:D47)-COUNT(N7:N9)</f>
        <v>38</v>
      </c>
    </row>
    <row r="12" spans="2:18" x14ac:dyDescent="0.3">
      <c r="B12" s="10">
        <v>43886</v>
      </c>
      <c r="C12" s="4">
        <v>6</v>
      </c>
      <c r="D12" s="11">
        <f>'dpc-covid19-ita-andamento-naz'!L3</f>
        <v>322</v>
      </c>
      <c r="E12" s="11">
        <f t="shared" si="0"/>
        <v>668.52936486171018</v>
      </c>
      <c r="F12" s="11">
        <f t="shared" si="6"/>
        <v>3075.3617931939998</v>
      </c>
      <c r="G12" s="11">
        <f t="shared" si="7"/>
        <v>0</v>
      </c>
      <c r="H12" s="11">
        <f>'dpc-covid19-ita-andamento-naz'!K3</f>
        <v>10</v>
      </c>
      <c r="I12" s="11">
        <f t="shared" si="3"/>
        <v>46.998851639781449</v>
      </c>
      <c r="J12" s="11">
        <f t="shared" si="4"/>
        <v>505.72248405728135</v>
      </c>
      <c r="K12" s="11">
        <f t="shared" si="5"/>
        <v>0</v>
      </c>
      <c r="L12" s="1"/>
      <c r="M12" s="6" t="s">
        <v>4</v>
      </c>
      <c r="N12" s="7" cm="1">
        <f t="array" ref="N12">SQRT(SUM((D7:D47-E7:E47)^2)/df)</f>
        <v>1188.9149214307602</v>
      </c>
    </row>
    <row r="13" spans="2:18" ht="16.2" x14ac:dyDescent="0.3">
      <c r="B13" s="10">
        <v>43887</v>
      </c>
      <c r="C13" s="4">
        <v>7</v>
      </c>
      <c r="D13" s="11">
        <f>'dpc-covid19-ita-andamento-naz'!L4</f>
        <v>400</v>
      </c>
      <c r="E13" s="11">
        <f t="shared" si="0"/>
        <v>815.05662821226565</v>
      </c>
      <c r="F13" s="11">
        <f t="shared" si="6"/>
        <v>3221.8890565445554</v>
      </c>
      <c r="G13" s="11">
        <f t="shared" si="7"/>
        <v>0</v>
      </c>
      <c r="H13" s="11">
        <f>'dpc-covid19-ita-andamento-naz'!K4</f>
        <v>12</v>
      </c>
      <c r="I13" s="11">
        <f t="shared" si="3"/>
        <v>57.058083125907217</v>
      </c>
      <c r="J13" s="11">
        <f t="shared" si="4"/>
        <v>515.78171554340713</v>
      </c>
      <c r="K13" s="11">
        <f t="shared" si="5"/>
        <v>0</v>
      </c>
      <c r="L13" s="1"/>
      <c r="M13" s="6" t="s">
        <v>5</v>
      </c>
      <c r="N13" s="8" cm="1">
        <f t="array" ref="N13">1-SUM((D7:D47-E7:E47)^2)/SUM((D7:D47-Mean_of_y)^2)</f>
        <v>0.99886910879995305</v>
      </c>
    </row>
    <row r="14" spans="2:18" x14ac:dyDescent="0.3">
      <c r="B14" s="10">
        <v>43888</v>
      </c>
      <c r="C14" s="4">
        <v>8</v>
      </c>
      <c r="D14" s="11">
        <f>'dpc-covid19-ita-andamento-naz'!L5</f>
        <v>650</v>
      </c>
      <c r="E14" s="11">
        <f t="shared" si="0"/>
        <v>993.43214866772041</v>
      </c>
      <c r="F14" s="11">
        <f t="shared" si="6"/>
        <v>3400.2645770000099</v>
      </c>
      <c r="G14" s="11">
        <f t="shared" si="7"/>
        <v>0</v>
      </c>
      <c r="H14" s="11">
        <f>'dpc-covid19-ita-andamento-naz'!K5</f>
        <v>17</v>
      </c>
      <c r="I14" s="11">
        <f t="shared" si="3"/>
        <v>69.261050632607876</v>
      </c>
      <c r="J14" s="11">
        <f t="shared" si="4"/>
        <v>527.98468305010783</v>
      </c>
      <c r="K14" s="11">
        <f t="shared" si="5"/>
        <v>0</v>
      </c>
      <c r="L14" s="1"/>
      <c r="M14" s="6" t="s">
        <v>6</v>
      </c>
      <c r="N14" s="8">
        <f>TINV(0.05,df)</f>
        <v>2.0243941639119702</v>
      </c>
    </row>
    <row r="15" spans="2:18" x14ac:dyDescent="0.3">
      <c r="B15" s="10">
        <v>43889</v>
      </c>
      <c r="C15" s="4">
        <v>9</v>
      </c>
      <c r="D15" s="11">
        <f>'dpc-covid19-ita-andamento-naz'!L6</f>
        <v>888</v>
      </c>
      <c r="E15" s="11">
        <f t="shared" si="0"/>
        <v>1210.4487567506351</v>
      </c>
      <c r="F15" s="11">
        <f t="shared" si="6"/>
        <v>3617.2811850829248</v>
      </c>
      <c r="G15" s="11">
        <f t="shared" si="7"/>
        <v>0</v>
      </c>
      <c r="H15" s="11">
        <f>'dpc-covid19-ita-andamento-naz'!K6</f>
        <v>21</v>
      </c>
      <c r="I15" s="11">
        <f t="shared" si="3"/>
        <v>84.060231714974122</v>
      </c>
      <c r="J15" s="11">
        <f t="shared" si="4"/>
        <v>542.78386413247404</v>
      </c>
      <c r="K15" s="11">
        <f t="shared" si="5"/>
        <v>0</v>
      </c>
      <c r="L15" s="1"/>
      <c r="M15" s="6" t="s">
        <v>7</v>
      </c>
      <c r="N15" s="1">
        <f>Critical_t*SE_of_y</f>
        <v>2406.8324283322895</v>
      </c>
    </row>
    <row r="16" spans="2:18" x14ac:dyDescent="0.3">
      <c r="B16" s="10">
        <v>43890</v>
      </c>
      <c r="C16" s="4">
        <v>10</v>
      </c>
      <c r="D16" s="11">
        <f>'dpc-covid19-ita-andamento-naz'!L7</f>
        <v>1128</v>
      </c>
      <c r="E16" s="11">
        <f t="shared" si="0"/>
        <v>1474.2856262302491</v>
      </c>
      <c r="F16" s="11">
        <f t="shared" si="6"/>
        <v>3881.1180545625384</v>
      </c>
      <c r="G16" s="11">
        <f t="shared" si="7"/>
        <v>0</v>
      </c>
      <c r="H16" s="11">
        <f>'dpc-covid19-ita-andamento-naz'!K7</f>
        <v>29</v>
      </c>
      <c r="I16" s="11">
        <f t="shared" si="3"/>
        <v>102.00154265616986</v>
      </c>
      <c r="J16" s="11">
        <f t="shared" si="4"/>
        <v>560.72517507366979</v>
      </c>
      <c r="K16" s="11">
        <f t="shared" si="5"/>
        <v>0</v>
      </c>
      <c r="L16" s="1"/>
      <c r="M16" s="6"/>
    </row>
    <row r="17" spans="2:14" x14ac:dyDescent="0.3">
      <c r="B17" s="23">
        <v>43891</v>
      </c>
      <c r="C17" s="4">
        <v>11</v>
      </c>
      <c r="D17" s="11">
        <f>'dpc-covid19-ita-andamento-naz'!L8</f>
        <v>1694</v>
      </c>
      <c r="E17" s="11">
        <f t="shared" si="0"/>
        <v>1794.7611171908595</v>
      </c>
      <c r="F17" s="11">
        <f t="shared" si="6"/>
        <v>4201.5935455231493</v>
      </c>
      <c r="G17" s="11">
        <f t="shared" si="7"/>
        <v>0</v>
      </c>
      <c r="H17" s="11">
        <f>'dpc-covid19-ita-andamento-naz'!K8</f>
        <v>34</v>
      </c>
      <c r="I17" s="11">
        <f t="shared" si="3"/>
        <v>123.74266009400732</v>
      </c>
      <c r="J17" s="11">
        <f t="shared" si="4"/>
        <v>582.46629251150728</v>
      </c>
      <c r="K17" s="11">
        <f t="shared" si="5"/>
        <v>0</v>
      </c>
      <c r="L17" s="1"/>
      <c r="M17" s="24" t="s">
        <v>53</v>
      </c>
      <c r="N17" s="3"/>
    </row>
    <row r="18" spans="2:14" x14ac:dyDescent="0.3">
      <c r="B18" s="10">
        <v>43892</v>
      </c>
      <c r="C18" s="4">
        <v>12</v>
      </c>
      <c r="D18" s="11">
        <f>'dpc-covid19-ita-andamento-naz'!L9</f>
        <v>2036</v>
      </c>
      <c r="E18" s="11">
        <f t="shared" si="0"/>
        <v>2183.6170830125111</v>
      </c>
      <c r="F18" s="11">
        <f t="shared" si="6"/>
        <v>4590.4495113448011</v>
      </c>
      <c r="G18" s="11">
        <f t="shared" si="7"/>
        <v>0</v>
      </c>
      <c r="H18" s="11">
        <f>'dpc-covid19-ita-andamento-naz'!K9</f>
        <v>52</v>
      </c>
      <c r="I18" s="11">
        <f t="shared" si="3"/>
        <v>150.07447389495354</v>
      </c>
      <c r="J18" s="11">
        <f t="shared" si="4"/>
        <v>608.79810631245346</v>
      </c>
      <c r="K18" s="11">
        <f t="shared" si="5"/>
        <v>0</v>
      </c>
      <c r="L18" s="1"/>
      <c r="M18" s="22" t="s">
        <v>0</v>
      </c>
      <c r="N18" s="5">
        <v>16158</v>
      </c>
    </row>
    <row r="19" spans="2:14" ht="15.6" x14ac:dyDescent="0.35">
      <c r="B19" s="10">
        <v>43893</v>
      </c>
      <c r="C19" s="4">
        <v>13</v>
      </c>
      <c r="D19" s="11">
        <f>'dpc-covid19-ita-andamento-naz'!L10</f>
        <v>2502</v>
      </c>
      <c r="E19" s="11">
        <f t="shared" si="0"/>
        <v>2654.8309717561801</v>
      </c>
      <c r="F19" s="11">
        <f t="shared" si="6"/>
        <v>5061.6634000884696</v>
      </c>
      <c r="G19" s="11">
        <f t="shared" si="7"/>
        <v>247.99854342389062</v>
      </c>
      <c r="H19" s="11">
        <f>'dpc-covid19-ita-andamento-naz'!K10</f>
        <v>79</v>
      </c>
      <c r="I19" s="11">
        <f t="shared" si="3"/>
        <v>181.94598260645972</v>
      </c>
      <c r="J19" s="11">
        <f t="shared" si="4"/>
        <v>640.66961502395964</v>
      </c>
      <c r="K19" s="11">
        <f t="shared" si="5"/>
        <v>0</v>
      </c>
      <c r="L19" s="1"/>
      <c r="M19" s="22" t="s">
        <v>27</v>
      </c>
      <c r="N19" s="5">
        <v>36</v>
      </c>
    </row>
    <row r="20" spans="2:14" x14ac:dyDescent="0.3">
      <c r="B20" s="10">
        <v>43894</v>
      </c>
      <c r="C20" s="4">
        <v>14</v>
      </c>
      <c r="D20" s="11">
        <f>'dpc-covid19-ita-andamento-naz'!L11</f>
        <v>3089</v>
      </c>
      <c r="E20" s="11">
        <f t="shared" si="0"/>
        <v>3224.9470364496447</v>
      </c>
      <c r="F20" s="11">
        <f t="shared" si="6"/>
        <v>5631.7794647819337</v>
      </c>
      <c r="G20" s="11">
        <f t="shared" si="7"/>
        <v>818.11460811735515</v>
      </c>
      <c r="H20" s="11">
        <f>'dpc-covid19-ita-andamento-naz'!K11</f>
        <v>107</v>
      </c>
      <c r="I20" s="11">
        <f t="shared" si="3"/>
        <v>220.49285407380947</v>
      </c>
      <c r="J20" s="11">
        <f t="shared" si="4"/>
        <v>679.21648649130941</v>
      </c>
      <c r="K20" s="11">
        <f t="shared" si="5"/>
        <v>0</v>
      </c>
      <c r="L20" s="1"/>
      <c r="M20" s="22" t="s">
        <v>1</v>
      </c>
      <c r="N20" s="25">
        <v>5.1395081360777732</v>
      </c>
    </row>
    <row r="21" spans="2:14" x14ac:dyDescent="0.3">
      <c r="B21" s="23">
        <v>43895</v>
      </c>
      <c r="C21" s="4">
        <v>15</v>
      </c>
      <c r="D21" s="11">
        <f>'dpc-covid19-ita-andamento-naz'!L12</f>
        <v>3858</v>
      </c>
      <c r="E21" s="11">
        <f t="shared" si="0"/>
        <v>3913.4105086610871</v>
      </c>
      <c r="F21" s="11">
        <f t="shared" si="6"/>
        <v>6320.2429369933761</v>
      </c>
      <c r="G21" s="11">
        <f t="shared" si="7"/>
        <v>1506.5780803287976</v>
      </c>
      <c r="H21" s="11">
        <f>'dpc-covid19-ita-andamento-naz'!K12</f>
        <v>148</v>
      </c>
      <c r="I21" s="11">
        <f t="shared" si="3"/>
        <v>267.06970411394207</v>
      </c>
      <c r="J21" s="11">
        <f t="shared" si="4"/>
        <v>725.79333653144204</v>
      </c>
      <c r="K21" s="11">
        <f t="shared" si="5"/>
        <v>0</v>
      </c>
      <c r="L21" s="1"/>
      <c r="M21" s="2" t="s">
        <v>2</v>
      </c>
      <c r="N21" s="1">
        <f>AVERAGE(H7:H47)</f>
        <v>2845.560975609756</v>
      </c>
    </row>
    <row r="22" spans="2:14" x14ac:dyDescent="0.3">
      <c r="B22" s="10">
        <v>43896</v>
      </c>
      <c r="C22" s="4">
        <v>16</v>
      </c>
      <c r="D22" s="11">
        <f>'dpc-covid19-ita-andamento-naz'!L13</f>
        <v>4636</v>
      </c>
      <c r="E22" s="11">
        <f t="shared" si="0"/>
        <v>4742.8779835825962</v>
      </c>
      <c r="F22" s="11">
        <f t="shared" si="6"/>
        <v>7149.7104119148862</v>
      </c>
      <c r="G22" s="11">
        <f t="shared" si="7"/>
        <v>2336.0455552503067</v>
      </c>
      <c r="H22" s="11">
        <f>'dpc-covid19-ita-andamento-naz'!K13</f>
        <v>197</v>
      </c>
      <c r="I22" s="11">
        <f t="shared" si="3"/>
        <v>323.28585748170963</v>
      </c>
      <c r="J22" s="11">
        <f t="shared" si="4"/>
        <v>782.00948989920948</v>
      </c>
      <c r="K22" s="11">
        <f t="shared" si="5"/>
        <v>0</v>
      </c>
      <c r="L22" s="1"/>
      <c r="M22" s="2" t="s">
        <v>3</v>
      </c>
      <c r="N22" s="1">
        <f>COUNT(H7:H47)-COUNT(N18:N20)</f>
        <v>38</v>
      </c>
    </row>
    <row r="23" spans="2:14" x14ac:dyDescent="0.3">
      <c r="B23" s="10">
        <v>43897</v>
      </c>
      <c r="C23" s="4">
        <v>17</v>
      </c>
      <c r="D23" s="11">
        <f>'dpc-covid19-ita-andamento-naz'!L14</f>
        <v>5883</v>
      </c>
      <c r="E23" s="11">
        <f t="shared" si="0"/>
        <v>5739.4628730948625</v>
      </c>
      <c r="F23" s="11">
        <f t="shared" si="6"/>
        <v>8146.2953014271516</v>
      </c>
      <c r="G23" s="11">
        <f t="shared" si="7"/>
        <v>3332.630444762573</v>
      </c>
      <c r="H23" s="11">
        <f>'dpc-covid19-ita-andamento-naz'!K14</f>
        <v>233</v>
      </c>
      <c r="I23" s="11">
        <f t="shared" si="3"/>
        <v>391.04389784623118</v>
      </c>
      <c r="J23" s="11">
        <f t="shared" si="4"/>
        <v>849.76753026373103</v>
      </c>
      <c r="K23" s="11">
        <f t="shared" si="5"/>
        <v>0</v>
      </c>
      <c r="L23" s="1"/>
      <c r="M23" s="2" t="s">
        <v>4</v>
      </c>
      <c r="N23" s="7" cm="1">
        <f t="array" ref="N23">SQRT(SUM((H7:H47-I7:I47)^2)/dfh)</f>
        <v>226.59798205061773</v>
      </c>
    </row>
    <row r="24" spans="2:14" ht="16.2" x14ac:dyDescent="0.3">
      <c r="B24" s="23">
        <v>43898</v>
      </c>
      <c r="C24" s="4">
        <v>18</v>
      </c>
      <c r="D24" s="11">
        <f>'dpc-covid19-ita-andamento-naz'!L15</f>
        <v>7375</v>
      </c>
      <c r="E24" s="11">
        <f t="shared" si="0"/>
        <v>6932.8562861784658</v>
      </c>
      <c r="F24" s="11">
        <f t="shared" si="6"/>
        <v>9339.6887145107557</v>
      </c>
      <c r="G24" s="11">
        <f t="shared" si="7"/>
        <v>4526.0238578461758</v>
      </c>
      <c r="H24" s="11">
        <f>'dpc-covid19-ita-andamento-naz'!K15</f>
        <v>366</v>
      </c>
      <c r="I24" s="11">
        <f t="shared" si="3"/>
        <v>472.57962489111793</v>
      </c>
      <c r="J24" s="11">
        <f t="shared" si="4"/>
        <v>931.30325730861784</v>
      </c>
      <c r="K24" s="11">
        <f t="shared" si="5"/>
        <v>13.855992473618016</v>
      </c>
      <c r="L24" s="1"/>
      <c r="M24" s="2" t="s">
        <v>5</v>
      </c>
      <c r="N24" s="8" cm="1">
        <f t="array" ref="N24">1-SUM((H7:H47-I7:I47)^2)/SUM((H7:H47-Mean_of_yh)^2)</f>
        <v>0.99659934638157122</v>
      </c>
    </row>
    <row r="25" spans="2:14" x14ac:dyDescent="0.3">
      <c r="B25" s="10">
        <v>43899</v>
      </c>
      <c r="C25" s="4">
        <v>19</v>
      </c>
      <c r="D25" s="11">
        <f>'dpc-covid19-ita-andamento-naz'!L16</f>
        <v>9172</v>
      </c>
      <c r="E25" s="11">
        <f t="shared" si="0"/>
        <v>8356.2415440607347</v>
      </c>
      <c r="F25" s="11">
        <f t="shared" si="6"/>
        <v>10763.073972393024</v>
      </c>
      <c r="G25" s="11">
        <f t="shared" si="7"/>
        <v>5949.4091157284456</v>
      </c>
      <c r="H25" s="11">
        <f>'dpc-covid19-ita-andamento-naz'!K16</f>
        <v>463</v>
      </c>
      <c r="I25" s="11">
        <f t="shared" si="3"/>
        <v>570.50104496698941</v>
      </c>
      <c r="J25" s="11">
        <f t="shared" si="4"/>
        <v>1029.2246773844893</v>
      </c>
      <c r="K25" s="11">
        <f t="shared" si="5"/>
        <v>111.7774125494895</v>
      </c>
      <c r="L25" s="1"/>
      <c r="M25" s="2" t="s">
        <v>6</v>
      </c>
      <c r="N25" s="8">
        <f>TINV(0.05,dfh)</f>
        <v>2.0243941639119702</v>
      </c>
    </row>
    <row r="26" spans="2:14" x14ac:dyDescent="0.3">
      <c r="B26" s="23">
        <v>43900</v>
      </c>
      <c r="C26" s="4">
        <v>20</v>
      </c>
      <c r="D26" s="11">
        <f>'dpc-covid19-ita-andamento-naz'!L17</f>
        <v>10149</v>
      </c>
      <c r="E26" s="11">
        <f t="shared" si="0"/>
        <v>10045.896647957543</v>
      </c>
      <c r="F26" s="11">
        <f t="shared" si="6"/>
        <v>12452.729076289832</v>
      </c>
      <c r="G26" s="11">
        <f t="shared" si="7"/>
        <v>7639.0642196252538</v>
      </c>
      <c r="H26" s="11">
        <f>'dpc-covid19-ita-andamento-naz'!K17</f>
        <v>631</v>
      </c>
      <c r="I26" s="11">
        <f t="shared" si="3"/>
        <v>687.82265359325186</v>
      </c>
      <c r="J26" s="11">
        <f t="shared" si="4"/>
        <v>1146.5462860107518</v>
      </c>
      <c r="K26" s="11">
        <f t="shared" si="5"/>
        <v>229.09902117575194</v>
      </c>
      <c r="L26" s="1"/>
      <c r="M26" s="2" t="s">
        <v>7</v>
      </c>
      <c r="N26" s="1">
        <f>Critical_th*SE_of_yh</f>
        <v>458.72363241749991</v>
      </c>
    </row>
    <row r="27" spans="2:14" x14ac:dyDescent="0.3">
      <c r="B27" s="10">
        <v>43901</v>
      </c>
      <c r="C27" s="4">
        <v>21</v>
      </c>
      <c r="D27" s="11">
        <f>'dpc-covid19-ita-andamento-naz'!L18</f>
        <v>12462</v>
      </c>
      <c r="E27" s="11">
        <f t="shared" si="0"/>
        <v>12040.357709566522</v>
      </c>
      <c r="F27" s="11">
        <f t="shared" si="6"/>
        <v>14447.190137898811</v>
      </c>
      <c r="G27" s="11">
        <f t="shared" si="7"/>
        <v>9633.5252812342333</v>
      </c>
      <c r="H27" s="11">
        <f>'dpc-covid19-ita-andamento-naz'!K18</f>
        <v>827</v>
      </c>
      <c r="I27" s="11">
        <f t="shared" si="3"/>
        <v>827.98946730096952</v>
      </c>
      <c r="J27" s="11">
        <f t="shared" si="4"/>
        <v>1286.7130997184695</v>
      </c>
      <c r="K27" s="11">
        <f t="shared" si="5"/>
        <v>369.26583488346961</v>
      </c>
      <c r="L27" s="1"/>
      <c r="M27" s="6"/>
    </row>
    <row r="28" spans="2:14" x14ac:dyDescent="0.3">
      <c r="B28" s="23">
        <v>43902</v>
      </c>
      <c r="C28" s="4">
        <v>22</v>
      </c>
      <c r="D28" s="11">
        <f>'dpc-covid19-ita-andamento-naz'!L19</f>
        <v>15113</v>
      </c>
      <c r="E28" s="11">
        <f t="shared" si="0"/>
        <v>14379.00536134924</v>
      </c>
      <c r="F28" s="11">
        <f t="shared" si="6"/>
        <v>16785.837789681529</v>
      </c>
      <c r="G28" s="11">
        <f t="shared" si="7"/>
        <v>11972.172933016951</v>
      </c>
      <c r="H28" s="11">
        <f>'dpc-covid19-ita-andamento-naz'!K19</f>
        <v>1016</v>
      </c>
      <c r="I28" s="11">
        <f t="shared" si="3"/>
        <v>994.88302398712005</v>
      </c>
      <c r="J28" s="11">
        <f t="shared" si="4"/>
        <v>1453.60665640462</v>
      </c>
      <c r="K28" s="11">
        <f t="shared" si="5"/>
        <v>536.15939156962008</v>
      </c>
      <c r="L28" s="1"/>
      <c r="M28" s="6"/>
    </row>
    <row r="29" spans="2:14" x14ac:dyDescent="0.3">
      <c r="B29" s="10">
        <v>43903</v>
      </c>
      <c r="C29" s="4">
        <v>23</v>
      </c>
      <c r="D29" s="11">
        <f>'dpc-covid19-ita-andamento-naz'!L20</f>
        <v>17660</v>
      </c>
      <c r="E29" s="11">
        <f t="shared" si="0"/>
        <v>17099.947263101145</v>
      </c>
      <c r="F29" s="11">
        <f t="shared" si="6"/>
        <v>19506.779691433436</v>
      </c>
      <c r="G29" s="11">
        <f t="shared" si="7"/>
        <v>14693.114834768856</v>
      </c>
      <c r="H29" s="11">
        <f>'dpc-covid19-ita-andamento-naz'!K20</f>
        <v>1266</v>
      </c>
      <c r="I29" s="11">
        <f t="shared" si="3"/>
        <v>1192.798997654085</v>
      </c>
      <c r="J29" s="11">
        <f t="shared" si="4"/>
        <v>1651.5226300715849</v>
      </c>
      <c r="K29" s="11">
        <f t="shared" si="5"/>
        <v>734.07536523658518</v>
      </c>
      <c r="L29" s="1"/>
    </row>
    <row r="30" spans="2:14" x14ac:dyDescent="0.3">
      <c r="B30" s="10">
        <v>43904</v>
      </c>
      <c r="C30" s="4">
        <v>24</v>
      </c>
      <c r="D30" s="11">
        <f>'dpc-covid19-ita-andamento-naz'!L21</f>
        <v>21157</v>
      </c>
      <c r="E30" s="11">
        <f t="shared" si="0"/>
        <v>20237.118210234603</v>
      </c>
      <c r="F30" s="11">
        <f t="shared" si="6"/>
        <v>22643.950638566894</v>
      </c>
      <c r="G30" s="11">
        <f t="shared" si="7"/>
        <v>17830.285781902312</v>
      </c>
      <c r="H30" s="11">
        <f>'dpc-covid19-ita-andamento-naz'!K21</f>
        <v>1441</v>
      </c>
      <c r="I30" s="11">
        <f t="shared" si="3"/>
        <v>1426.3834562234563</v>
      </c>
      <c r="J30" s="11">
        <f t="shared" si="4"/>
        <v>1885.1070886409561</v>
      </c>
      <c r="K30" s="11">
        <f t="shared" si="5"/>
        <v>967.65982380595642</v>
      </c>
      <c r="L30" s="1"/>
    </row>
    <row r="31" spans="2:14" x14ac:dyDescent="0.3">
      <c r="B31" s="10">
        <v>43905</v>
      </c>
      <c r="C31" s="4">
        <v>25</v>
      </c>
      <c r="D31" s="11">
        <f>'dpc-covid19-ita-andamento-naz'!L22</f>
        <v>24747</v>
      </c>
      <c r="E31" s="11">
        <f t="shared" si="0"/>
        <v>23816.620482887993</v>
      </c>
      <c r="F31" s="11">
        <f t="shared" si="6"/>
        <v>26223.452911220284</v>
      </c>
      <c r="G31" s="11">
        <f t="shared" si="7"/>
        <v>21409.788054555702</v>
      </c>
      <c r="H31" s="11">
        <f>'dpc-covid19-ita-andamento-naz'!K22</f>
        <v>1809</v>
      </c>
      <c r="I31" s="11">
        <f t="shared" si="3"/>
        <v>1700.5127105207785</v>
      </c>
      <c r="J31" s="11">
        <f t="shared" si="4"/>
        <v>2159.2363429382785</v>
      </c>
      <c r="K31" s="11">
        <f t="shared" si="5"/>
        <v>1241.7890781032786</v>
      </c>
      <c r="L31" s="1"/>
    </row>
    <row r="32" spans="2:14" x14ac:dyDescent="0.3">
      <c r="B32" s="10">
        <v>43906</v>
      </c>
      <c r="C32" s="4">
        <v>26</v>
      </c>
      <c r="D32" s="11">
        <f>'dpc-covid19-ita-andamento-naz'!L23</f>
        <v>27980</v>
      </c>
      <c r="E32" s="11">
        <f t="shared" si="0"/>
        <v>27852.489750876866</v>
      </c>
      <c r="F32" s="11">
        <f t="shared" si="6"/>
        <v>30259.322179209157</v>
      </c>
      <c r="G32" s="11">
        <f t="shared" si="7"/>
        <v>25445.657322544575</v>
      </c>
      <c r="H32" s="11">
        <f>'dpc-covid19-ita-andamento-naz'!K23</f>
        <v>2158</v>
      </c>
      <c r="I32" s="11">
        <f t="shared" si="3"/>
        <v>2020.101124036798</v>
      </c>
      <c r="J32" s="11">
        <f t="shared" si="4"/>
        <v>2478.824756454298</v>
      </c>
      <c r="K32" s="11">
        <f t="shared" si="5"/>
        <v>1561.3774916192981</v>
      </c>
      <c r="L32" s="1"/>
    </row>
    <row r="33" spans="2:17" x14ac:dyDescent="0.3">
      <c r="B33" s="10">
        <v>43907</v>
      </c>
      <c r="C33" s="4">
        <v>27</v>
      </c>
      <c r="D33" s="11">
        <f>'dpc-covid19-ita-andamento-naz'!L24</f>
        <v>31506</v>
      </c>
      <c r="E33" s="11">
        <f t="shared" si="0"/>
        <v>32342.287523570791</v>
      </c>
      <c r="F33" s="11">
        <f t="shared" si="6"/>
        <v>34749.119951903078</v>
      </c>
      <c r="G33" s="11">
        <f t="shared" si="7"/>
        <v>29935.4550952385</v>
      </c>
      <c r="H33" s="11">
        <f>'dpc-covid19-ita-andamento-naz'!K24</f>
        <v>2503</v>
      </c>
      <c r="I33" s="11">
        <f t="shared" si="3"/>
        <v>2389.8235598661395</v>
      </c>
      <c r="J33" s="11">
        <f t="shared" si="4"/>
        <v>2848.5471922836396</v>
      </c>
      <c r="K33" s="11">
        <f t="shared" si="5"/>
        <v>1931.0999274486396</v>
      </c>
      <c r="L33" s="1"/>
    </row>
    <row r="34" spans="2:17" x14ac:dyDescent="0.3">
      <c r="B34" s="10">
        <v>43908</v>
      </c>
      <c r="C34" s="4">
        <v>28</v>
      </c>
      <c r="D34" s="11">
        <f>'dpc-covid19-ita-andamento-naz'!L25</f>
        <v>35713</v>
      </c>
      <c r="E34" s="11">
        <f t="shared" si="0"/>
        <v>37263.152436952842</v>
      </c>
      <c r="F34" s="11">
        <f t="shared" ref="F34" si="8">E34+CI</f>
        <v>39669.984865285129</v>
      </c>
      <c r="G34" s="11">
        <f t="shared" si="7"/>
        <v>34856.320008620554</v>
      </c>
      <c r="H34" s="11">
        <f>'dpc-covid19-ita-andamento-naz'!K25</f>
        <v>2978</v>
      </c>
      <c r="I34" s="11">
        <f t="shared" si="3"/>
        <v>2813.7460040566734</v>
      </c>
      <c r="J34" s="11">
        <f t="shared" si="4"/>
        <v>3272.4696364741735</v>
      </c>
      <c r="K34" s="11">
        <f t="shared" si="5"/>
        <v>2355.0223716391733</v>
      </c>
      <c r="Q34" s="1"/>
    </row>
    <row r="35" spans="2:17" x14ac:dyDescent="0.3">
      <c r="B35" s="10">
        <v>43909</v>
      </c>
      <c r="C35" s="4">
        <v>29</v>
      </c>
      <c r="D35" s="11">
        <f>'dpc-covid19-ita-andamento-naz'!L26</f>
        <v>41035</v>
      </c>
      <c r="E35" s="11">
        <f t="shared" si="0"/>
        <v>42569.118379844782</v>
      </c>
      <c r="F35" s="11">
        <f t="shared" ref="F35" si="9">E35+CI</f>
        <v>44975.950808177069</v>
      </c>
      <c r="G35" s="11">
        <f t="shared" si="7"/>
        <v>40162.285951512495</v>
      </c>
      <c r="H35" s="11">
        <f>'dpc-covid19-ita-andamento-naz'!K26</f>
        <v>3405</v>
      </c>
      <c r="I35" s="11">
        <f t="shared" si="3"/>
        <v>3294.8708593760007</v>
      </c>
      <c r="J35" s="11">
        <f t="shared" si="4"/>
        <v>3753.5944917935008</v>
      </c>
      <c r="K35" s="11">
        <f t="shared" si="5"/>
        <v>2836.1472269585006</v>
      </c>
    </row>
    <row r="36" spans="2:17" x14ac:dyDescent="0.3">
      <c r="B36" s="10">
        <v>43910</v>
      </c>
      <c r="C36" s="4">
        <v>30</v>
      </c>
      <c r="D36" s="11">
        <f>'dpc-covid19-ita-andamento-naz'!L27</f>
        <v>47021</v>
      </c>
      <c r="E36" s="11">
        <f t="shared" si="0"/>
        <v>48190.534006249203</v>
      </c>
      <c r="F36" s="11">
        <f t="shared" ref="F36" si="10">E36+CI</f>
        <v>50597.36643458149</v>
      </c>
      <c r="G36" s="11">
        <f t="shared" si="7"/>
        <v>45783.701577916916</v>
      </c>
      <c r="H36" s="11">
        <f>'dpc-covid19-ita-andamento-naz'!K27</f>
        <v>4032</v>
      </c>
      <c r="I36" s="11">
        <f t="shared" si="3"/>
        <v>3834.6230370685853</v>
      </c>
      <c r="J36" s="11">
        <f t="shared" si="4"/>
        <v>4293.3466694860854</v>
      </c>
      <c r="K36" s="11">
        <f t="shared" si="5"/>
        <v>3375.8994046510852</v>
      </c>
    </row>
    <row r="37" spans="2:17" x14ac:dyDescent="0.3">
      <c r="B37" s="10">
        <v>43911</v>
      </c>
      <c r="C37" s="4">
        <v>31</v>
      </c>
      <c r="D37" s="11">
        <f>'dpc-covid19-ita-andamento-naz'!L28</f>
        <v>53578</v>
      </c>
      <c r="E37" s="11">
        <f t="shared" si="0"/>
        <v>54036.214137479685</v>
      </c>
      <c r="F37" s="11">
        <f t="shared" ref="F37" si="11">E37+CI</f>
        <v>56443.046565811972</v>
      </c>
      <c r="G37" s="11">
        <f t="shared" si="7"/>
        <v>51629.381709147397</v>
      </c>
      <c r="H37" s="11">
        <f>'dpc-covid19-ita-andamento-naz'!K28</f>
        <v>4825</v>
      </c>
      <c r="I37" s="11">
        <f t="shared" si="3"/>
        <v>4432.32777625171</v>
      </c>
      <c r="J37" s="11">
        <f t="shared" si="4"/>
        <v>4891.0514086692101</v>
      </c>
      <c r="K37" s="11">
        <f t="shared" si="5"/>
        <v>3973.6041438342099</v>
      </c>
    </row>
    <row r="38" spans="2:17" x14ac:dyDescent="0.3">
      <c r="B38" s="10">
        <v>43912</v>
      </c>
      <c r="C38" s="4">
        <v>32</v>
      </c>
      <c r="D38" s="11">
        <f>'dpc-covid19-ita-andamento-naz'!L29</f>
        <v>59138</v>
      </c>
      <c r="E38" s="11">
        <f t="shared" si="0"/>
        <v>59998.5</v>
      </c>
      <c r="F38" s="11">
        <f t="shared" ref="F38" si="12">E38+CI</f>
        <v>62405.332428332287</v>
      </c>
      <c r="G38" s="11">
        <f t="shared" ref="G38" si="13">MAX(E38-CI,0)</f>
        <v>57591.667571667713</v>
      </c>
      <c r="H38" s="11">
        <f>'dpc-covid19-ita-andamento-naz'!K29</f>
        <v>5476</v>
      </c>
      <c r="I38" s="11">
        <f t="shared" si="3"/>
        <v>5084.7563852833046</v>
      </c>
      <c r="J38" s="11">
        <f t="shared" si="4"/>
        <v>5543.4800177008046</v>
      </c>
      <c r="K38" s="11">
        <f t="shared" si="5"/>
        <v>4626.0327528658045</v>
      </c>
    </row>
    <row r="39" spans="2:17" x14ac:dyDescent="0.3">
      <c r="B39" s="23">
        <v>43913</v>
      </c>
      <c r="C39" s="4">
        <v>33</v>
      </c>
      <c r="D39" s="11">
        <f>'dpc-covid19-ita-andamento-naz'!L30</f>
        <v>63927</v>
      </c>
      <c r="E39" s="11">
        <f t="shared" ref="E39:E70" si="14">K/(1+EXP(-($C39-t0)/w))</f>
        <v>65960.785862520323</v>
      </c>
      <c r="F39" s="11">
        <f t="shared" ref="F39" si="15">E39+CI</f>
        <v>68367.61829085261</v>
      </c>
      <c r="G39" s="11">
        <f t="shared" ref="G39" si="16">MAX(E39-CI,0)</f>
        <v>63553.953434188035</v>
      </c>
      <c r="H39" s="11">
        <f>'dpc-covid19-ita-andamento-naz'!K30</f>
        <v>6077</v>
      </c>
      <c r="I39" s="11">
        <f t="shared" ref="I39:I70" si="17">Kh/(1+EXP(-($C39-t0h)/wh))</f>
        <v>5785.8336691512177</v>
      </c>
      <c r="J39" s="11">
        <f t="shared" si="4"/>
        <v>6244.5573015687178</v>
      </c>
      <c r="K39" s="11">
        <f t="shared" si="5"/>
        <v>5327.1100367337176</v>
      </c>
    </row>
    <row r="40" spans="2:17" x14ac:dyDescent="0.3">
      <c r="B40" s="10">
        <v>43914</v>
      </c>
      <c r="C40" s="4">
        <v>34</v>
      </c>
      <c r="D40" s="11">
        <f>'dpc-covid19-ita-andamento-naz'!L31</f>
        <v>69176</v>
      </c>
      <c r="E40" s="11">
        <f t="shared" si="14"/>
        <v>71806.465993750797</v>
      </c>
      <c r="F40" s="11">
        <f t="shared" ref="F40" si="18">E40+CI</f>
        <v>74213.298422083084</v>
      </c>
      <c r="G40" s="11">
        <f t="shared" ref="G40" si="19">MAX(E40-CI,0)</f>
        <v>69399.63356541851</v>
      </c>
      <c r="H40" s="11">
        <f>'dpc-covid19-ita-andamento-naz'!K31</f>
        <v>6820</v>
      </c>
      <c r="I40" s="11">
        <f t="shared" si="17"/>
        <v>6526.6006367974023</v>
      </c>
      <c r="J40" s="11">
        <f t="shared" si="4"/>
        <v>6985.3242692149024</v>
      </c>
      <c r="K40" s="11">
        <f t="shared" si="5"/>
        <v>6067.8770043799022</v>
      </c>
    </row>
    <row r="41" spans="2:17" x14ac:dyDescent="0.3">
      <c r="B41" s="10">
        <v>43915</v>
      </c>
      <c r="C41" s="4">
        <v>35</v>
      </c>
      <c r="D41" s="11">
        <f>'dpc-covid19-ita-andamento-naz'!L32</f>
        <v>74386</v>
      </c>
      <c r="E41" s="11">
        <f t="shared" si="14"/>
        <v>77427.881620155225</v>
      </c>
      <c r="F41" s="11">
        <f t="shared" ref="F41" si="20">E41+CI</f>
        <v>79834.714048487513</v>
      </c>
      <c r="G41" s="11">
        <f t="shared" ref="G41" si="21">MAX(E41-CI,0)</f>
        <v>75021.049191822938</v>
      </c>
      <c r="H41" s="11">
        <f>'dpc-covid19-ita-andamento-naz'!K32</f>
        <v>7503</v>
      </c>
      <c r="I41" s="11">
        <f t="shared" si="17"/>
        <v>7295.5000951739494</v>
      </c>
      <c r="J41" s="11">
        <f t="shared" si="4"/>
        <v>7754.2237275914495</v>
      </c>
      <c r="K41" s="11">
        <f t="shared" si="5"/>
        <v>6836.7764627564493</v>
      </c>
    </row>
    <row r="42" spans="2:17" x14ac:dyDescent="0.3">
      <c r="B42" s="10">
        <v>43916</v>
      </c>
      <c r="C42" s="4">
        <v>36</v>
      </c>
      <c r="D42" s="11">
        <f>'dpc-covid19-ita-andamento-naz'!L33</f>
        <v>80539</v>
      </c>
      <c r="E42" s="11">
        <f t="shared" si="14"/>
        <v>82733.847563047166</v>
      </c>
      <c r="F42" s="11">
        <f t="shared" ref="F42" si="22">E42+CI</f>
        <v>85140.679991379453</v>
      </c>
      <c r="G42" s="11">
        <f t="shared" ref="G42" si="23">MAX(E42-CI,0)</f>
        <v>80327.015134714879</v>
      </c>
      <c r="H42" s="11">
        <f>'dpc-covid19-ita-andamento-naz'!K33</f>
        <v>8165</v>
      </c>
      <c r="I42" s="11">
        <f t="shared" si="17"/>
        <v>8079</v>
      </c>
      <c r="J42" s="11">
        <f t="shared" si="4"/>
        <v>8537.7236324174992</v>
      </c>
      <c r="K42" s="11">
        <f t="shared" si="5"/>
        <v>7620.2763675824999</v>
      </c>
    </row>
    <row r="43" spans="2:17" x14ac:dyDescent="0.3">
      <c r="B43" s="10">
        <v>43917</v>
      </c>
      <c r="C43" s="4">
        <v>37</v>
      </c>
      <c r="D43" s="11">
        <f>'dpc-covid19-ita-andamento-naz'!L34</f>
        <v>86498</v>
      </c>
      <c r="E43" s="11">
        <f t="shared" si="14"/>
        <v>87654.712476429209</v>
      </c>
      <c r="F43" s="11">
        <f t="shared" ref="F43" si="24">E43+CI</f>
        <v>90061.544904761497</v>
      </c>
      <c r="G43" s="11">
        <f t="shared" ref="G43" si="25">MAX(E43-CI,0)</f>
        <v>85247.880048096922</v>
      </c>
      <c r="H43" s="11">
        <f>'dpc-covid19-ita-andamento-naz'!K34</f>
        <v>9134</v>
      </c>
      <c r="I43" s="11">
        <f t="shared" si="17"/>
        <v>8862.4999048260488</v>
      </c>
      <c r="J43" s="11">
        <f t="shared" si="4"/>
        <v>9321.223537243548</v>
      </c>
      <c r="K43" s="11">
        <f t="shared" si="5"/>
        <v>8403.7762724085496</v>
      </c>
    </row>
    <row r="44" spans="2:17" x14ac:dyDescent="0.3">
      <c r="B44" s="10">
        <v>43918</v>
      </c>
      <c r="C44" s="4">
        <v>38</v>
      </c>
      <c r="D44" s="11">
        <f>'dpc-covid19-ita-andamento-naz'!L35</f>
        <v>92472</v>
      </c>
      <c r="E44" s="11">
        <f t="shared" si="14"/>
        <v>92144.510249123137</v>
      </c>
      <c r="F44" s="11">
        <f t="shared" ref="F44" si="26">E44+CI</f>
        <v>94551.342677455425</v>
      </c>
      <c r="G44" s="11">
        <f t="shared" ref="G44" si="27">MAX(E44-CI,0)</f>
        <v>89737.67782079085</v>
      </c>
      <c r="H44" s="11">
        <f>'dpc-covid19-ita-andamento-naz'!K35</f>
        <v>10023</v>
      </c>
      <c r="I44" s="11">
        <f t="shared" si="17"/>
        <v>9631.3993632025977</v>
      </c>
      <c r="J44" s="11">
        <f t="shared" si="4"/>
        <v>10090.122995620097</v>
      </c>
      <c r="K44" s="11">
        <f t="shared" si="5"/>
        <v>9172.6757307850985</v>
      </c>
    </row>
    <row r="45" spans="2:17" x14ac:dyDescent="0.3">
      <c r="B45" s="10">
        <v>43919</v>
      </c>
      <c r="C45" s="4">
        <v>39</v>
      </c>
      <c r="D45" s="11">
        <f>'dpc-covid19-ita-andamento-naz'!L36</f>
        <v>97689</v>
      </c>
      <c r="E45" s="11">
        <f t="shared" si="14"/>
        <v>96180.379517112015</v>
      </c>
      <c r="F45" s="11">
        <f t="shared" ref="F45" si="28">E45+CI</f>
        <v>98587.211945444302</v>
      </c>
      <c r="G45" s="11">
        <f t="shared" ref="G45" si="29">MAX(E45-CI,0)</f>
        <v>93773.547088779727</v>
      </c>
      <c r="H45" s="11">
        <f>'dpc-covid19-ita-andamento-naz'!K36</f>
        <v>10779</v>
      </c>
      <c r="I45" s="11">
        <f t="shared" si="17"/>
        <v>10372.166330848782</v>
      </c>
      <c r="J45" s="11">
        <f t="shared" si="4"/>
        <v>10830.889963266281</v>
      </c>
      <c r="K45" s="11">
        <f t="shared" si="5"/>
        <v>9913.4426984312831</v>
      </c>
    </row>
    <row r="46" spans="2:17" x14ac:dyDescent="0.3">
      <c r="B46" s="10">
        <v>43920</v>
      </c>
      <c r="C46" s="4">
        <v>40</v>
      </c>
      <c r="D46" s="11">
        <f>'dpc-covid19-ita-andamento-naz'!L37</f>
        <v>101739</v>
      </c>
      <c r="E46" s="11">
        <f t="shared" si="14"/>
        <v>99759.881789765393</v>
      </c>
      <c r="F46" s="11">
        <f t="shared" ref="F46" si="30">E46+CI</f>
        <v>102166.71421809768</v>
      </c>
      <c r="G46" s="11">
        <f t="shared" ref="G46" si="31">MAX(E46-CI,0)</f>
        <v>97353.049361433106</v>
      </c>
      <c r="H46" s="11">
        <f>'dpc-covid19-ita-andamento-naz'!K37</f>
        <v>11591</v>
      </c>
      <c r="I46" s="11">
        <f t="shared" si="17"/>
        <v>11073.243614716695</v>
      </c>
      <c r="J46" s="11">
        <f t="shared" si="4"/>
        <v>11531.967247134195</v>
      </c>
      <c r="K46" s="11">
        <f t="shared" si="5"/>
        <v>10614.519982299196</v>
      </c>
    </row>
    <row r="47" spans="2:17" x14ac:dyDescent="0.3">
      <c r="B47" s="10">
        <v>43921</v>
      </c>
      <c r="C47" s="4">
        <v>41</v>
      </c>
      <c r="D47" s="11">
        <f>'dpc-covid19-ita-andamento-naz'!L38</f>
        <v>105792</v>
      </c>
      <c r="E47" s="11">
        <f t="shared" si="14"/>
        <v>102897.05273689886</v>
      </c>
      <c r="F47" s="11">
        <f t="shared" ref="F47" si="32">E47+CI</f>
        <v>105303.88516523114</v>
      </c>
      <c r="G47" s="11">
        <f t="shared" ref="G47" si="33">MAX(E47-CI,0)</f>
        <v>100490.22030856657</v>
      </c>
      <c r="H47" s="11">
        <f>'dpc-covid19-ita-andamento-naz'!K38</f>
        <v>12428</v>
      </c>
      <c r="I47" s="11">
        <f t="shared" si="17"/>
        <v>11725.672223748288</v>
      </c>
      <c r="J47" s="11">
        <f t="shared" si="4"/>
        <v>12184.395856165787</v>
      </c>
      <c r="K47" s="11">
        <f t="shared" ref="K47" si="34">MAX(I47-CIh,0)</f>
        <v>11266.948591330789</v>
      </c>
    </row>
    <row r="48" spans="2:17" x14ac:dyDescent="0.3">
      <c r="B48" s="10">
        <v>43922</v>
      </c>
      <c r="C48" s="4">
        <v>42</v>
      </c>
      <c r="E48" s="11">
        <f t="shared" si="14"/>
        <v>105617.99463865077</v>
      </c>
      <c r="I48" s="11">
        <f t="shared" si="17"/>
        <v>12323.376962931416</v>
      </c>
    </row>
    <row r="49" spans="2:9" x14ac:dyDescent="0.3">
      <c r="B49" s="10">
        <v>43923</v>
      </c>
      <c r="C49" s="4">
        <v>43</v>
      </c>
      <c r="E49" s="11">
        <f t="shared" si="14"/>
        <v>107956.64229043348</v>
      </c>
      <c r="I49" s="11">
        <f t="shared" si="17"/>
        <v>12863.129140623998</v>
      </c>
    </row>
    <row r="50" spans="2:9" x14ac:dyDescent="0.3">
      <c r="B50" s="10">
        <v>43924</v>
      </c>
      <c r="C50" s="4">
        <v>44</v>
      </c>
      <c r="E50" s="11">
        <f t="shared" si="14"/>
        <v>109951.10335204247</v>
      </c>
      <c r="I50" s="11">
        <f t="shared" si="17"/>
        <v>13344.253995943325</v>
      </c>
    </row>
    <row r="51" spans="2:9" x14ac:dyDescent="0.3">
      <c r="B51" s="10">
        <v>43925</v>
      </c>
      <c r="C51" s="4">
        <v>45</v>
      </c>
      <c r="E51" s="11">
        <f t="shared" si="14"/>
        <v>111640.75845593927</v>
      </c>
      <c r="I51" s="11">
        <f t="shared" si="17"/>
        <v>13768.176440133862</v>
      </c>
    </row>
    <row r="52" spans="2:9" x14ac:dyDescent="0.3">
      <c r="B52" s="10">
        <v>43926</v>
      </c>
      <c r="C52" s="4">
        <v>46</v>
      </c>
      <c r="E52" s="11">
        <f t="shared" si="14"/>
        <v>113064.14371382154</v>
      </c>
      <c r="I52" s="11">
        <f t="shared" si="17"/>
        <v>14137.898875963201</v>
      </c>
    </row>
    <row r="53" spans="2:9" x14ac:dyDescent="0.3">
      <c r="B53" s="10">
        <v>43927</v>
      </c>
      <c r="C53" s="4">
        <v>47</v>
      </c>
      <c r="E53" s="11">
        <f t="shared" si="14"/>
        <v>114257.53712690514</v>
      </c>
      <c r="I53" s="11">
        <f t="shared" si="17"/>
        <v>14457.487289479221</v>
      </c>
    </row>
    <row r="54" spans="2:9" x14ac:dyDescent="0.3">
      <c r="B54" s="10">
        <v>43928</v>
      </c>
      <c r="C54" s="4">
        <v>48</v>
      </c>
      <c r="E54" s="11">
        <f t="shared" si="14"/>
        <v>115254.1220164174</v>
      </c>
      <c r="I54" s="11">
        <f t="shared" si="17"/>
        <v>14731.616543776543</v>
      </c>
    </row>
    <row r="55" spans="2:9" x14ac:dyDescent="0.3">
      <c r="B55" s="10">
        <v>43929</v>
      </c>
      <c r="C55" s="4">
        <v>49</v>
      </c>
      <c r="E55" s="11">
        <f t="shared" si="14"/>
        <v>116083.58949133892</v>
      </c>
      <c r="I55" s="11">
        <f t="shared" si="17"/>
        <v>14965.201002345913</v>
      </c>
    </row>
    <row r="56" spans="2:9" x14ac:dyDescent="0.3">
      <c r="B56" s="10">
        <v>43930</v>
      </c>
      <c r="C56" s="4">
        <v>50</v>
      </c>
      <c r="E56" s="11">
        <f t="shared" si="14"/>
        <v>116772.05296355035</v>
      </c>
      <c r="I56" s="11">
        <f t="shared" si="17"/>
        <v>15163.11697601288</v>
      </c>
    </row>
    <row r="57" spans="2:9" x14ac:dyDescent="0.3">
      <c r="B57" s="10">
        <v>43931</v>
      </c>
      <c r="C57" s="4">
        <v>51</v>
      </c>
      <c r="E57" s="11">
        <f t="shared" si="14"/>
        <v>117342.16902824382</v>
      </c>
      <c r="I57" s="11">
        <f t="shared" si="17"/>
        <v>15330.010532699032</v>
      </c>
    </row>
    <row r="58" spans="2:9" x14ac:dyDescent="0.3">
      <c r="B58" s="10">
        <v>43932</v>
      </c>
      <c r="C58" s="4">
        <v>52</v>
      </c>
      <c r="E58" s="11">
        <f t="shared" si="14"/>
        <v>117813.3829169875</v>
      </c>
      <c r="I58" s="11">
        <f t="shared" si="17"/>
        <v>15470.177346406748</v>
      </c>
    </row>
    <row r="59" spans="2:9" x14ac:dyDescent="0.3">
      <c r="B59" s="10">
        <v>43933</v>
      </c>
      <c r="C59" s="4">
        <v>53</v>
      </c>
      <c r="E59" s="11">
        <f t="shared" si="14"/>
        <v>118202.23888280914</v>
      </c>
      <c r="I59" s="11">
        <f t="shared" si="17"/>
        <v>15587.498955033012</v>
      </c>
    </row>
    <row r="60" spans="2:9" x14ac:dyDescent="0.3">
      <c r="B60" s="10">
        <v>43934</v>
      </c>
      <c r="C60" s="4">
        <v>54</v>
      </c>
      <c r="E60" s="11">
        <f t="shared" si="14"/>
        <v>118522.71437376976</v>
      </c>
      <c r="I60" s="11">
        <f t="shared" si="17"/>
        <v>15685.420375108883</v>
      </c>
    </row>
    <row r="61" spans="2:9" x14ac:dyDescent="0.3">
      <c r="B61" s="10">
        <v>43935</v>
      </c>
      <c r="C61" s="4">
        <v>55</v>
      </c>
      <c r="E61" s="11">
        <f t="shared" si="14"/>
        <v>118786.55124324937</v>
      </c>
      <c r="I61" s="11">
        <f t="shared" si="17"/>
        <v>15766.956102153768</v>
      </c>
    </row>
    <row r="62" spans="2:9" x14ac:dyDescent="0.3">
      <c r="B62" s="10">
        <v>43936</v>
      </c>
      <c r="C62" s="4">
        <v>56</v>
      </c>
      <c r="E62" s="11">
        <f t="shared" si="14"/>
        <v>119003.56785133228</v>
      </c>
      <c r="I62" s="11">
        <f t="shared" si="17"/>
        <v>15834.714142518291</v>
      </c>
    </row>
    <row r="63" spans="2:9" x14ac:dyDescent="0.3">
      <c r="B63" s="10">
        <v>43937</v>
      </c>
      <c r="C63" s="4">
        <v>57</v>
      </c>
      <c r="E63" s="11">
        <f t="shared" si="14"/>
        <v>119181.94337178773</v>
      </c>
      <c r="I63" s="11">
        <f t="shared" si="17"/>
        <v>15890.930295886059</v>
      </c>
    </row>
    <row r="64" spans="2:9" x14ac:dyDescent="0.3">
      <c r="B64" s="10">
        <v>43938</v>
      </c>
      <c r="C64" s="4">
        <v>58</v>
      </c>
      <c r="E64" s="11">
        <f t="shared" si="14"/>
        <v>119328.47063513829</v>
      </c>
      <c r="I64" s="11">
        <f t="shared" si="17"/>
        <v>15937.507145926189</v>
      </c>
    </row>
    <row r="65" spans="2:9" x14ac:dyDescent="0.3">
      <c r="B65" s="10">
        <v>43939</v>
      </c>
      <c r="C65" s="4">
        <v>59</v>
      </c>
      <c r="E65" s="11">
        <f t="shared" si="14"/>
        <v>119448.77704758594</v>
      </c>
      <c r="I65" s="11">
        <f t="shared" si="17"/>
        <v>15976.054017393541</v>
      </c>
    </row>
    <row r="66" spans="2:9" x14ac:dyDescent="0.3">
      <c r="B66" s="10">
        <v>43940</v>
      </c>
      <c r="C66" s="4">
        <v>60</v>
      </c>
      <c r="E66" s="11">
        <f t="shared" si="14"/>
        <v>119547.5150525113</v>
      </c>
      <c r="I66" s="11">
        <f t="shared" si="17"/>
        <v>16007.925526105048</v>
      </c>
    </row>
    <row r="67" spans="2:9" x14ac:dyDescent="0.3">
      <c r="B67" s="10">
        <v>43941</v>
      </c>
      <c r="C67" s="4">
        <v>61</v>
      </c>
      <c r="E67" s="11">
        <f t="shared" si="14"/>
        <v>119628.52465099025</v>
      </c>
      <c r="I67" s="11">
        <f t="shared" si="17"/>
        <v>16034.257339905991</v>
      </c>
    </row>
    <row r="68" spans="2:9" x14ac:dyDescent="0.3">
      <c r="B68" s="10">
        <v>43942</v>
      </c>
      <c r="C68" s="4">
        <v>62</v>
      </c>
      <c r="E68" s="11">
        <f t="shared" si="14"/>
        <v>119694.97096940101</v>
      </c>
      <c r="I68" s="11">
        <f t="shared" si="17"/>
        <v>16055.998457343829</v>
      </c>
    </row>
    <row r="69" spans="2:9" x14ac:dyDescent="0.3">
      <c r="B69" s="10">
        <v>43943</v>
      </c>
      <c r="C69" s="4">
        <v>63</v>
      </c>
      <c r="E69" s="11">
        <f t="shared" si="14"/>
        <v>119749.4599687757</v>
      </c>
      <c r="I69" s="11">
        <f t="shared" si="17"/>
        <v>16073.939768285025</v>
      </c>
    </row>
    <row r="70" spans="2:9" x14ac:dyDescent="0.3">
      <c r="B70" s="10">
        <v>43944</v>
      </c>
      <c r="C70" s="4">
        <v>64</v>
      </c>
      <c r="E70" s="11">
        <f t="shared" si="14"/>
        <v>119794.13527918728</v>
      </c>
      <c r="I70" s="11">
        <f t="shared" si="17"/>
        <v>16088.738949367393</v>
      </c>
    </row>
    <row r="71" spans="2:9" x14ac:dyDescent="0.3">
      <c r="B71" s="10"/>
      <c r="C71" s="4"/>
    </row>
    <row r="72" spans="2:9" x14ac:dyDescent="0.3">
      <c r="B72" s="10"/>
      <c r="C72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V72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4.109375" style="2" bestFit="1" customWidth="1"/>
    <col min="5" max="5" width="9.6640625" style="2" bestFit="1" customWidth="1"/>
    <col min="6" max="6" width="7.44140625" style="2" bestFit="1" customWidth="1"/>
    <col min="7" max="7" width="7.5546875" style="2" bestFit="1" customWidth="1"/>
    <col min="8" max="8" width="8.109375" style="2" bestFit="1" customWidth="1"/>
    <col min="9" max="9" width="8.21875" style="2" bestFit="1" customWidth="1"/>
    <col min="10" max="10" width="11.109375" style="2" bestFit="1" customWidth="1"/>
    <col min="11" max="12" width="9.6640625" style="2" bestFit="1" customWidth="1"/>
    <col min="13" max="13" width="9.77734375" style="2" bestFit="1" customWidth="1"/>
    <col min="14" max="14" width="11.6640625" style="2" bestFit="1" customWidth="1"/>
    <col min="15" max="15" width="11.777343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13</v>
      </c>
    </row>
    <row r="3" spans="2:22" ht="17.399999999999999" customHeight="1" x14ac:dyDescent="0.6">
      <c r="B3" s="13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S3" s="21" t="s">
        <v>0</v>
      </c>
      <c r="T3" s="20" t="s">
        <v>55</v>
      </c>
      <c r="U3" s="17"/>
      <c r="V3" s="17"/>
    </row>
    <row r="4" spans="2:22" ht="20.399999999999999" x14ac:dyDescent="0.35">
      <c r="B4" s="16" t="s">
        <v>25</v>
      </c>
      <c r="C4" s="15"/>
      <c r="D4" s="14"/>
      <c r="E4" s="14"/>
      <c r="F4" s="14"/>
      <c r="G4" s="14"/>
      <c r="H4" s="14"/>
      <c r="J4" s="14"/>
      <c r="K4" s="14"/>
      <c r="L4" s="14"/>
      <c r="M4" s="14"/>
      <c r="N4" s="14"/>
      <c r="S4" s="21" t="s">
        <v>26</v>
      </c>
      <c r="T4" s="20" t="s">
        <v>56</v>
      </c>
      <c r="U4" s="17"/>
      <c r="V4" s="17"/>
    </row>
    <row r="5" spans="2:22" ht="18" x14ac:dyDescent="0.35">
      <c r="B5" s="16" t="s">
        <v>57</v>
      </c>
      <c r="C5" s="14"/>
      <c r="D5" s="14"/>
      <c r="E5" s="14"/>
      <c r="F5" s="14"/>
      <c r="G5" s="14"/>
      <c r="H5" s="14"/>
      <c r="J5" s="14"/>
      <c r="K5" s="14"/>
      <c r="L5" s="14"/>
      <c r="M5" s="14"/>
      <c r="N5" s="14"/>
      <c r="S5" s="21" t="s">
        <v>1</v>
      </c>
      <c r="T5" s="20" t="s">
        <v>58</v>
      </c>
      <c r="U5" s="17"/>
      <c r="V5" s="17"/>
    </row>
    <row r="6" spans="2:22" x14ac:dyDescent="0.3">
      <c r="B6" s="4" t="s">
        <v>10</v>
      </c>
      <c r="C6" s="4" t="s">
        <v>11</v>
      </c>
      <c r="D6" s="4" t="s">
        <v>28</v>
      </c>
      <c r="E6" s="4" t="s">
        <v>29</v>
      </c>
      <c r="F6" s="9" t="s">
        <v>59</v>
      </c>
      <c r="G6" s="9" t="s">
        <v>60</v>
      </c>
      <c r="H6" s="9" t="s">
        <v>8</v>
      </c>
      <c r="I6" s="9" t="s">
        <v>9</v>
      </c>
      <c r="J6" s="4" t="s">
        <v>61</v>
      </c>
      <c r="K6" s="4" t="s">
        <v>62</v>
      </c>
      <c r="L6" s="9" t="s">
        <v>63</v>
      </c>
      <c r="M6" s="9" t="s">
        <v>64</v>
      </c>
      <c r="N6" s="9" t="s">
        <v>65</v>
      </c>
      <c r="O6" s="9" t="s">
        <v>66</v>
      </c>
      <c r="P6" s="9"/>
      <c r="Q6" s="29" t="s">
        <v>50</v>
      </c>
      <c r="R6" s="3"/>
      <c r="S6" s="3"/>
    </row>
    <row r="7" spans="2:22" x14ac:dyDescent="0.3">
      <c r="B7" s="26">
        <v>43881</v>
      </c>
      <c r="C7" s="27">
        <v>1</v>
      </c>
      <c r="D7" s="28">
        <v>3</v>
      </c>
      <c r="E7" s="11">
        <f>D7-D7</f>
        <v>0</v>
      </c>
      <c r="F7" s="11">
        <f t="shared" ref="F7:F38" si="0">Kn/(1+EXP(-($C7-t0n)/wn))</f>
        <v>562.63285623912282</v>
      </c>
      <c r="G7" s="11">
        <f>F7-F7</f>
        <v>0</v>
      </c>
      <c r="H7" s="11">
        <f t="shared" ref="H7:H10" si="1">G7+CIn</f>
        <v>900.74787633499216</v>
      </c>
      <c r="I7" s="11">
        <f t="shared" ref="I7:I10" si="2">MAX(G7-CIn,0)</f>
        <v>0</v>
      </c>
      <c r="J7" s="27">
        <v>0</v>
      </c>
      <c r="K7" s="11">
        <f>J7-J7</f>
        <v>0</v>
      </c>
      <c r="L7" s="11">
        <f t="shared" ref="L7:L38" si="3">Kd/(1+EXP(-($C7-t0d)/wd))</f>
        <v>48.775509029658821</v>
      </c>
      <c r="M7" s="11">
        <f>L7-L7</f>
        <v>0</v>
      </c>
      <c r="N7" s="11">
        <f t="shared" ref="N7:N46" si="4">M7+CId</f>
        <v>127.21374411630319</v>
      </c>
      <c r="O7" s="11">
        <f t="shared" ref="O7:O46" si="5">MAX(M7-CId,0)</f>
        <v>0</v>
      </c>
      <c r="P7" s="9"/>
      <c r="Q7" s="22" t="s">
        <v>0</v>
      </c>
      <c r="R7" s="5">
        <v>140549</v>
      </c>
      <c r="S7" s="3"/>
    </row>
    <row r="8" spans="2:22" ht="15.6" x14ac:dyDescent="0.35">
      <c r="B8" s="26">
        <v>43882</v>
      </c>
      <c r="C8" s="27">
        <v>2</v>
      </c>
      <c r="D8" s="28">
        <v>20</v>
      </c>
      <c r="E8" s="11">
        <f t="shared" ref="E8:E11" si="6">D8-D7</f>
        <v>17</v>
      </c>
      <c r="F8" s="11">
        <f t="shared" si="0"/>
        <v>664.524053055492</v>
      </c>
      <c r="G8" s="11">
        <f t="shared" ref="G8:G11" si="7">F8-F7</f>
        <v>101.89119681636919</v>
      </c>
      <c r="H8" s="11">
        <f t="shared" si="1"/>
        <v>1002.6390731513613</v>
      </c>
      <c r="I8" s="11">
        <f t="shared" si="2"/>
        <v>0</v>
      </c>
      <c r="J8" s="27">
        <v>1</v>
      </c>
      <c r="K8" s="11">
        <f t="shared" ref="K8:K47" si="8">J8-J7</f>
        <v>1</v>
      </c>
      <c r="L8" s="11">
        <f t="shared" si="3"/>
        <v>57.403392028493087</v>
      </c>
      <c r="M8" s="11">
        <f t="shared" ref="M8:M11" si="9">L8-L7</f>
        <v>8.6278829988342665</v>
      </c>
      <c r="N8" s="11">
        <f t="shared" si="4"/>
        <v>135.84162711513744</v>
      </c>
      <c r="O8" s="11">
        <f t="shared" si="5"/>
        <v>0</v>
      </c>
      <c r="P8" s="9"/>
      <c r="Q8" s="22" t="s">
        <v>27</v>
      </c>
      <c r="R8" s="5">
        <v>34</v>
      </c>
      <c r="S8" s="3"/>
    </row>
    <row r="9" spans="2:22" x14ac:dyDescent="0.3">
      <c r="B9" s="26">
        <v>43883</v>
      </c>
      <c r="C9" s="27">
        <v>3</v>
      </c>
      <c r="D9" s="28">
        <v>62</v>
      </c>
      <c r="E9" s="11">
        <f t="shared" si="6"/>
        <v>42</v>
      </c>
      <c r="F9" s="11">
        <f t="shared" si="0"/>
        <v>784.76401031380203</v>
      </c>
      <c r="G9" s="11">
        <f t="shared" si="7"/>
        <v>120.23995725831003</v>
      </c>
      <c r="H9" s="11">
        <f t="shared" si="1"/>
        <v>1020.9878335933022</v>
      </c>
      <c r="I9" s="11">
        <f t="shared" si="2"/>
        <v>0</v>
      </c>
      <c r="J9" s="27">
        <v>2</v>
      </c>
      <c r="K9" s="11">
        <f t="shared" si="8"/>
        <v>1</v>
      </c>
      <c r="L9" s="11">
        <f t="shared" si="3"/>
        <v>67.552434095918329</v>
      </c>
      <c r="M9" s="11">
        <f t="shared" si="9"/>
        <v>10.149042067425242</v>
      </c>
      <c r="N9" s="11">
        <f t="shared" si="4"/>
        <v>137.36278618372842</v>
      </c>
      <c r="O9" s="11">
        <f t="shared" si="5"/>
        <v>0</v>
      </c>
      <c r="P9" s="9"/>
      <c r="Q9" s="22" t="s">
        <v>1</v>
      </c>
      <c r="R9" s="25">
        <v>5.9818662180932192</v>
      </c>
      <c r="S9" s="3"/>
    </row>
    <row r="10" spans="2:22" x14ac:dyDescent="0.3">
      <c r="B10" s="26">
        <v>43884</v>
      </c>
      <c r="C10" s="27">
        <v>4</v>
      </c>
      <c r="D10" s="28">
        <v>155</v>
      </c>
      <c r="E10" s="11">
        <f t="shared" si="6"/>
        <v>93</v>
      </c>
      <c r="F10" s="11">
        <f t="shared" si="0"/>
        <v>926.61624417820701</v>
      </c>
      <c r="G10" s="11">
        <f t="shared" si="7"/>
        <v>141.85223386440498</v>
      </c>
      <c r="H10" s="11">
        <f t="shared" si="1"/>
        <v>1042.600110199397</v>
      </c>
      <c r="I10" s="11">
        <f t="shared" si="2"/>
        <v>0</v>
      </c>
      <c r="J10" s="27">
        <v>3</v>
      </c>
      <c r="K10" s="11">
        <f t="shared" si="8"/>
        <v>1</v>
      </c>
      <c r="L10" s="11">
        <f t="shared" si="3"/>
        <v>79.488894676321451</v>
      </c>
      <c r="M10" s="11">
        <f t="shared" si="9"/>
        <v>11.936460580403121</v>
      </c>
      <c r="N10" s="11">
        <f t="shared" si="4"/>
        <v>139.15020469670631</v>
      </c>
      <c r="O10" s="11">
        <f t="shared" si="5"/>
        <v>0</v>
      </c>
      <c r="P10" s="9"/>
      <c r="Q10" s="6" t="s">
        <v>2</v>
      </c>
      <c r="R10" s="1">
        <f>AVERAGE(E_start:E_end)</f>
        <v>2580.2195121951218</v>
      </c>
      <c r="S10" s="3"/>
    </row>
    <row r="11" spans="2:22" x14ac:dyDescent="0.3">
      <c r="B11" s="23">
        <v>43885</v>
      </c>
      <c r="C11" s="4">
        <v>5</v>
      </c>
      <c r="D11" s="11">
        <f>'dpc-covid19-ita-andamento-naz'!L2</f>
        <v>229</v>
      </c>
      <c r="E11" s="11">
        <f t="shared" si="6"/>
        <v>74</v>
      </c>
      <c r="F11" s="11">
        <f t="shared" si="0"/>
        <v>1093.9086924209632</v>
      </c>
      <c r="G11" s="11">
        <f t="shared" si="7"/>
        <v>167.29244824275622</v>
      </c>
      <c r="H11" s="11">
        <f t="shared" ref="H11:H44" si="10">G11+CIn</f>
        <v>1068.0403245777484</v>
      </c>
      <c r="I11" s="11">
        <f t="shared" ref="I11:I43" si="11">MAX(G11-CIn,0)</f>
        <v>0</v>
      </c>
      <c r="J11" s="11">
        <f>'dpc-covid19-ita-andamento-naz'!K2</f>
        <v>7</v>
      </c>
      <c r="K11" s="11">
        <f t="shared" si="8"/>
        <v>4</v>
      </c>
      <c r="L11" s="11">
        <f t="shared" si="3"/>
        <v>93.524896484020161</v>
      </c>
      <c r="M11" s="11">
        <f t="shared" si="9"/>
        <v>14.03600180769871</v>
      </c>
      <c r="N11" s="11">
        <f t="shared" si="4"/>
        <v>141.2497459240019</v>
      </c>
      <c r="O11" s="11">
        <f t="shared" si="5"/>
        <v>0</v>
      </c>
      <c r="P11" s="1"/>
      <c r="Q11" s="6" t="s">
        <v>3</v>
      </c>
      <c r="R11" s="1">
        <f>COUNT(E_start:E_end)-COUNT(R7:R9)</f>
        <v>38</v>
      </c>
    </row>
    <row r="12" spans="2:22" x14ac:dyDescent="0.3">
      <c r="B12" s="10">
        <v>43886</v>
      </c>
      <c r="C12" s="4">
        <v>6</v>
      </c>
      <c r="D12" s="11">
        <f>'dpc-covid19-ita-andamento-naz'!L3</f>
        <v>322</v>
      </c>
      <c r="E12" s="11">
        <f>D12-D11</f>
        <v>93</v>
      </c>
      <c r="F12" s="11">
        <f t="shared" si="0"/>
        <v>1291.125030329596</v>
      </c>
      <c r="G12" s="11">
        <f>F12-F11</f>
        <v>197.2163379086328</v>
      </c>
      <c r="H12" s="11">
        <f t="shared" si="10"/>
        <v>1097.9642142436251</v>
      </c>
      <c r="I12" s="11">
        <f t="shared" si="11"/>
        <v>0</v>
      </c>
      <c r="J12" s="11">
        <f>'dpc-covid19-ita-andamento-naz'!K3</f>
        <v>10</v>
      </c>
      <c r="K12" s="11">
        <f t="shared" si="8"/>
        <v>3</v>
      </c>
      <c r="L12" s="11">
        <f t="shared" si="3"/>
        <v>110.02604053176213</v>
      </c>
      <c r="M12" s="11">
        <f>L12-L11</f>
        <v>16.501144047741974</v>
      </c>
      <c r="N12" s="11">
        <f t="shared" si="4"/>
        <v>143.71488816404516</v>
      </c>
      <c r="O12" s="11">
        <f t="shared" si="5"/>
        <v>0</v>
      </c>
      <c r="P12" s="1"/>
      <c r="Q12" s="6" t="s">
        <v>4</v>
      </c>
      <c r="R12" s="7" cm="1">
        <f t="array" ref="R12">SQRT(SUM((E_start:E_end-G_start:G_end)^2)/dfn)</f>
        <v>444.94688455057252</v>
      </c>
    </row>
    <row r="13" spans="2:22" ht="16.2" x14ac:dyDescent="0.3">
      <c r="B13" s="10">
        <v>43887</v>
      </c>
      <c r="C13" s="4">
        <v>7</v>
      </c>
      <c r="D13" s="11">
        <f>'dpc-covid19-ita-andamento-naz'!L4</f>
        <v>400</v>
      </c>
      <c r="E13" s="11">
        <f t="shared" ref="E13:E47" si="12">D13-D12</f>
        <v>78</v>
      </c>
      <c r="F13" s="11">
        <f t="shared" si="0"/>
        <v>1523.5082655489082</v>
      </c>
      <c r="G13" s="11">
        <f t="shared" ref="G13:G70" si="13">F13-F12</f>
        <v>232.38323521931216</v>
      </c>
      <c r="H13" s="11">
        <f t="shared" si="10"/>
        <v>1133.1311115543044</v>
      </c>
      <c r="I13" s="11">
        <f t="shared" si="11"/>
        <v>0</v>
      </c>
      <c r="J13" s="11">
        <f>'dpc-covid19-ita-andamento-naz'!K4</f>
        <v>12</v>
      </c>
      <c r="K13" s="11">
        <f t="shared" si="8"/>
        <v>2</v>
      </c>
      <c r="L13" s="11">
        <f t="shared" si="3"/>
        <v>129.42017569385396</v>
      </c>
      <c r="M13" s="11">
        <f t="shared" ref="M13:M70" si="14">L13-L12</f>
        <v>19.394135162091828</v>
      </c>
      <c r="N13" s="11">
        <f t="shared" si="4"/>
        <v>146.60787927839502</v>
      </c>
      <c r="O13" s="11">
        <f t="shared" si="5"/>
        <v>0</v>
      </c>
      <c r="P13" s="1"/>
      <c r="Q13" s="6" t="s">
        <v>5</v>
      </c>
      <c r="R13" s="8" cm="1">
        <f t="array" ref="R13">1-SUM((E_start:E_end-G_start:G_end)^2)/SUM((E_start:E_end-Mean_of_yn)^2)</f>
        <v>0.96361649177853981</v>
      </c>
    </row>
    <row r="14" spans="2:22" x14ac:dyDescent="0.3">
      <c r="B14" s="10">
        <v>43888</v>
      </c>
      <c r="C14" s="4">
        <v>8</v>
      </c>
      <c r="D14" s="11">
        <f>'dpc-covid19-ita-andamento-naz'!L5</f>
        <v>650</v>
      </c>
      <c r="E14" s="11">
        <f t="shared" si="12"/>
        <v>250</v>
      </c>
      <c r="F14" s="11">
        <f t="shared" si="0"/>
        <v>1797.1772401662422</v>
      </c>
      <c r="G14" s="11">
        <f t="shared" si="13"/>
        <v>273.66897461733402</v>
      </c>
      <c r="H14" s="11">
        <f t="shared" si="10"/>
        <v>1174.4168509523261</v>
      </c>
      <c r="I14" s="11">
        <f t="shared" si="11"/>
        <v>0</v>
      </c>
      <c r="J14" s="11">
        <f>'dpc-covid19-ita-andamento-naz'!K5</f>
        <v>17</v>
      </c>
      <c r="K14" s="11">
        <f t="shared" si="8"/>
        <v>5</v>
      </c>
      <c r="L14" s="11">
        <f t="shared" si="3"/>
        <v>152.20745474860769</v>
      </c>
      <c r="M14" s="11">
        <f t="shared" si="14"/>
        <v>22.787279054753725</v>
      </c>
      <c r="N14" s="11">
        <f t="shared" si="4"/>
        <v>150.00102317105691</v>
      </c>
      <c r="O14" s="11">
        <f t="shared" si="5"/>
        <v>0</v>
      </c>
      <c r="P14" s="1"/>
      <c r="Q14" s="6" t="s">
        <v>6</v>
      </c>
      <c r="R14" s="8">
        <f>TINV(0.05,dfn)</f>
        <v>2.0243941639119702</v>
      </c>
    </row>
    <row r="15" spans="2:22" x14ac:dyDescent="0.3">
      <c r="B15" s="10">
        <v>43889</v>
      </c>
      <c r="C15" s="4">
        <v>9</v>
      </c>
      <c r="D15" s="11">
        <f>'dpc-covid19-ita-andamento-naz'!L6</f>
        <v>888</v>
      </c>
      <c r="E15" s="11">
        <f t="shared" si="12"/>
        <v>238</v>
      </c>
      <c r="F15" s="11">
        <f t="shared" si="0"/>
        <v>2119.256217193431</v>
      </c>
      <c r="G15" s="11">
        <f t="shared" si="13"/>
        <v>322.07897702718878</v>
      </c>
      <c r="H15" s="11">
        <f t="shared" si="10"/>
        <v>1222.8268533621808</v>
      </c>
      <c r="I15" s="11">
        <f t="shared" si="11"/>
        <v>0</v>
      </c>
      <c r="J15" s="11">
        <f>'dpc-covid19-ita-andamento-naz'!K6</f>
        <v>21</v>
      </c>
      <c r="K15" s="11">
        <f t="shared" si="8"/>
        <v>4</v>
      </c>
      <c r="L15" s="11">
        <f t="shared" si="3"/>
        <v>178.97180592804793</v>
      </c>
      <c r="M15" s="11">
        <f t="shared" si="14"/>
        <v>26.76435117944024</v>
      </c>
      <c r="N15" s="11">
        <f t="shared" si="4"/>
        <v>153.97809529574343</v>
      </c>
      <c r="O15" s="11">
        <f t="shared" si="5"/>
        <v>0</v>
      </c>
      <c r="P15" s="1"/>
      <c r="Q15" s="6" t="s">
        <v>7</v>
      </c>
      <c r="R15" s="1">
        <f>Critical_tn*SE_of_yn</f>
        <v>900.74787633499216</v>
      </c>
    </row>
    <row r="16" spans="2:22" x14ac:dyDescent="0.3">
      <c r="B16" s="10">
        <v>43890</v>
      </c>
      <c r="C16" s="4">
        <v>10</v>
      </c>
      <c r="D16" s="11">
        <f>'dpc-covid19-ita-andamento-naz'!L7</f>
        <v>1128</v>
      </c>
      <c r="E16" s="11">
        <f t="shared" si="12"/>
        <v>240</v>
      </c>
      <c r="F16" s="11">
        <f t="shared" si="0"/>
        <v>2498.017014770372</v>
      </c>
      <c r="G16" s="11">
        <f t="shared" si="13"/>
        <v>378.76079757694106</v>
      </c>
      <c r="H16" s="11">
        <f t="shared" si="10"/>
        <v>1279.5086739119333</v>
      </c>
      <c r="I16" s="11">
        <f t="shared" si="11"/>
        <v>0</v>
      </c>
      <c r="J16" s="11">
        <f>'dpc-covid19-ita-andamento-naz'!K7</f>
        <v>29</v>
      </c>
      <c r="K16" s="11">
        <f t="shared" si="8"/>
        <v>8</v>
      </c>
      <c r="L16" s="11">
        <f t="shared" si="3"/>
        <v>210.39393650767838</v>
      </c>
      <c r="M16" s="11">
        <f t="shared" si="14"/>
        <v>31.422130579630448</v>
      </c>
      <c r="N16" s="11">
        <f t="shared" si="4"/>
        <v>158.63587469593364</v>
      </c>
      <c r="O16" s="11">
        <f t="shared" si="5"/>
        <v>0</v>
      </c>
      <c r="P16" s="1"/>
      <c r="Q16" s="29" t="s">
        <v>67</v>
      </c>
      <c r="R16" s="31">
        <f>Kn/(4*wn)</f>
        <v>5873.9611885202539</v>
      </c>
    </row>
    <row r="17" spans="2:18" x14ac:dyDescent="0.3">
      <c r="B17" s="23">
        <v>43891</v>
      </c>
      <c r="C17" s="4">
        <v>11</v>
      </c>
      <c r="D17" s="11">
        <f>'dpc-covid19-ita-andamento-naz'!L8</f>
        <v>1694</v>
      </c>
      <c r="E17" s="11">
        <f t="shared" si="12"/>
        <v>566</v>
      </c>
      <c r="F17" s="11">
        <f t="shared" si="0"/>
        <v>2943.0320812892855</v>
      </c>
      <c r="G17" s="11">
        <f t="shared" si="13"/>
        <v>445.0150665189135</v>
      </c>
      <c r="H17" s="11">
        <f t="shared" si="10"/>
        <v>1345.7629428539058</v>
      </c>
      <c r="I17" s="11">
        <f t="shared" si="11"/>
        <v>0</v>
      </c>
      <c r="J17" s="11">
        <f>'dpc-covid19-ita-andamento-naz'!K8</f>
        <v>34</v>
      </c>
      <c r="K17" s="11">
        <f t="shared" si="8"/>
        <v>5</v>
      </c>
      <c r="L17" s="11">
        <f t="shared" si="3"/>
        <v>247.26595835729671</v>
      </c>
      <c r="M17" s="11">
        <f t="shared" si="14"/>
        <v>36.872021849618335</v>
      </c>
      <c r="N17" s="11">
        <f t="shared" si="4"/>
        <v>164.08576596592152</v>
      </c>
      <c r="O17" s="11">
        <f t="shared" si="5"/>
        <v>0</v>
      </c>
      <c r="P17" s="1"/>
      <c r="Q17" s="24" t="s">
        <v>53</v>
      </c>
      <c r="R17" s="3"/>
    </row>
    <row r="18" spans="2:18" x14ac:dyDescent="0.3">
      <c r="B18" s="10">
        <v>43892</v>
      </c>
      <c r="C18" s="4">
        <v>12</v>
      </c>
      <c r="D18" s="11">
        <f>'dpc-covid19-ita-andamento-naz'!L9</f>
        <v>2036</v>
      </c>
      <c r="E18" s="11">
        <f t="shared" si="12"/>
        <v>342</v>
      </c>
      <c r="F18" s="11">
        <f t="shared" si="0"/>
        <v>3465.3353637867704</v>
      </c>
      <c r="G18" s="11">
        <f t="shared" si="13"/>
        <v>522.30328249748482</v>
      </c>
      <c r="H18" s="11">
        <f t="shared" si="10"/>
        <v>1423.0511588324771</v>
      </c>
      <c r="I18" s="11">
        <f t="shared" si="11"/>
        <v>0</v>
      </c>
      <c r="J18" s="11">
        <f>'dpc-covid19-ita-andamento-naz'!K9</f>
        <v>52</v>
      </c>
      <c r="K18" s="11">
        <f t="shared" si="8"/>
        <v>18</v>
      </c>
      <c r="L18" s="11">
        <f t="shared" si="3"/>
        <v>290.5076785891855</v>
      </c>
      <c r="M18" s="11">
        <f t="shared" si="14"/>
        <v>43.241720231888792</v>
      </c>
      <c r="N18" s="11">
        <f t="shared" si="4"/>
        <v>170.45546434819198</v>
      </c>
      <c r="O18" s="11">
        <f t="shared" si="5"/>
        <v>0</v>
      </c>
      <c r="P18" s="1"/>
      <c r="Q18" s="22" t="s">
        <v>0</v>
      </c>
      <c r="R18" s="5">
        <v>20569</v>
      </c>
    </row>
    <row r="19" spans="2:18" ht="15.6" x14ac:dyDescent="0.35">
      <c r="B19" s="10">
        <v>43893</v>
      </c>
      <c r="C19" s="4">
        <v>13</v>
      </c>
      <c r="D19" s="11">
        <f>'dpc-covid19-ita-andamento-naz'!L10</f>
        <v>2502</v>
      </c>
      <c r="E19" s="11">
        <f t="shared" si="12"/>
        <v>466</v>
      </c>
      <c r="F19" s="11">
        <f t="shared" si="0"/>
        <v>4077.5856771766407</v>
      </c>
      <c r="G19" s="11">
        <f t="shared" si="13"/>
        <v>612.25031338987037</v>
      </c>
      <c r="H19" s="11">
        <f t="shared" si="10"/>
        <v>1512.9981897248626</v>
      </c>
      <c r="I19" s="11">
        <f t="shared" si="11"/>
        <v>0</v>
      </c>
      <c r="J19" s="11">
        <f>'dpc-covid19-ita-andamento-naz'!K10</f>
        <v>79</v>
      </c>
      <c r="K19" s="11">
        <f t="shared" si="8"/>
        <v>27</v>
      </c>
      <c r="L19" s="11">
        <f t="shared" si="3"/>
        <v>341.18452357694139</v>
      </c>
      <c r="M19" s="11">
        <f t="shared" si="14"/>
        <v>50.676844987755885</v>
      </c>
      <c r="N19" s="11">
        <f t="shared" si="4"/>
        <v>177.89058910405907</v>
      </c>
      <c r="O19" s="11">
        <f t="shared" si="5"/>
        <v>0</v>
      </c>
      <c r="P19" s="1"/>
      <c r="Q19" s="22" t="s">
        <v>27</v>
      </c>
      <c r="R19" s="5">
        <v>38</v>
      </c>
    </row>
    <row r="20" spans="2:18" x14ac:dyDescent="0.3">
      <c r="B20" s="10">
        <v>43894</v>
      </c>
      <c r="C20" s="4">
        <v>14</v>
      </c>
      <c r="D20" s="11">
        <f>'dpc-covid19-ita-andamento-naz'!L11</f>
        <v>3089</v>
      </c>
      <c r="E20" s="11">
        <f t="shared" si="12"/>
        <v>587</v>
      </c>
      <c r="F20" s="11">
        <f t="shared" si="0"/>
        <v>4794.2243890223681</v>
      </c>
      <c r="G20" s="11">
        <f t="shared" si="13"/>
        <v>716.63871184572736</v>
      </c>
      <c r="H20" s="11">
        <f t="shared" si="10"/>
        <v>1617.3865881807196</v>
      </c>
      <c r="I20" s="11">
        <f t="shared" si="11"/>
        <v>0</v>
      </c>
      <c r="J20" s="11">
        <f>'dpc-covid19-ita-andamento-naz'!K11</f>
        <v>107</v>
      </c>
      <c r="K20" s="11">
        <f t="shared" si="8"/>
        <v>28</v>
      </c>
      <c r="L20" s="11">
        <f t="shared" si="3"/>
        <v>400.52695161733374</v>
      </c>
      <c r="M20" s="11">
        <f t="shared" si="14"/>
        <v>59.342428040392349</v>
      </c>
      <c r="N20" s="11">
        <f t="shared" si="4"/>
        <v>186.55617215669554</v>
      </c>
      <c r="O20" s="11">
        <f t="shared" si="5"/>
        <v>0</v>
      </c>
      <c r="P20" s="1"/>
      <c r="Q20" s="22" t="s">
        <v>1</v>
      </c>
      <c r="R20" s="25">
        <v>6.1238629907767974</v>
      </c>
    </row>
    <row r="21" spans="2:18" x14ac:dyDescent="0.3">
      <c r="B21" s="23">
        <v>43895</v>
      </c>
      <c r="C21" s="4">
        <v>15</v>
      </c>
      <c r="D21" s="11">
        <f>'dpc-covid19-ita-andamento-naz'!L12</f>
        <v>3858</v>
      </c>
      <c r="E21" s="11">
        <f t="shared" si="12"/>
        <v>769</v>
      </c>
      <c r="F21" s="11">
        <f t="shared" si="0"/>
        <v>5631.6154558243679</v>
      </c>
      <c r="G21" s="11">
        <f t="shared" si="13"/>
        <v>837.39106680199984</v>
      </c>
      <c r="H21" s="11">
        <f t="shared" si="10"/>
        <v>1738.1389431369921</v>
      </c>
      <c r="I21" s="11">
        <f t="shared" si="11"/>
        <v>0</v>
      </c>
      <c r="J21" s="11">
        <f>'dpc-covid19-ita-andamento-naz'!K12</f>
        <v>148</v>
      </c>
      <c r="K21" s="11">
        <f t="shared" si="8"/>
        <v>41</v>
      </c>
      <c r="L21" s="11">
        <f t="shared" si="3"/>
        <v>469.95104596491677</v>
      </c>
      <c r="M21" s="11">
        <f t="shared" si="14"/>
        <v>69.424094347583036</v>
      </c>
      <c r="N21" s="11">
        <f t="shared" si="4"/>
        <v>196.63783846388623</v>
      </c>
      <c r="O21" s="11">
        <f t="shared" si="5"/>
        <v>0</v>
      </c>
      <c r="P21" s="1"/>
      <c r="Q21" s="6" t="s">
        <v>2</v>
      </c>
      <c r="R21" s="1">
        <f>AVERAGE(K_start:K_end)</f>
        <v>303.1219512195122</v>
      </c>
    </row>
    <row r="22" spans="2:18" x14ac:dyDescent="0.3">
      <c r="B22" s="10">
        <v>43896</v>
      </c>
      <c r="C22" s="4">
        <v>16</v>
      </c>
      <c r="D22" s="11">
        <f>'dpc-covid19-ita-andamento-naz'!L13</f>
        <v>4636</v>
      </c>
      <c r="E22" s="11">
        <f t="shared" si="12"/>
        <v>778</v>
      </c>
      <c r="F22" s="11">
        <f t="shared" si="0"/>
        <v>6608.1510832056565</v>
      </c>
      <c r="G22" s="11">
        <f t="shared" si="13"/>
        <v>976.53562738128858</v>
      </c>
      <c r="H22" s="11">
        <f t="shared" si="10"/>
        <v>1877.2835037162808</v>
      </c>
      <c r="I22" s="11">
        <f t="shared" si="11"/>
        <v>75.787751046296421</v>
      </c>
      <c r="J22" s="11">
        <f>'dpc-covid19-ita-andamento-naz'!K13</f>
        <v>197</v>
      </c>
      <c r="K22" s="11">
        <f t="shared" si="8"/>
        <v>49</v>
      </c>
      <c r="L22" s="11">
        <f t="shared" si="3"/>
        <v>551.07975120782623</v>
      </c>
      <c r="M22" s="11">
        <f t="shared" si="14"/>
        <v>81.128705242909462</v>
      </c>
      <c r="N22" s="11">
        <f t="shared" si="4"/>
        <v>208.34244935921265</v>
      </c>
      <c r="O22" s="11">
        <f t="shared" si="5"/>
        <v>0</v>
      </c>
      <c r="P22" s="1"/>
      <c r="Q22" s="6" t="s">
        <v>3</v>
      </c>
      <c r="R22" s="1">
        <f>COUNT(K_start:K_end)-COUNT(R18:R20)</f>
        <v>38</v>
      </c>
    </row>
    <row r="23" spans="2:18" x14ac:dyDescent="0.3">
      <c r="B23" s="10">
        <v>43897</v>
      </c>
      <c r="C23" s="4">
        <v>17</v>
      </c>
      <c r="D23" s="11">
        <f>'dpc-covid19-ita-andamento-naz'!L14</f>
        <v>5883</v>
      </c>
      <c r="E23" s="11">
        <f t="shared" si="12"/>
        <v>1247</v>
      </c>
      <c r="F23" s="11">
        <f t="shared" si="0"/>
        <v>7744.3005272574474</v>
      </c>
      <c r="G23" s="11">
        <f t="shared" si="13"/>
        <v>1136.1494440517909</v>
      </c>
      <c r="H23" s="11">
        <f t="shared" si="10"/>
        <v>2036.8973203867831</v>
      </c>
      <c r="I23" s="11">
        <f t="shared" si="11"/>
        <v>235.4015677167987</v>
      </c>
      <c r="J23" s="11">
        <f>'dpc-covid19-ita-andamento-naz'!K14</f>
        <v>233</v>
      </c>
      <c r="K23" s="11">
        <f t="shared" si="8"/>
        <v>36</v>
      </c>
      <c r="L23" s="11">
        <f t="shared" si="3"/>
        <v>645.76390559544893</v>
      </c>
      <c r="M23" s="11">
        <f t="shared" si="14"/>
        <v>94.684154387622698</v>
      </c>
      <c r="N23" s="11">
        <f t="shared" si="4"/>
        <v>221.89789850392589</v>
      </c>
      <c r="O23" s="11">
        <f t="shared" si="5"/>
        <v>0</v>
      </c>
      <c r="P23" s="1"/>
      <c r="Q23" s="6" t="s">
        <v>4</v>
      </c>
      <c r="R23" s="7" cm="1">
        <f t="array" ref="R23">SQRT(SUM((K_start:K_end-M_start:M_end)^2)/dfd)</f>
        <v>62.84040251848652</v>
      </c>
    </row>
    <row r="24" spans="2:18" ht="16.2" x14ac:dyDescent="0.3">
      <c r="B24" s="23">
        <v>43898</v>
      </c>
      <c r="C24" s="4">
        <v>18</v>
      </c>
      <c r="D24" s="11">
        <f>'dpc-covid19-ita-andamento-naz'!L15</f>
        <v>7375</v>
      </c>
      <c r="E24" s="11">
        <f t="shared" si="12"/>
        <v>1492</v>
      </c>
      <c r="F24" s="11">
        <f t="shared" si="0"/>
        <v>9062.5729748187496</v>
      </c>
      <c r="G24" s="11">
        <f t="shared" si="13"/>
        <v>1318.2724475613022</v>
      </c>
      <c r="H24" s="11">
        <f t="shared" si="10"/>
        <v>2219.0203238962945</v>
      </c>
      <c r="I24" s="11">
        <f t="shared" si="11"/>
        <v>417.52457122631006</v>
      </c>
      <c r="J24" s="11">
        <f>'dpc-covid19-ita-andamento-naz'!K15</f>
        <v>366</v>
      </c>
      <c r="K24" s="11">
        <f t="shared" si="8"/>
        <v>133</v>
      </c>
      <c r="L24" s="11">
        <f t="shared" si="3"/>
        <v>756.10181332329751</v>
      </c>
      <c r="M24" s="11">
        <f t="shared" si="14"/>
        <v>110.33790772784857</v>
      </c>
      <c r="N24" s="11">
        <f t="shared" si="4"/>
        <v>237.55165184415176</v>
      </c>
      <c r="O24" s="11">
        <f t="shared" si="5"/>
        <v>0</v>
      </c>
      <c r="P24" s="1"/>
      <c r="Q24" s="6" t="s">
        <v>5</v>
      </c>
      <c r="R24" s="8" cm="1">
        <f t="array" ref="R24">1-SUM((K_start:K_end-M_start:M_end)^2)/SUM((K_start:K_end-Mean_of_yd)^2)</f>
        <v>0.96402725350898888</v>
      </c>
    </row>
    <row r="25" spans="2:18" x14ac:dyDescent="0.3">
      <c r="B25" s="10">
        <v>43899</v>
      </c>
      <c r="C25" s="4">
        <v>19</v>
      </c>
      <c r="D25" s="11">
        <f>'dpc-covid19-ita-andamento-naz'!L16</f>
        <v>9172</v>
      </c>
      <c r="E25" s="11">
        <f t="shared" si="12"/>
        <v>1797</v>
      </c>
      <c r="F25" s="11">
        <f t="shared" si="0"/>
        <v>10587.358490939076</v>
      </c>
      <c r="G25" s="11">
        <f t="shared" si="13"/>
        <v>1524.7855161203261</v>
      </c>
      <c r="H25" s="11">
        <f t="shared" si="10"/>
        <v>2425.5333924553183</v>
      </c>
      <c r="I25" s="11">
        <f t="shared" si="11"/>
        <v>624.03763978533391</v>
      </c>
      <c r="J25" s="11">
        <f>'dpc-covid19-ita-andamento-naz'!K16</f>
        <v>463</v>
      </c>
      <c r="K25" s="11">
        <f t="shared" si="8"/>
        <v>97</v>
      </c>
      <c r="L25" s="11">
        <f t="shared" si="3"/>
        <v>884.45557978323961</v>
      </c>
      <c r="M25" s="11">
        <f t="shared" si="14"/>
        <v>128.35376645994211</v>
      </c>
      <c r="N25" s="11">
        <f t="shared" si="4"/>
        <v>255.5675105762453</v>
      </c>
      <c r="O25" s="11">
        <f t="shared" si="5"/>
        <v>1.1400223436389183</v>
      </c>
      <c r="P25" s="1"/>
      <c r="Q25" s="6" t="s">
        <v>6</v>
      </c>
      <c r="R25" s="8">
        <f>TINV(0.05,dfd)</f>
        <v>2.0243941639119702</v>
      </c>
    </row>
    <row r="26" spans="2:18" x14ac:dyDescent="0.3">
      <c r="B26" s="23">
        <v>43900</v>
      </c>
      <c r="C26" s="4">
        <v>20</v>
      </c>
      <c r="D26" s="11">
        <f>'dpc-covid19-ita-andamento-naz'!L17</f>
        <v>10149</v>
      </c>
      <c r="E26" s="11">
        <f t="shared" si="12"/>
        <v>977</v>
      </c>
      <c r="F26" s="11">
        <f t="shared" si="0"/>
        <v>12344.604585462715</v>
      </c>
      <c r="G26" s="11">
        <f t="shared" si="13"/>
        <v>1757.2460945236398</v>
      </c>
      <c r="H26" s="11">
        <f t="shared" si="10"/>
        <v>2657.9939708586321</v>
      </c>
      <c r="I26" s="11">
        <f t="shared" si="11"/>
        <v>856.49821818864768</v>
      </c>
      <c r="J26" s="11">
        <f>'dpc-covid19-ita-andamento-naz'!K17</f>
        <v>631</v>
      </c>
      <c r="K26" s="11">
        <f t="shared" si="8"/>
        <v>168</v>
      </c>
      <c r="L26" s="11">
        <f t="shared" si="3"/>
        <v>1033.461792528916</v>
      </c>
      <c r="M26" s="11">
        <f t="shared" si="14"/>
        <v>149.00621274567641</v>
      </c>
      <c r="N26" s="11">
        <f t="shared" si="4"/>
        <v>276.2199568619796</v>
      </c>
      <c r="O26" s="11">
        <f t="shared" si="5"/>
        <v>21.792468629373218</v>
      </c>
      <c r="P26" s="1"/>
      <c r="Q26" s="6" t="s">
        <v>7</v>
      </c>
      <c r="R26" s="1">
        <f>Critical_td*SE_of_yd</f>
        <v>127.21374411630319</v>
      </c>
    </row>
    <row r="27" spans="2:18" x14ac:dyDescent="0.3">
      <c r="B27" s="10">
        <v>43901</v>
      </c>
      <c r="C27" s="4">
        <v>21</v>
      </c>
      <c r="D27" s="11">
        <f>'dpc-covid19-ita-andamento-naz'!L18</f>
        <v>12462</v>
      </c>
      <c r="E27" s="11">
        <f t="shared" si="12"/>
        <v>2313</v>
      </c>
      <c r="F27" s="11">
        <f t="shared" si="0"/>
        <v>14361.281491017597</v>
      </c>
      <c r="G27" s="11">
        <f t="shared" si="13"/>
        <v>2016.6769055548812</v>
      </c>
      <c r="H27" s="11">
        <f t="shared" si="10"/>
        <v>2917.4247818898734</v>
      </c>
      <c r="I27" s="11">
        <f t="shared" si="11"/>
        <v>1115.9290292198889</v>
      </c>
      <c r="J27" s="11">
        <f>'dpc-covid19-ita-andamento-naz'!K18</f>
        <v>827</v>
      </c>
      <c r="K27" s="11">
        <f t="shared" si="8"/>
        <v>196</v>
      </c>
      <c r="L27" s="11">
        <f t="shared" si="3"/>
        <v>1206.0333790580216</v>
      </c>
      <c r="M27" s="11">
        <f t="shared" si="14"/>
        <v>172.57158652910562</v>
      </c>
      <c r="N27" s="11">
        <f t="shared" si="4"/>
        <v>299.78533064540881</v>
      </c>
      <c r="O27" s="11">
        <f t="shared" si="5"/>
        <v>45.357842412802427</v>
      </c>
      <c r="P27" s="1"/>
      <c r="Q27" s="30" t="s">
        <v>67</v>
      </c>
      <c r="R27" s="32">
        <f>Kd/(4*wd)</f>
        <v>839.70689869201624</v>
      </c>
    </row>
    <row r="28" spans="2:18" x14ac:dyDescent="0.3">
      <c r="B28" s="23">
        <v>43902</v>
      </c>
      <c r="C28" s="4">
        <v>22</v>
      </c>
      <c r="D28" s="11">
        <f>'dpc-covid19-ita-andamento-naz'!L19</f>
        <v>15113</v>
      </c>
      <c r="E28" s="11">
        <f t="shared" si="12"/>
        <v>2651</v>
      </c>
      <c r="F28" s="11">
        <f t="shared" si="0"/>
        <v>16664.588920877643</v>
      </c>
      <c r="G28" s="11">
        <f t="shared" si="13"/>
        <v>2303.3074298600459</v>
      </c>
      <c r="H28" s="11">
        <f t="shared" si="10"/>
        <v>3204.0553061950382</v>
      </c>
      <c r="I28" s="11">
        <f t="shared" si="11"/>
        <v>1402.5595535250536</v>
      </c>
      <c r="J28" s="11">
        <f>'dpc-covid19-ita-andamento-naz'!K19</f>
        <v>1016</v>
      </c>
      <c r="K28" s="11">
        <f t="shared" si="8"/>
        <v>189</v>
      </c>
      <c r="L28" s="11">
        <f t="shared" si="3"/>
        <v>1405.3486428550871</v>
      </c>
      <c r="M28" s="11">
        <f t="shared" si="14"/>
        <v>199.31526379706543</v>
      </c>
      <c r="N28" s="11">
        <f t="shared" si="4"/>
        <v>326.52900791336862</v>
      </c>
      <c r="O28" s="11">
        <f t="shared" si="5"/>
        <v>72.101519680762237</v>
      </c>
      <c r="P28" s="1"/>
      <c r="Q28" s="6"/>
    </row>
    <row r="29" spans="2:18" x14ac:dyDescent="0.3">
      <c r="B29" s="10">
        <v>43903</v>
      </c>
      <c r="C29" s="4">
        <v>23</v>
      </c>
      <c r="D29" s="11">
        <f>'dpc-covid19-ita-andamento-naz'!L20</f>
        <v>17660</v>
      </c>
      <c r="E29" s="11">
        <f t="shared" si="12"/>
        <v>2547</v>
      </c>
      <c r="F29" s="11">
        <f t="shared" si="0"/>
        <v>19280.863739680663</v>
      </c>
      <c r="G29" s="11">
        <f t="shared" si="13"/>
        <v>2616.27481880302</v>
      </c>
      <c r="H29" s="11">
        <f t="shared" si="10"/>
        <v>3517.0226951380123</v>
      </c>
      <c r="I29" s="11">
        <f t="shared" si="11"/>
        <v>1715.5269424680278</v>
      </c>
      <c r="J29" s="11">
        <f>'dpc-covid19-ita-andamento-naz'!K20</f>
        <v>1266</v>
      </c>
      <c r="K29" s="11">
        <f t="shared" si="8"/>
        <v>250</v>
      </c>
      <c r="L29" s="11">
        <f t="shared" si="3"/>
        <v>1634.8226445548148</v>
      </c>
      <c r="M29" s="11">
        <f t="shared" si="14"/>
        <v>229.47400169972775</v>
      </c>
      <c r="N29" s="11">
        <f t="shared" si="4"/>
        <v>356.68774581603094</v>
      </c>
      <c r="O29" s="11">
        <f t="shared" si="5"/>
        <v>102.26025758342456</v>
      </c>
      <c r="P29" s="1"/>
    </row>
    <row r="30" spans="2:18" x14ac:dyDescent="0.3">
      <c r="B30" s="10">
        <v>43904</v>
      </c>
      <c r="C30" s="4">
        <v>24</v>
      </c>
      <c r="D30" s="11">
        <f>'dpc-covid19-ita-andamento-naz'!L21</f>
        <v>21157</v>
      </c>
      <c r="E30" s="11">
        <f t="shared" si="12"/>
        <v>3497</v>
      </c>
      <c r="F30" s="11">
        <f t="shared" si="0"/>
        <v>22234.164935181088</v>
      </c>
      <c r="G30" s="11">
        <f t="shared" si="13"/>
        <v>2953.3011955004258</v>
      </c>
      <c r="H30" s="11">
        <f t="shared" si="10"/>
        <v>3854.0490718354181</v>
      </c>
      <c r="I30" s="11">
        <f t="shared" si="11"/>
        <v>2052.5533191654335</v>
      </c>
      <c r="J30" s="11">
        <f>'dpc-covid19-ita-andamento-naz'!K21</f>
        <v>1441</v>
      </c>
      <c r="K30" s="11">
        <f t="shared" si="8"/>
        <v>175</v>
      </c>
      <c r="L30" s="11">
        <f t="shared" si="3"/>
        <v>1898.0553849857122</v>
      </c>
      <c r="M30" s="11">
        <f t="shared" si="14"/>
        <v>263.23274043089737</v>
      </c>
      <c r="N30" s="11">
        <f t="shared" si="4"/>
        <v>390.44648454720055</v>
      </c>
      <c r="O30" s="11">
        <f t="shared" si="5"/>
        <v>136.01899631459418</v>
      </c>
      <c r="P30" s="1"/>
    </row>
    <row r="31" spans="2:18" x14ac:dyDescent="0.3">
      <c r="B31" s="10">
        <v>43905</v>
      </c>
      <c r="C31" s="4">
        <v>25</v>
      </c>
      <c r="D31" s="11">
        <f>'dpc-covid19-ita-andamento-naz'!L22</f>
        <v>24747</v>
      </c>
      <c r="E31" s="11">
        <f t="shared" si="12"/>
        <v>3590</v>
      </c>
      <c r="F31" s="11">
        <f t="shared" si="0"/>
        <v>25544.542646313417</v>
      </c>
      <c r="G31" s="11">
        <f t="shared" si="13"/>
        <v>3310.3777111323288</v>
      </c>
      <c r="H31" s="11">
        <f t="shared" si="10"/>
        <v>4211.1255874673207</v>
      </c>
      <c r="I31" s="11">
        <f t="shared" si="11"/>
        <v>2409.6298347973366</v>
      </c>
      <c r="J31" s="11">
        <f>'dpc-covid19-ita-andamento-naz'!K22</f>
        <v>1809</v>
      </c>
      <c r="K31" s="11">
        <f t="shared" si="8"/>
        <v>368</v>
      </c>
      <c r="L31" s="11">
        <f t="shared" si="3"/>
        <v>2198.7508629217377</v>
      </c>
      <c r="M31" s="11">
        <f t="shared" si="14"/>
        <v>300.69547793602555</v>
      </c>
      <c r="N31" s="11">
        <f t="shared" si="4"/>
        <v>427.90922205232874</v>
      </c>
      <c r="O31" s="11">
        <f t="shared" si="5"/>
        <v>173.48173381972236</v>
      </c>
      <c r="P31" s="1"/>
    </row>
    <row r="32" spans="2:18" x14ac:dyDescent="0.3">
      <c r="B32" s="10">
        <v>43906</v>
      </c>
      <c r="C32" s="4">
        <v>26</v>
      </c>
      <c r="D32" s="11">
        <f>'dpc-covid19-ita-andamento-naz'!L23</f>
        <v>27980</v>
      </c>
      <c r="E32" s="11">
        <f t="shared" si="12"/>
        <v>3233</v>
      </c>
      <c r="F32" s="11">
        <f t="shared" si="0"/>
        <v>29226.043588378503</v>
      </c>
      <c r="G32" s="11">
        <f t="shared" si="13"/>
        <v>3681.5009420650858</v>
      </c>
      <c r="H32" s="11">
        <f t="shared" si="10"/>
        <v>4582.2488184000777</v>
      </c>
      <c r="I32" s="11">
        <f t="shared" si="11"/>
        <v>2780.7530657300936</v>
      </c>
      <c r="J32" s="11">
        <f>'dpc-covid19-ita-andamento-naz'!K23</f>
        <v>2158</v>
      </c>
      <c r="K32" s="11">
        <f t="shared" si="8"/>
        <v>349</v>
      </c>
      <c r="L32" s="11">
        <f t="shared" si="3"/>
        <v>2540.6013055130165</v>
      </c>
      <c r="M32" s="11">
        <f t="shared" si="14"/>
        <v>341.85044259127881</v>
      </c>
      <c r="N32" s="11">
        <f t="shared" si="4"/>
        <v>469.064186707582</v>
      </c>
      <c r="O32" s="11">
        <f t="shared" si="5"/>
        <v>214.63669847497562</v>
      </c>
      <c r="P32" s="1"/>
    </row>
    <row r="33" spans="2:21" x14ac:dyDescent="0.3">
      <c r="B33" s="10">
        <v>43907</v>
      </c>
      <c r="C33" s="4">
        <v>27</v>
      </c>
      <c r="D33" s="11">
        <f>'dpc-covid19-ita-andamento-naz'!L24</f>
        <v>31506</v>
      </c>
      <c r="E33" s="11">
        <f t="shared" si="12"/>
        <v>3526</v>
      </c>
      <c r="F33" s="11">
        <f t="shared" si="0"/>
        <v>33284.564899137884</v>
      </c>
      <c r="G33" s="11">
        <f t="shared" si="13"/>
        <v>4058.5213107593809</v>
      </c>
      <c r="H33" s="11">
        <f t="shared" si="10"/>
        <v>4959.2691870943727</v>
      </c>
      <c r="I33" s="11">
        <f t="shared" si="11"/>
        <v>3157.7734344243886</v>
      </c>
      <c r="J33" s="11">
        <f>'dpc-covid19-ita-andamento-naz'!K24</f>
        <v>2503</v>
      </c>
      <c r="K33" s="11">
        <f t="shared" si="8"/>
        <v>345</v>
      </c>
      <c r="L33" s="11">
        <f t="shared" si="3"/>
        <v>2927.1320591494195</v>
      </c>
      <c r="M33" s="11">
        <f t="shared" si="14"/>
        <v>386.53075363640301</v>
      </c>
      <c r="N33" s="11">
        <f t="shared" si="4"/>
        <v>513.74449775270614</v>
      </c>
      <c r="O33" s="11">
        <f t="shared" si="5"/>
        <v>259.31700952009982</v>
      </c>
      <c r="P33" s="1"/>
    </row>
    <row r="34" spans="2:21" x14ac:dyDescent="0.3">
      <c r="B34" s="10">
        <v>43908</v>
      </c>
      <c r="C34" s="4">
        <v>28</v>
      </c>
      <c r="D34" s="11">
        <f>'dpc-covid19-ita-andamento-naz'!L25</f>
        <v>35713</v>
      </c>
      <c r="E34" s="11">
        <f t="shared" si="12"/>
        <v>4207</v>
      </c>
      <c r="F34" s="11">
        <f t="shared" si="0"/>
        <v>37715.736375183835</v>
      </c>
      <c r="G34" s="11">
        <f t="shared" si="13"/>
        <v>4431.1714760459508</v>
      </c>
      <c r="H34" s="11">
        <f t="shared" si="10"/>
        <v>5331.9193523809427</v>
      </c>
      <c r="I34" s="11">
        <f t="shared" si="11"/>
        <v>3530.4235997109586</v>
      </c>
      <c r="J34" s="11">
        <f>'dpc-covid19-ita-andamento-naz'!K25</f>
        <v>2978</v>
      </c>
      <c r="K34" s="11">
        <f t="shared" si="8"/>
        <v>475</v>
      </c>
      <c r="L34" s="11">
        <f t="shared" si="3"/>
        <v>3361.5051706645277</v>
      </c>
      <c r="M34" s="11">
        <f t="shared" si="14"/>
        <v>434.37311151510812</v>
      </c>
      <c r="N34" s="11">
        <f t="shared" si="4"/>
        <v>561.58685563141125</v>
      </c>
      <c r="O34" s="11">
        <f t="shared" si="5"/>
        <v>307.15936739880493</v>
      </c>
      <c r="U34" s="1"/>
    </row>
    <row r="35" spans="2:21" x14ac:dyDescent="0.3">
      <c r="B35" s="10">
        <v>43909</v>
      </c>
      <c r="C35" s="4">
        <v>29</v>
      </c>
      <c r="D35" s="11">
        <f>'dpc-covid19-ita-andamento-naz'!L26</f>
        <v>41035</v>
      </c>
      <c r="E35" s="11">
        <f t="shared" si="12"/>
        <v>5322</v>
      </c>
      <c r="F35" s="11">
        <f t="shared" si="0"/>
        <v>42503.075473449775</v>
      </c>
      <c r="G35" s="11">
        <f t="shared" si="13"/>
        <v>4787.3390982659403</v>
      </c>
      <c r="H35" s="11">
        <f t="shared" si="10"/>
        <v>5688.0869746009321</v>
      </c>
      <c r="I35" s="11">
        <f t="shared" si="11"/>
        <v>3886.591221930948</v>
      </c>
      <c r="J35" s="11">
        <f>'dpc-covid19-ita-andamento-naz'!K26</f>
        <v>3405</v>
      </c>
      <c r="K35" s="11">
        <f t="shared" si="8"/>
        <v>427</v>
      </c>
      <c r="L35" s="11">
        <f t="shared" si="3"/>
        <v>3846.2839154298663</v>
      </c>
      <c r="M35" s="11">
        <f t="shared" si="14"/>
        <v>484.77874476533862</v>
      </c>
      <c r="N35" s="11">
        <f t="shared" si="4"/>
        <v>611.99248888164175</v>
      </c>
      <c r="O35" s="11">
        <f t="shared" si="5"/>
        <v>357.56500064903543</v>
      </c>
    </row>
    <row r="36" spans="2:21" x14ac:dyDescent="0.3">
      <c r="B36" s="10">
        <v>43910</v>
      </c>
      <c r="C36" s="4">
        <v>30</v>
      </c>
      <c r="D36" s="11">
        <f>'dpc-covid19-ita-andamento-naz'!L27</f>
        <v>47021</v>
      </c>
      <c r="E36" s="11">
        <f t="shared" si="12"/>
        <v>5986</v>
      </c>
      <c r="F36" s="11">
        <f t="shared" si="0"/>
        <v>47616.702888043466</v>
      </c>
      <c r="G36" s="11">
        <f t="shared" si="13"/>
        <v>5113.6274145936914</v>
      </c>
      <c r="H36" s="11">
        <f t="shared" si="10"/>
        <v>6014.3752909286832</v>
      </c>
      <c r="I36" s="11">
        <f t="shared" si="11"/>
        <v>4212.8795382586995</v>
      </c>
      <c r="J36" s="11">
        <f>'dpc-covid19-ita-andamento-naz'!K27</f>
        <v>4032</v>
      </c>
      <c r="K36" s="11">
        <f t="shared" si="8"/>
        <v>627</v>
      </c>
      <c r="L36" s="11">
        <f t="shared" si="3"/>
        <v>4383.1665724975755</v>
      </c>
      <c r="M36" s="11">
        <f t="shared" si="14"/>
        <v>536.88265706770926</v>
      </c>
      <c r="N36" s="11">
        <f t="shared" si="4"/>
        <v>664.09640118401239</v>
      </c>
      <c r="O36" s="11">
        <f t="shared" si="5"/>
        <v>409.66891295140607</v>
      </c>
    </row>
    <row r="37" spans="2:21" x14ac:dyDescent="0.3">
      <c r="B37" s="10">
        <v>43911</v>
      </c>
      <c r="C37" s="4">
        <v>31</v>
      </c>
      <c r="D37" s="11">
        <f>'dpc-covid19-ita-andamento-naz'!L28</f>
        <v>53578</v>
      </c>
      <c r="E37" s="11">
        <f t="shared" si="12"/>
        <v>6557</v>
      </c>
      <c r="F37" s="11">
        <f t="shared" si="0"/>
        <v>53012.908916925109</v>
      </c>
      <c r="G37" s="11">
        <f t="shared" si="13"/>
        <v>5396.2060288816429</v>
      </c>
      <c r="H37" s="11">
        <f t="shared" si="10"/>
        <v>6296.9539052166347</v>
      </c>
      <c r="I37" s="11">
        <f t="shared" si="11"/>
        <v>4495.458152546651</v>
      </c>
      <c r="J37" s="11">
        <f>'dpc-covid19-ita-andamento-naz'!K28</f>
        <v>4825</v>
      </c>
      <c r="K37" s="11">
        <f t="shared" si="8"/>
        <v>793</v>
      </c>
      <c r="L37" s="11">
        <f t="shared" si="3"/>
        <v>4972.7053500276843</v>
      </c>
      <c r="M37" s="11">
        <f t="shared" si="14"/>
        <v>589.53877753010875</v>
      </c>
      <c r="N37" s="11">
        <f t="shared" si="4"/>
        <v>716.75252164641188</v>
      </c>
      <c r="O37" s="11">
        <f t="shared" si="5"/>
        <v>462.32503341380556</v>
      </c>
    </row>
    <row r="38" spans="2:21" x14ac:dyDescent="0.3">
      <c r="B38" s="10">
        <v>43912</v>
      </c>
      <c r="C38" s="4">
        <v>32</v>
      </c>
      <c r="D38" s="11">
        <f>'dpc-covid19-ita-andamento-naz'!L29</f>
        <v>59138</v>
      </c>
      <c r="E38" s="11">
        <f t="shared" si="12"/>
        <v>5560</v>
      </c>
      <c r="F38" s="11">
        <f t="shared" si="0"/>
        <v>58634.80551478565</v>
      </c>
      <c r="G38" s="11">
        <f t="shared" si="13"/>
        <v>5621.8965978605411</v>
      </c>
      <c r="H38" s="11">
        <f t="shared" si="10"/>
        <v>6522.6444741955329</v>
      </c>
      <c r="I38" s="11">
        <f t="shared" si="11"/>
        <v>4721.1487215255493</v>
      </c>
      <c r="J38" s="11">
        <f>'dpc-covid19-ita-andamento-naz'!K29</f>
        <v>5476</v>
      </c>
      <c r="K38" s="11">
        <f t="shared" si="8"/>
        <v>651</v>
      </c>
      <c r="L38" s="11">
        <f t="shared" si="3"/>
        <v>5614.0346864643961</v>
      </c>
      <c r="M38" s="11">
        <f t="shared" si="14"/>
        <v>641.32933643671186</v>
      </c>
      <c r="N38" s="11">
        <f t="shared" si="4"/>
        <v>768.54308055301499</v>
      </c>
      <c r="O38" s="11">
        <f t="shared" si="5"/>
        <v>514.11559232040872</v>
      </c>
    </row>
    <row r="39" spans="2:21" x14ac:dyDescent="0.3">
      <c r="B39" s="23">
        <v>43913</v>
      </c>
      <c r="C39" s="4">
        <v>33</v>
      </c>
      <c r="D39" s="11">
        <f>'dpc-covid19-ita-andamento-naz'!L30</f>
        <v>63927</v>
      </c>
      <c r="E39" s="11">
        <f t="shared" si="12"/>
        <v>4789</v>
      </c>
      <c r="F39" s="11">
        <f t="shared" ref="F39:F70" si="15">Kn/(1+EXP(-($C39-t0n)/wn))</f>
        <v>64414.180385028281</v>
      </c>
      <c r="G39" s="11">
        <f t="shared" si="13"/>
        <v>5779.374870242631</v>
      </c>
      <c r="H39" s="11">
        <f t="shared" si="10"/>
        <v>6680.1227465776228</v>
      </c>
      <c r="I39" s="11">
        <f t="shared" si="11"/>
        <v>4878.6269939076392</v>
      </c>
      <c r="J39" s="11">
        <f>'dpc-covid19-ita-andamento-naz'!K30</f>
        <v>6077</v>
      </c>
      <c r="K39" s="11">
        <f t="shared" si="8"/>
        <v>601</v>
      </c>
      <c r="L39" s="11">
        <f t="shared" ref="L39:L70" si="16">Kd/(1+EXP(-($C39-t0d)/wd))</f>
        <v>6304.6406624859392</v>
      </c>
      <c r="M39" s="11">
        <f t="shared" si="14"/>
        <v>690.60597602154303</v>
      </c>
      <c r="N39" s="11">
        <f t="shared" si="4"/>
        <v>817.81972013784616</v>
      </c>
      <c r="O39" s="11">
        <f t="shared" si="5"/>
        <v>563.3922319052399</v>
      </c>
    </row>
    <row r="40" spans="2:21" x14ac:dyDescent="0.3">
      <c r="B40" s="10">
        <v>43914</v>
      </c>
      <c r="C40" s="4">
        <v>34</v>
      </c>
      <c r="D40" s="11">
        <f>'dpc-covid19-ita-andamento-naz'!L31</f>
        <v>69176</v>
      </c>
      <c r="E40" s="11">
        <f t="shared" si="12"/>
        <v>5249</v>
      </c>
      <c r="F40" s="11">
        <f t="shared" si="15"/>
        <v>70274.5</v>
      </c>
      <c r="G40" s="11">
        <f t="shared" si="13"/>
        <v>5860.3196149717187</v>
      </c>
      <c r="H40" s="11">
        <f t="shared" si="10"/>
        <v>6761.0674913067105</v>
      </c>
      <c r="I40" s="11">
        <f t="shared" si="11"/>
        <v>4959.5717386367269</v>
      </c>
      <c r="J40" s="11">
        <f>'dpc-covid19-ita-andamento-naz'!K31</f>
        <v>6820</v>
      </c>
      <c r="K40" s="11">
        <f t="shared" si="8"/>
        <v>743</v>
      </c>
      <c r="L40" s="11">
        <f t="shared" si="16"/>
        <v>7040.2078261901934</v>
      </c>
      <c r="M40" s="11">
        <f t="shared" si="14"/>
        <v>735.5671637042542</v>
      </c>
      <c r="N40" s="11">
        <f t="shared" si="4"/>
        <v>862.78090782055733</v>
      </c>
      <c r="O40" s="11">
        <f t="shared" si="5"/>
        <v>608.35341958795107</v>
      </c>
    </row>
    <row r="41" spans="2:21" x14ac:dyDescent="0.3">
      <c r="B41" s="10">
        <v>43915</v>
      </c>
      <c r="C41" s="4">
        <v>35</v>
      </c>
      <c r="D41" s="11">
        <f>'dpc-covid19-ita-andamento-naz'!L32</f>
        <v>74386</v>
      </c>
      <c r="E41" s="11">
        <f t="shared" si="12"/>
        <v>5210</v>
      </c>
      <c r="F41" s="11">
        <f t="shared" si="15"/>
        <v>76134.819614971711</v>
      </c>
      <c r="G41" s="11">
        <f t="shared" si="13"/>
        <v>5860.3196149717114</v>
      </c>
      <c r="H41" s="11">
        <f t="shared" si="10"/>
        <v>6761.0674913067032</v>
      </c>
      <c r="I41" s="11">
        <f t="shared" si="11"/>
        <v>4959.5717386367196</v>
      </c>
      <c r="J41" s="11">
        <f>'dpc-covid19-ita-andamento-naz'!K32</f>
        <v>7503</v>
      </c>
      <c r="K41" s="11">
        <f t="shared" si="8"/>
        <v>683</v>
      </c>
      <c r="L41" s="11">
        <f t="shared" si="16"/>
        <v>7814.5790331301905</v>
      </c>
      <c r="M41" s="11">
        <f t="shared" si="14"/>
        <v>774.37120693999714</v>
      </c>
      <c r="N41" s="11">
        <f t="shared" si="4"/>
        <v>901.58495105630027</v>
      </c>
      <c r="O41" s="11">
        <f t="shared" si="5"/>
        <v>647.157462823694</v>
      </c>
    </row>
    <row r="42" spans="2:21" x14ac:dyDescent="0.3">
      <c r="B42" s="10">
        <v>43916</v>
      </c>
      <c r="C42" s="4">
        <v>36</v>
      </c>
      <c r="D42" s="11">
        <f>'dpc-covid19-ita-andamento-naz'!L33</f>
        <v>80539</v>
      </c>
      <c r="E42" s="11">
        <f t="shared" si="12"/>
        <v>6153</v>
      </c>
      <c r="F42" s="11">
        <f t="shared" si="15"/>
        <v>81914.194485214335</v>
      </c>
      <c r="G42" s="11">
        <f t="shared" si="13"/>
        <v>5779.3748702426237</v>
      </c>
      <c r="H42" s="11">
        <f t="shared" si="10"/>
        <v>6680.1227465776155</v>
      </c>
      <c r="I42" s="11">
        <f t="shared" si="11"/>
        <v>4878.6269939076319</v>
      </c>
      <c r="J42" s="11">
        <f>'dpc-covid19-ita-andamento-naz'!K33</f>
        <v>8165</v>
      </c>
      <c r="K42" s="11">
        <f t="shared" si="8"/>
        <v>662</v>
      </c>
      <c r="L42" s="11">
        <f t="shared" si="16"/>
        <v>8619.8561305875701</v>
      </c>
      <c r="M42" s="11">
        <f t="shared" si="14"/>
        <v>805.27709745737957</v>
      </c>
      <c r="N42" s="11">
        <f t="shared" si="4"/>
        <v>932.4908415736827</v>
      </c>
      <c r="O42" s="11">
        <f t="shared" si="5"/>
        <v>678.06335334107644</v>
      </c>
    </row>
    <row r="43" spans="2:21" x14ac:dyDescent="0.3">
      <c r="B43" s="10">
        <v>43917</v>
      </c>
      <c r="C43" s="4">
        <v>37</v>
      </c>
      <c r="D43" s="11">
        <f>'dpc-covid19-ita-andamento-naz'!L34</f>
        <v>86498</v>
      </c>
      <c r="E43" s="11">
        <f t="shared" si="12"/>
        <v>5959</v>
      </c>
      <c r="F43" s="11">
        <f t="shared" si="15"/>
        <v>87536.091083074891</v>
      </c>
      <c r="G43" s="11">
        <f t="shared" si="13"/>
        <v>5621.8965978605556</v>
      </c>
      <c r="H43" s="11">
        <f t="shared" si="10"/>
        <v>6522.6444741955474</v>
      </c>
      <c r="I43" s="11">
        <f t="shared" si="11"/>
        <v>4721.1487215255638</v>
      </c>
      <c r="J43" s="11">
        <f>'dpc-covid19-ita-andamento-naz'!K34</f>
        <v>9134</v>
      </c>
      <c r="K43" s="11">
        <f t="shared" si="8"/>
        <v>969</v>
      </c>
      <c r="L43" s="11">
        <f t="shared" si="16"/>
        <v>9446.6540699516718</v>
      </c>
      <c r="M43" s="11">
        <f t="shared" si="14"/>
        <v>826.79793936410169</v>
      </c>
      <c r="N43" s="11">
        <f t="shared" si="4"/>
        <v>954.01168348040483</v>
      </c>
      <c r="O43" s="11">
        <f t="shared" si="5"/>
        <v>699.58419524779856</v>
      </c>
    </row>
    <row r="44" spans="2:21" x14ac:dyDescent="0.3">
      <c r="B44" s="10">
        <v>43918</v>
      </c>
      <c r="C44" s="4">
        <v>38</v>
      </c>
      <c r="D44" s="11">
        <f>'dpc-covid19-ita-andamento-naz'!L35</f>
        <v>92472</v>
      </c>
      <c r="E44" s="11">
        <f t="shared" si="12"/>
        <v>5974</v>
      </c>
      <c r="F44" s="11">
        <f t="shared" si="15"/>
        <v>92932.297111956534</v>
      </c>
      <c r="G44" s="11">
        <f t="shared" si="13"/>
        <v>5396.2060288816429</v>
      </c>
      <c r="H44" s="11">
        <f t="shared" si="10"/>
        <v>6296.9539052166347</v>
      </c>
      <c r="I44" s="11">
        <f t="shared" ref="I44" si="17">MAX(G44-CIn,0)</f>
        <v>4495.458152546651</v>
      </c>
      <c r="J44" s="11">
        <f>'dpc-covid19-ita-andamento-naz'!K35</f>
        <v>10023</v>
      </c>
      <c r="K44" s="11">
        <f t="shared" si="8"/>
        <v>889</v>
      </c>
      <c r="L44" s="11">
        <f t="shared" si="16"/>
        <v>10284.5</v>
      </c>
      <c r="M44" s="11">
        <f t="shared" si="14"/>
        <v>837.84593004832823</v>
      </c>
      <c r="N44" s="11">
        <f t="shared" si="4"/>
        <v>965.05967416463136</v>
      </c>
      <c r="O44" s="11">
        <f t="shared" si="5"/>
        <v>710.6321859320251</v>
      </c>
    </row>
    <row r="45" spans="2:21" x14ac:dyDescent="0.3">
      <c r="B45" s="10">
        <v>43919</v>
      </c>
      <c r="C45" s="4">
        <v>39</v>
      </c>
      <c r="D45" s="11">
        <f>'dpc-covid19-ita-andamento-naz'!L36</f>
        <v>97689</v>
      </c>
      <c r="E45" s="11">
        <f t="shared" si="12"/>
        <v>5217</v>
      </c>
      <c r="F45" s="11">
        <f t="shared" si="15"/>
        <v>98045.924526550225</v>
      </c>
      <c r="G45" s="11">
        <f t="shared" si="13"/>
        <v>5113.6274145936914</v>
      </c>
      <c r="H45" s="11">
        <f t="shared" ref="H45:H46" si="18">G45+CIn</f>
        <v>6014.3752909286832</v>
      </c>
      <c r="I45" s="11">
        <f t="shared" ref="I45:I46" si="19">MAX(G45-CIn,0)</f>
        <v>4212.8795382586995</v>
      </c>
      <c r="J45" s="11">
        <f>'dpc-covid19-ita-andamento-naz'!K36</f>
        <v>10779</v>
      </c>
      <c r="K45" s="11">
        <f t="shared" si="8"/>
        <v>756</v>
      </c>
      <c r="L45" s="11">
        <f t="shared" si="16"/>
        <v>11122.345930048328</v>
      </c>
      <c r="M45" s="11">
        <f t="shared" si="14"/>
        <v>837.84593004832823</v>
      </c>
      <c r="N45" s="11">
        <f t="shared" si="4"/>
        <v>965.05967416463136</v>
      </c>
      <c r="O45" s="11">
        <f t="shared" si="5"/>
        <v>710.6321859320251</v>
      </c>
    </row>
    <row r="46" spans="2:21" x14ac:dyDescent="0.3">
      <c r="B46" s="10">
        <v>43920</v>
      </c>
      <c r="C46" s="4">
        <v>40</v>
      </c>
      <c r="D46" s="11">
        <f>'dpc-covid19-ita-andamento-naz'!L37</f>
        <v>101739</v>
      </c>
      <c r="E46" s="11">
        <f t="shared" si="12"/>
        <v>4050</v>
      </c>
      <c r="F46" s="11">
        <f t="shared" si="15"/>
        <v>102833.26362481616</v>
      </c>
      <c r="G46" s="11">
        <f t="shared" si="13"/>
        <v>4787.339098265933</v>
      </c>
      <c r="H46" s="11">
        <f t="shared" si="18"/>
        <v>5688.0869746009248</v>
      </c>
      <c r="I46" s="11">
        <f t="shared" si="19"/>
        <v>3886.5912219309407</v>
      </c>
      <c r="J46" s="11">
        <f>'dpc-covid19-ita-andamento-naz'!K37</f>
        <v>11591</v>
      </c>
      <c r="K46" s="11">
        <f t="shared" si="8"/>
        <v>812</v>
      </c>
      <c r="L46" s="11">
        <f t="shared" si="16"/>
        <v>11949.14386941243</v>
      </c>
      <c r="M46" s="11">
        <f t="shared" si="14"/>
        <v>826.79793936410169</v>
      </c>
      <c r="N46" s="11">
        <f t="shared" si="4"/>
        <v>954.01168348040483</v>
      </c>
      <c r="O46" s="11">
        <f t="shared" si="5"/>
        <v>699.58419524779856</v>
      </c>
    </row>
    <row r="47" spans="2:21" x14ac:dyDescent="0.3">
      <c r="B47" s="10">
        <v>43921</v>
      </c>
      <c r="C47" s="4">
        <v>41</v>
      </c>
      <c r="D47" s="11">
        <f>'dpc-covid19-ita-andamento-naz'!L38</f>
        <v>105792</v>
      </c>
      <c r="E47" s="11">
        <f t="shared" si="12"/>
        <v>4053</v>
      </c>
      <c r="F47" s="11">
        <f t="shared" si="15"/>
        <v>107264.4351008621</v>
      </c>
      <c r="G47" s="11">
        <f t="shared" si="13"/>
        <v>4431.1714760459436</v>
      </c>
      <c r="H47" s="11">
        <f t="shared" ref="H47" si="20">G47+CIn</f>
        <v>5331.9193523809354</v>
      </c>
      <c r="I47" s="11">
        <f t="shared" ref="I47" si="21">MAX(G47-CIn,0)</f>
        <v>3530.4235997109513</v>
      </c>
      <c r="J47" s="11">
        <f>'dpc-covid19-ita-andamento-naz'!K38</f>
        <v>12428</v>
      </c>
      <c r="K47" s="11">
        <f t="shared" si="8"/>
        <v>837</v>
      </c>
      <c r="L47" s="11">
        <f t="shared" si="16"/>
        <v>12754.420966869811</v>
      </c>
      <c r="M47" s="11">
        <f t="shared" si="14"/>
        <v>805.27709745738139</v>
      </c>
      <c r="N47" s="11">
        <f t="shared" ref="N47" si="22">M47+CId</f>
        <v>932.49084157368452</v>
      </c>
      <c r="O47" s="11">
        <f t="shared" ref="O47" si="23">MAX(M47-CId,0)</f>
        <v>678.06335334107825</v>
      </c>
    </row>
    <row r="48" spans="2:21" x14ac:dyDescent="0.3">
      <c r="B48" s="10">
        <v>43922</v>
      </c>
      <c r="C48" s="4">
        <v>42</v>
      </c>
      <c r="E48" s="11"/>
      <c r="F48" s="11">
        <f t="shared" si="15"/>
        <v>111322.95641162149</v>
      </c>
      <c r="G48" s="11">
        <f t="shared" si="13"/>
        <v>4058.5213107593881</v>
      </c>
      <c r="K48" s="11"/>
      <c r="L48" s="11">
        <f t="shared" si="16"/>
        <v>13528.792173809805</v>
      </c>
      <c r="M48" s="11">
        <f t="shared" si="14"/>
        <v>774.3712069399935</v>
      </c>
    </row>
    <row r="49" spans="2:13" x14ac:dyDescent="0.3">
      <c r="B49" s="10">
        <v>43923</v>
      </c>
      <c r="C49" s="4">
        <v>43</v>
      </c>
      <c r="E49" s="11"/>
      <c r="F49" s="11">
        <f t="shared" si="15"/>
        <v>115004.45735368659</v>
      </c>
      <c r="G49" s="11">
        <f t="shared" si="13"/>
        <v>3681.500942065104</v>
      </c>
      <c r="K49" s="11"/>
      <c r="L49" s="11">
        <f t="shared" si="16"/>
        <v>14264.359337514059</v>
      </c>
      <c r="M49" s="11">
        <f t="shared" si="14"/>
        <v>735.5671637042542</v>
      </c>
    </row>
    <row r="50" spans="2:13" x14ac:dyDescent="0.3">
      <c r="B50" s="10">
        <v>43924</v>
      </c>
      <c r="C50" s="4">
        <v>44</v>
      </c>
      <c r="E50" s="11"/>
      <c r="F50" s="11">
        <f t="shared" si="15"/>
        <v>118314.83506481891</v>
      </c>
      <c r="G50" s="11">
        <f t="shared" si="13"/>
        <v>3310.3777111323143</v>
      </c>
      <c r="K50" s="11"/>
      <c r="L50" s="11">
        <f t="shared" si="16"/>
        <v>14954.965313535604</v>
      </c>
      <c r="M50" s="11">
        <f t="shared" si="14"/>
        <v>690.60597602154485</v>
      </c>
    </row>
    <row r="51" spans="2:13" x14ac:dyDescent="0.3">
      <c r="B51" s="10">
        <v>43925</v>
      </c>
      <c r="C51" s="4">
        <v>45</v>
      </c>
      <c r="E51" s="11"/>
      <c r="F51" s="11">
        <f t="shared" si="15"/>
        <v>121268.13626031934</v>
      </c>
      <c r="G51" s="11">
        <f t="shared" si="13"/>
        <v>2953.3011955004331</v>
      </c>
      <c r="K51" s="11"/>
      <c r="L51" s="11">
        <f t="shared" si="16"/>
        <v>15596.294649972315</v>
      </c>
      <c r="M51" s="11">
        <f t="shared" si="14"/>
        <v>641.32933643671095</v>
      </c>
    </row>
    <row r="52" spans="2:13" x14ac:dyDescent="0.3">
      <c r="B52" s="10">
        <v>43926</v>
      </c>
      <c r="C52" s="4">
        <v>46</v>
      </c>
      <c r="E52" s="11"/>
      <c r="F52" s="11">
        <f t="shared" si="15"/>
        <v>123884.41107912235</v>
      </c>
      <c r="G52" s="11">
        <f t="shared" si="13"/>
        <v>2616.2748188030091</v>
      </c>
      <c r="K52" s="11"/>
      <c r="L52" s="11">
        <f t="shared" si="16"/>
        <v>16185.833427502423</v>
      </c>
      <c r="M52" s="11">
        <f t="shared" si="14"/>
        <v>589.53877753010784</v>
      </c>
    </row>
    <row r="53" spans="2:13" x14ac:dyDescent="0.3">
      <c r="B53" s="10">
        <v>43927</v>
      </c>
      <c r="C53" s="4">
        <v>47</v>
      </c>
      <c r="E53" s="11"/>
      <c r="F53" s="11">
        <f t="shared" si="15"/>
        <v>126187.71850898241</v>
      </c>
      <c r="G53" s="11">
        <f t="shared" si="13"/>
        <v>2303.307429860055</v>
      </c>
      <c r="K53" s="11"/>
      <c r="L53" s="11">
        <f t="shared" si="16"/>
        <v>16722.716084570133</v>
      </c>
      <c r="M53" s="11">
        <f t="shared" si="14"/>
        <v>536.88265706771017</v>
      </c>
    </row>
    <row r="54" spans="2:13" x14ac:dyDescent="0.3">
      <c r="B54" s="10">
        <v>43928</v>
      </c>
      <c r="C54" s="4">
        <v>48</v>
      </c>
      <c r="E54" s="11"/>
      <c r="F54" s="11">
        <f t="shared" si="15"/>
        <v>128204.3954145373</v>
      </c>
      <c r="G54" s="11">
        <f t="shared" si="13"/>
        <v>2016.6769055548939</v>
      </c>
      <c r="K54" s="11"/>
      <c r="L54" s="11">
        <f t="shared" si="16"/>
        <v>17207.494829335472</v>
      </c>
      <c r="M54" s="11">
        <f t="shared" si="14"/>
        <v>484.77874476533907</v>
      </c>
    </row>
    <row r="55" spans="2:13" x14ac:dyDescent="0.3">
      <c r="B55" s="10">
        <v>43929</v>
      </c>
      <c r="C55" s="4">
        <v>49</v>
      </c>
      <c r="E55" s="11"/>
      <c r="F55" s="11">
        <f t="shared" si="15"/>
        <v>129961.64150906092</v>
      </c>
      <c r="G55" s="11">
        <f t="shared" si="13"/>
        <v>1757.2460945236235</v>
      </c>
      <c r="K55" s="11"/>
      <c r="L55" s="11">
        <f t="shared" si="16"/>
        <v>17641.867940850581</v>
      </c>
      <c r="M55" s="11">
        <f t="shared" si="14"/>
        <v>434.37311151510949</v>
      </c>
    </row>
    <row r="56" spans="2:13" x14ac:dyDescent="0.3">
      <c r="B56" s="10">
        <v>43930</v>
      </c>
      <c r="C56" s="4">
        <v>50</v>
      </c>
      <c r="E56" s="11"/>
      <c r="F56" s="11">
        <f t="shared" si="15"/>
        <v>131486.42702518127</v>
      </c>
      <c r="G56" s="11">
        <f t="shared" si="13"/>
        <v>1524.7855161203479</v>
      </c>
      <c r="K56" s="11"/>
      <c r="L56" s="11">
        <f t="shared" si="16"/>
        <v>18028.398694486983</v>
      </c>
      <c r="M56" s="11">
        <f t="shared" si="14"/>
        <v>386.53075363640164</v>
      </c>
    </row>
    <row r="57" spans="2:13" x14ac:dyDescent="0.3">
      <c r="B57" s="10">
        <v>43931</v>
      </c>
      <c r="C57" s="4">
        <v>51</v>
      </c>
      <c r="E57" s="11"/>
      <c r="F57" s="11">
        <f t="shared" si="15"/>
        <v>132804.69947274256</v>
      </c>
      <c r="G57" s="11">
        <f t="shared" si="13"/>
        <v>1318.2724475612922</v>
      </c>
      <c r="K57" s="11"/>
      <c r="L57" s="11">
        <f t="shared" si="16"/>
        <v>18370.249137078263</v>
      </c>
      <c r="M57" s="11">
        <f t="shared" si="14"/>
        <v>341.85044259127972</v>
      </c>
    </row>
    <row r="58" spans="2:13" x14ac:dyDescent="0.3">
      <c r="B58" s="10">
        <v>43932</v>
      </c>
      <c r="C58" s="4">
        <v>52</v>
      </c>
      <c r="E58" s="11"/>
      <c r="F58" s="11">
        <f t="shared" si="15"/>
        <v>133940.84891679435</v>
      </c>
      <c r="G58" s="11">
        <f t="shared" si="13"/>
        <v>1136.1494440517854</v>
      </c>
      <c r="K58" s="11"/>
      <c r="L58" s="11">
        <f t="shared" si="16"/>
        <v>18670.944615014287</v>
      </c>
      <c r="M58" s="11">
        <f t="shared" si="14"/>
        <v>300.69547793602396</v>
      </c>
    </row>
    <row r="59" spans="2:13" x14ac:dyDescent="0.3">
      <c r="B59" s="10">
        <v>43933</v>
      </c>
      <c r="C59" s="4">
        <v>53</v>
      </c>
      <c r="E59" s="11"/>
      <c r="F59" s="11">
        <f t="shared" si="15"/>
        <v>134917.38454417561</v>
      </c>
      <c r="G59" s="11">
        <f t="shared" si="13"/>
        <v>976.53562738126493</v>
      </c>
      <c r="K59" s="11"/>
      <c r="L59" s="11">
        <f t="shared" si="16"/>
        <v>18934.177355445183</v>
      </c>
      <c r="M59" s="11">
        <f t="shared" si="14"/>
        <v>263.23274043089623</v>
      </c>
    </row>
    <row r="60" spans="2:13" x14ac:dyDescent="0.3">
      <c r="B60" s="10">
        <v>43934</v>
      </c>
      <c r="C60" s="4">
        <v>54</v>
      </c>
      <c r="E60" s="11"/>
      <c r="F60" s="11">
        <f t="shared" si="15"/>
        <v>135754.77561097764</v>
      </c>
      <c r="G60" s="11">
        <f t="shared" si="13"/>
        <v>837.39106680202531</v>
      </c>
      <c r="K60" s="11"/>
      <c r="L60" s="11">
        <f t="shared" si="16"/>
        <v>19163.65135714491</v>
      </c>
      <c r="M60" s="11">
        <f t="shared" si="14"/>
        <v>229.47400169972752</v>
      </c>
    </row>
    <row r="61" spans="2:13" x14ac:dyDescent="0.3">
      <c r="B61" s="10">
        <v>43935</v>
      </c>
      <c r="C61" s="4">
        <v>55</v>
      </c>
      <c r="E61" s="11"/>
      <c r="F61" s="11">
        <f t="shared" si="15"/>
        <v>136471.41432282334</v>
      </c>
      <c r="G61" s="11">
        <f t="shared" si="13"/>
        <v>716.63871184570598</v>
      </c>
      <c r="K61" s="11"/>
      <c r="L61" s="11">
        <f t="shared" si="16"/>
        <v>19362.966620941981</v>
      </c>
      <c r="M61" s="11">
        <f t="shared" si="14"/>
        <v>199.31526379707066</v>
      </c>
    </row>
    <row r="62" spans="2:13" x14ac:dyDescent="0.3">
      <c r="B62" s="10">
        <v>43936</v>
      </c>
      <c r="C62" s="4">
        <v>56</v>
      </c>
      <c r="E62" s="11"/>
      <c r="F62" s="11">
        <f t="shared" si="15"/>
        <v>137083.66463621325</v>
      </c>
      <c r="G62" s="11">
        <f t="shared" si="13"/>
        <v>612.25031338990084</v>
      </c>
      <c r="K62" s="11"/>
      <c r="L62" s="11">
        <f t="shared" si="16"/>
        <v>19535.538207471087</v>
      </c>
      <c r="M62" s="11">
        <f t="shared" si="14"/>
        <v>172.57158652910584</v>
      </c>
    </row>
    <row r="63" spans="2:13" x14ac:dyDescent="0.3">
      <c r="B63" s="10">
        <v>43937</v>
      </c>
      <c r="C63" s="4">
        <v>57</v>
      </c>
      <c r="E63" s="11"/>
      <c r="F63" s="11">
        <f t="shared" si="15"/>
        <v>137605.96791871072</v>
      </c>
      <c r="G63" s="11">
        <f t="shared" si="13"/>
        <v>522.30328249747981</v>
      </c>
      <c r="K63" s="11"/>
      <c r="L63" s="11">
        <f t="shared" si="16"/>
        <v>19684.54442021676</v>
      </c>
      <c r="M63" s="11">
        <f t="shared" si="14"/>
        <v>149.00621274567311</v>
      </c>
    </row>
    <row r="64" spans="2:13" x14ac:dyDescent="0.3">
      <c r="B64" s="10">
        <v>43938</v>
      </c>
      <c r="C64" s="4">
        <v>58</v>
      </c>
      <c r="E64" s="11"/>
      <c r="F64" s="11">
        <f t="shared" si="15"/>
        <v>138050.98298522964</v>
      </c>
      <c r="G64" s="11">
        <f t="shared" si="13"/>
        <v>445.01506651891395</v>
      </c>
      <c r="K64" s="11"/>
      <c r="L64" s="11">
        <f t="shared" si="16"/>
        <v>19812.898186676703</v>
      </c>
      <c r="M64" s="11">
        <f t="shared" si="14"/>
        <v>128.35376645994256</v>
      </c>
    </row>
    <row r="65" spans="2:13" x14ac:dyDescent="0.3">
      <c r="B65" s="10">
        <v>43939</v>
      </c>
      <c r="C65" s="4">
        <v>59</v>
      </c>
      <c r="E65" s="11"/>
      <c r="F65" s="11">
        <f t="shared" si="15"/>
        <v>138429.74378280656</v>
      </c>
      <c r="G65" s="11">
        <f t="shared" si="13"/>
        <v>378.7607975769206</v>
      </c>
      <c r="K65" s="11"/>
      <c r="L65" s="11">
        <f t="shared" si="16"/>
        <v>19923.23609440455</v>
      </c>
      <c r="M65" s="11">
        <f t="shared" si="14"/>
        <v>110.33790772784778</v>
      </c>
    </row>
    <row r="66" spans="2:13" x14ac:dyDescent="0.3">
      <c r="B66" s="10">
        <v>43940</v>
      </c>
      <c r="C66" s="4">
        <v>60</v>
      </c>
      <c r="E66" s="11"/>
      <c r="F66" s="11">
        <f t="shared" si="15"/>
        <v>138751.82275983374</v>
      </c>
      <c r="G66" s="11">
        <f t="shared" si="13"/>
        <v>322.07897702718037</v>
      </c>
      <c r="K66" s="11"/>
      <c r="L66" s="11">
        <f t="shared" si="16"/>
        <v>20017.920248792172</v>
      </c>
      <c r="M66" s="11">
        <f t="shared" si="14"/>
        <v>94.684154387621675</v>
      </c>
    </row>
    <row r="67" spans="2:13" x14ac:dyDescent="0.3">
      <c r="B67" s="10">
        <v>43941</v>
      </c>
      <c r="C67" s="4">
        <v>61</v>
      </c>
      <c r="E67" s="11"/>
      <c r="F67" s="11">
        <f t="shared" si="15"/>
        <v>139025.49173445109</v>
      </c>
      <c r="G67" s="11">
        <f t="shared" si="13"/>
        <v>273.66897461735061</v>
      </c>
      <c r="K67" s="11"/>
      <c r="L67" s="11">
        <f t="shared" si="16"/>
        <v>20099.048954035083</v>
      </c>
      <c r="M67" s="11">
        <f t="shared" si="14"/>
        <v>81.128705242910655</v>
      </c>
    </row>
    <row r="68" spans="2:13" x14ac:dyDescent="0.3">
      <c r="B68" s="10">
        <v>43942</v>
      </c>
      <c r="C68" s="4">
        <v>62</v>
      </c>
      <c r="E68" s="11"/>
      <c r="F68" s="11">
        <f t="shared" si="15"/>
        <v>139257.8749696704</v>
      </c>
      <c r="G68" s="11">
        <f t="shared" si="13"/>
        <v>232.38323521931306</v>
      </c>
      <c r="K68" s="11"/>
      <c r="L68" s="11">
        <f t="shared" si="16"/>
        <v>20168.473048382664</v>
      </c>
      <c r="M68" s="11">
        <f t="shared" si="14"/>
        <v>69.424094347581558</v>
      </c>
    </row>
    <row r="69" spans="2:13" x14ac:dyDescent="0.3">
      <c r="B69" s="10">
        <v>43943</v>
      </c>
      <c r="C69" s="4">
        <v>63</v>
      </c>
      <c r="E69" s="11"/>
      <c r="F69" s="11">
        <f t="shared" si="15"/>
        <v>139455.09130757904</v>
      </c>
      <c r="G69" s="11">
        <f t="shared" si="13"/>
        <v>197.21633790864144</v>
      </c>
      <c r="K69" s="11"/>
      <c r="L69" s="11">
        <f t="shared" si="16"/>
        <v>20227.815476423057</v>
      </c>
      <c r="M69" s="11">
        <f t="shared" si="14"/>
        <v>59.342428040392406</v>
      </c>
    </row>
    <row r="70" spans="2:13" x14ac:dyDescent="0.3">
      <c r="B70" s="10">
        <v>43944</v>
      </c>
      <c r="C70" s="4">
        <v>64</v>
      </c>
      <c r="E70" s="11"/>
      <c r="F70" s="11">
        <f t="shared" si="15"/>
        <v>139622.38375582179</v>
      </c>
      <c r="G70" s="11">
        <f t="shared" si="13"/>
        <v>167.29244824274792</v>
      </c>
      <c r="K70" s="11"/>
      <c r="L70" s="11">
        <f t="shared" si="16"/>
        <v>20278.492321410813</v>
      </c>
      <c r="M70" s="11">
        <f t="shared" si="14"/>
        <v>50.67684498775634</v>
      </c>
    </row>
    <row r="71" spans="2:13" x14ac:dyDescent="0.3">
      <c r="B71" s="10"/>
      <c r="C71" s="4"/>
    </row>
    <row r="72" spans="2:13" x14ac:dyDescent="0.3">
      <c r="B72" s="10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44</vt:i4>
      </vt:variant>
    </vt:vector>
  </HeadingPairs>
  <TitlesOfParts>
    <vt:vector size="47" baseType="lpstr">
      <vt:lpstr>dpc-covid19-ita-andamento-naz</vt:lpstr>
      <vt:lpstr>Cumul_confirmed - Boltzmann fit</vt:lpstr>
      <vt:lpstr>New_confirmed - Boltzmann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E_end</vt:lpstr>
      <vt:lpstr>E_start</vt:lpstr>
      <vt:lpstr>G_end</vt:lpstr>
      <vt:lpstr>G_start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2020-03-31T23:57:12Z</dcterms:modified>
</cp:coreProperties>
</file>