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CC98299D-62F3-4AA6-87A3-A91D8A7924A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fit'!$N$15</definedName>
    <definedName name="CId">'New_ confirmed - Gompertz fit'!$R$26</definedName>
    <definedName name="CIh">'Cumul_ confirmed - Gompertz fit'!$N$26</definedName>
    <definedName name="CIn">'New_ confirmed - Gompertz fit'!$R$15</definedName>
    <definedName name="Critical_t">'Cumul_ confirmed - Gompertz fit'!$N$14</definedName>
    <definedName name="Critical_td">'New_ confirmed - Gompertz fit'!$R$25</definedName>
    <definedName name="Critical_th">'Cumul_ confirmed - Gompertz fit'!$N$25</definedName>
    <definedName name="Critical_tn">'New_ confirmed - Gompertz fit'!$R$14</definedName>
    <definedName name="D_End">'Cumul_ confirmed - Gompertz fit'!$D$47</definedName>
    <definedName name="D_Start">'Cumul_ confirmed - Gompertz fit'!$D$7</definedName>
    <definedName name="DatiEsterni_1" localSheetId="0" hidden="1">'dpc-covid-19-ita-andamento-naz'!$A$1:$O$38</definedName>
    <definedName name="DatiEsterni_2" localSheetId="0" hidden="1">'dpc-covid-19-ita-andamento-naz'!#REF!</definedName>
    <definedName name="df">'Cumul_ confirmed - Gompertz fit'!$N$11</definedName>
    <definedName name="dfd">'New_ confirmed - Gompertz fit'!$R$22</definedName>
    <definedName name="dfh">'Cumul_ confirmed - Gompertz fit'!$N$22</definedName>
    <definedName name="dfn">'New_ confirmed - Gompertz fit'!$R$11</definedName>
    <definedName name="E_End">'Cumul_ confirmed - Gompertz fit'!$E$47</definedName>
    <definedName name="E_Start">'Cumul_ confirmed - Gompertz fit'!$E$7</definedName>
    <definedName name="H_End">'Cumul_ confirmed - Gompertz fit'!$H$47</definedName>
    <definedName name="H_Start">'Cumul_ confirmed - Gompertz fit'!$H$7</definedName>
    <definedName name="I_End">'Cumul_ confirmed - Gompertz fit'!$I$47</definedName>
    <definedName name="I_Start">'Cumul_ confirmed - Gompertz fit'!$I$7</definedName>
    <definedName name="K">'Cumul_ confirmed - Gompertz fit'!$N$7</definedName>
    <definedName name="K_end">'New_ confirmed - Gompertz fit'!$K$47</definedName>
    <definedName name="K_start">'New_ confirmed - Gompertz fit'!$K$7</definedName>
    <definedName name="Kd">'New_ confirmed - Gompertz fit'!$R$18</definedName>
    <definedName name="Kh">'Cumul_ confirmed - Gompertz fit'!$N$18</definedName>
    <definedName name="Kn">'New_ confirmed - Gompertz fit'!$R$7</definedName>
    <definedName name="M_end">'New_ confirmed - Gompertz fit'!$M$47</definedName>
    <definedName name="M_start">'New_ confirmed - Gompertz fit'!$M$7</definedName>
    <definedName name="Mean_of_y">'Cumul_ confirmed - Gompertz fit'!$N$10</definedName>
    <definedName name="Mean_of_yd">'New_ confirmed - Gompertz fit'!$R$21</definedName>
    <definedName name="Mean_of_yh">'Cumul_ confirmed - Gompertz fit'!$N$21</definedName>
    <definedName name="Mean_of_yn">'New_ confirmed - Gompertz fit'!$R$10</definedName>
    <definedName name="RSQ">'Cumul_ confirmed - Gompertz fit'!$N$13</definedName>
    <definedName name="RSQd">'New_ confirmed - Gompertz fit'!$R$24</definedName>
    <definedName name="RSQh">'Cumul_ confirmed - Gompertz fit'!$N$24</definedName>
    <definedName name="RSQn">'New_ confirmed - Gompertz fit'!$R$13</definedName>
    <definedName name="SE_of_y">'Cumul_ confirmed - Gompertz fit'!$N$12</definedName>
    <definedName name="SE_of_yd">'New_ confirmed - Gompertz fit'!$R$23</definedName>
    <definedName name="SE_of_yh">'Cumul_ confirmed - Gompertz fit'!$N$23</definedName>
    <definedName name="SE_of_yn">'New_ confirmed - Gompertz fit'!$R$12</definedName>
    <definedName name="solver_adj" localSheetId="1" hidden="1">'Cumul_ confirmed - Gompertz fit'!$N$7,'Cumul_ confirmed - Gompertz fit'!$N$8,'Cumul_ confirmed - Gompertz fit'!$N$9</definedName>
    <definedName name="solver_adj" localSheetId="2" hidden="1">'New_ confirmed - Gompertz fit'!$R$7,'New_ confirmed - Gompertz fit'!$R$8,'New_ confirmed - Gompertz fit'!$R$9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 confirmed - Gompertz fit'!$N$7</definedName>
    <definedName name="solver_lhs1" localSheetId="2" hidden="1">'New_ confirmed - Gompertz fit'!$R$7</definedName>
    <definedName name="solver_lhs2" localSheetId="1" hidden="1">'Cumul_ confirmed - Gompertz fit'!$N$8</definedName>
    <definedName name="solver_lhs2" localSheetId="2" hidden="1">'New_ confirmed - Gompertz fit'!$R$8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 confirmed - Gompertz fit'!$N$13</definedName>
    <definedName name="solver_opt" localSheetId="2" hidden="1">'New_ confirmed - Gompertz fit'!$R$13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fit'!$N$8</definedName>
    <definedName name="t0d">'New_ confirmed - Gompertz fit'!$R$19</definedName>
    <definedName name="t0h">'Cumul_ confirmed - Gompertz fit'!$N$19</definedName>
    <definedName name="t0n">'New_ confirmed - Gompertz fit'!$R$8</definedName>
    <definedName name="w">'Cumul_ confirmed - Gompertz fit'!$N$9</definedName>
    <definedName name="wd">'New_ confirmed - Gompertz fit'!$R$20</definedName>
    <definedName name="wh">'Cumul_ confirmed - Gompertz fit'!$N$20</definedName>
    <definedName name="wn">'New_ confirmed - Gompertz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0" i="17" l="1"/>
  <c r="F130" i="17"/>
  <c r="G129" i="17"/>
  <c r="F129" i="17"/>
  <c r="G128" i="17"/>
  <c r="F128" i="17"/>
  <c r="G127" i="17"/>
  <c r="F127" i="17"/>
  <c r="G126" i="17"/>
  <c r="F126" i="17"/>
  <c r="G125" i="17"/>
  <c r="F125" i="17"/>
  <c r="G124" i="17"/>
  <c r="F124" i="17"/>
  <c r="G123" i="17"/>
  <c r="F123" i="17"/>
  <c r="G122" i="17"/>
  <c r="F122" i="17"/>
  <c r="G121" i="17"/>
  <c r="F121" i="17"/>
  <c r="G120" i="17"/>
  <c r="F120" i="17"/>
  <c r="G119" i="17"/>
  <c r="F119" i="17"/>
  <c r="G118" i="17"/>
  <c r="F118" i="17"/>
  <c r="G117" i="17"/>
  <c r="F117" i="17"/>
  <c r="G116" i="17"/>
  <c r="F116" i="17"/>
  <c r="G115" i="17"/>
  <c r="F115" i="17"/>
  <c r="G114" i="17"/>
  <c r="F114" i="17"/>
  <c r="G113" i="17"/>
  <c r="F113" i="17"/>
  <c r="G112" i="17"/>
  <c r="F112" i="17"/>
  <c r="G111" i="17"/>
  <c r="F111" i="17"/>
  <c r="G110" i="17"/>
  <c r="F110" i="17"/>
  <c r="G109" i="17"/>
  <c r="F109" i="17"/>
  <c r="G108" i="17"/>
  <c r="F108" i="17"/>
  <c r="G107" i="17"/>
  <c r="F107" i="17"/>
  <c r="G106" i="17"/>
  <c r="F106" i="17"/>
  <c r="G105" i="17"/>
  <c r="F105" i="17"/>
  <c r="G104" i="17"/>
  <c r="F104" i="17"/>
  <c r="G103" i="17"/>
  <c r="F103" i="17"/>
  <c r="G102" i="17"/>
  <c r="F102" i="17"/>
  <c r="G101" i="17"/>
  <c r="F101" i="17"/>
  <c r="G100" i="17"/>
  <c r="F100" i="17"/>
  <c r="G99" i="17"/>
  <c r="F99" i="17"/>
  <c r="G98" i="17"/>
  <c r="F98" i="17"/>
  <c r="G97" i="17"/>
  <c r="F97" i="17"/>
  <c r="G96" i="17"/>
  <c r="F96" i="17"/>
  <c r="G95" i="17"/>
  <c r="F95" i="17"/>
  <c r="G94" i="17"/>
  <c r="F94" i="17"/>
  <c r="G93" i="17"/>
  <c r="F93" i="17"/>
  <c r="G92" i="17"/>
  <c r="F92" i="17"/>
  <c r="G91" i="17"/>
  <c r="F91" i="17"/>
  <c r="G90" i="17"/>
  <c r="F90" i="17"/>
  <c r="G89" i="17"/>
  <c r="F89" i="17"/>
  <c r="G88" i="17"/>
  <c r="F88" i="17"/>
  <c r="G87" i="17"/>
  <c r="F87" i="17"/>
  <c r="G86" i="17"/>
  <c r="F86" i="17"/>
  <c r="G85" i="17"/>
  <c r="F85" i="17"/>
  <c r="G84" i="17"/>
  <c r="F84" i="17"/>
  <c r="G83" i="17"/>
  <c r="F83" i="17"/>
  <c r="G82" i="17"/>
  <c r="F82" i="17"/>
  <c r="G81" i="17"/>
  <c r="F81" i="17"/>
  <c r="G80" i="17"/>
  <c r="F80" i="17"/>
  <c r="G79" i="17"/>
  <c r="F79" i="17"/>
  <c r="G78" i="17"/>
  <c r="F78" i="17"/>
  <c r="G77" i="17"/>
  <c r="F77" i="17"/>
  <c r="G76" i="17"/>
  <c r="F76" i="17"/>
  <c r="G75" i="17"/>
  <c r="F75" i="17"/>
  <c r="G74" i="17"/>
  <c r="F74" i="17"/>
  <c r="G73" i="17"/>
  <c r="F73" i="17"/>
  <c r="G72" i="17"/>
  <c r="F72" i="17"/>
  <c r="G71" i="17"/>
  <c r="F71" i="17"/>
  <c r="M70" i="17"/>
  <c r="L70" i="17"/>
  <c r="G70" i="17"/>
  <c r="F70" i="17"/>
  <c r="M69" i="17"/>
  <c r="L69" i="17"/>
  <c r="G69" i="17"/>
  <c r="F69" i="17"/>
  <c r="M68" i="17"/>
  <c r="L68" i="17"/>
  <c r="G68" i="17"/>
  <c r="F68" i="17"/>
  <c r="M67" i="17"/>
  <c r="L67" i="17"/>
  <c r="G67" i="17"/>
  <c r="F67" i="17"/>
  <c r="M66" i="17"/>
  <c r="L66" i="17"/>
  <c r="G66" i="17"/>
  <c r="F66" i="17"/>
  <c r="M65" i="17"/>
  <c r="L65" i="17"/>
  <c r="G65" i="17"/>
  <c r="F65" i="17"/>
  <c r="M64" i="17"/>
  <c r="L64" i="17"/>
  <c r="G64" i="17"/>
  <c r="F64" i="17"/>
  <c r="M63" i="17"/>
  <c r="L63" i="17"/>
  <c r="G63" i="17"/>
  <c r="F63" i="17"/>
  <c r="M62" i="17"/>
  <c r="L62" i="17"/>
  <c r="G62" i="17"/>
  <c r="F62" i="17"/>
  <c r="M61" i="17"/>
  <c r="L61" i="17"/>
  <c r="G61" i="17"/>
  <c r="F61" i="17"/>
  <c r="M60" i="17"/>
  <c r="L60" i="17"/>
  <c r="G60" i="17"/>
  <c r="F60" i="17"/>
  <c r="M59" i="17"/>
  <c r="L59" i="17"/>
  <c r="G59" i="17"/>
  <c r="F59" i="17"/>
  <c r="M58" i="17"/>
  <c r="L58" i="17"/>
  <c r="G58" i="17"/>
  <c r="F58" i="17"/>
  <c r="M57" i="17"/>
  <c r="L57" i="17"/>
  <c r="G57" i="17"/>
  <c r="F57" i="17"/>
  <c r="M56" i="17"/>
  <c r="L56" i="17"/>
  <c r="G56" i="17"/>
  <c r="F56" i="17"/>
  <c r="M55" i="17"/>
  <c r="L55" i="17"/>
  <c r="G55" i="17"/>
  <c r="F55" i="17"/>
  <c r="M54" i="17"/>
  <c r="L54" i="17"/>
  <c r="G54" i="17"/>
  <c r="F54" i="17"/>
  <c r="M53" i="17"/>
  <c r="L53" i="17"/>
  <c r="G53" i="17"/>
  <c r="F53" i="17"/>
  <c r="M52" i="17"/>
  <c r="L52" i="17"/>
  <c r="G52" i="17"/>
  <c r="F52" i="17"/>
  <c r="M51" i="17"/>
  <c r="L51" i="17"/>
  <c r="G51" i="17"/>
  <c r="F51" i="17"/>
  <c r="M50" i="17"/>
  <c r="L50" i="17"/>
  <c r="G50" i="17"/>
  <c r="F50" i="17"/>
  <c r="M49" i="17"/>
  <c r="L49" i="17"/>
  <c r="G49" i="17"/>
  <c r="F49" i="17"/>
  <c r="M48" i="17"/>
  <c r="L48" i="17"/>
  <c r="G48" i="17"/>
  <c r="F48" i="17"/>
  <c r="M47" i="17"/>
  <c r="L47" i="17"/>
  <c r="K47" i="17"/>
  <c r="J47" i="17"/>
  <c r="I47" i="17"/>
  <c r="H47" i="17"/>
  <c r="G47" i="17"/>
  <c r="F47" i="17"/>
  <c r="E47" i="17"/>
  <c r="D47" i="17"/>
  <c r="M46" i="17"/>
  <c r="L46" i="17"/>
  <c r="K46" i="17"/>
  <c r="J46" i="17"/>
  <c r="I46" i="17"/>
  <c r="H46" i="17"/>
  <c r="G46" i="17"/>
  <c r="F46" i="17"/>
  <c r="E46" i="17"/>
  <c r="D46" i="17"/>
  <c r="M45" i="17"/>
  <c r="L45" i="17"/>
  <c r="K45" i="17"/>
  <c r="J45" i="17"/>
  <c r="I45" i="17"/>
  <c r="H45" i="17"/>
  <c r="G45" i="17"/>
  <c r="F45" i="17"/>
  <c r="E45" i="17"/>
  <c r="D45" i="17"/>
  <c r="M44" i="17"/>
  <c r="L44" i="17"/>
  <c r="K44" i="17"/>
  <c r="J44" i="17"/>
  <c r="I44" i="17"/>
  <c r="H44" i="17"/>
  <c r="G44" i="17"/>
  <c r="F44" i="17"/>
  <c r="E44" i="17"/>
  <c r="D44" i="17"/>
  <c r="M43" i="17"/>
  <c r="L43" i="17"/>
  <c r="K43" i="17"/>
  <c r="J43" i="17"/>
  <c r="I43" i="17"/>
  <c r="H43" i="17"/>
  <c r="G43" i="17"/>
  <c r="F43" i="17"/>
  <c r="E43" i="17"/>
  <c r="D43" i="17"/>
  <c r="M42" i="17"/>
  <c r="L42" i="17"/>
  <c r="K42" i="17"/>
  <c r="J42" i="17"/>
  <c r="I42" i="17"/>
  <c r="H42" i="17"/>
  <c r="G42" i="17"/>
  <c r="F42" i="17"/>
  <c r="E42" i="17"/>
  <c r="D42" i="17"/>
  <c r="M41" i="17"/>
  <c r="L41" i="17"/>
  <c r="K41" i="17"/>
  <c r="J41" i="17"/>
  <c r="I41" i="17"/>
  <c r="H41" i="17"/>
  <c r="G41" i="17"/>
  <c r="F41" i="17"/>
  <c r="E41" i="17"/>
  <c r="D41" i="17"/>
  <c r="M40" i="17"/>
  <c r="L40" i="17"/>
  <c r="K40" i="17"/>
  <c r="J40" i="17"/>
  <c r="I40" i="17"/>
  <c r="H40" i="17"/>
  <c r="G40" i="17"/>
  <c r="F40" i="17"/>
  <c r="E40" i="17"/>
  <c r="D40" i="17"/>
  <c r="M39" i="17"/>
  <c r="L39" i="17"/>
  <c r="K39" i="17"/>
  <c r="J39" i="17"/>
  <c r="I39" i="17"/>
  <c r="H39" i="17"/>
  <c r="G39" i="17"/>
  <c r="F39" i="17"/>
  <c r="E39" i="17"/>
  <c r="D39" i="17"/>
  <c r="M38" i="17"/>
  <c r="L38" i="17"/>
  <c r="K38" i="17"/>
  <c r="J38" i="17"/>
  <c r="I38" i="17"/>
  <c r="H38" i="17"/>
  <c r="G38" i="17"/>
  <c r="F38" i="17"/>
  <c r="E38" i="17"/>
  <c r="D38" i="17"/>
  <c r="M37" i="17"/>
  <c r="L37" i="17"/>
  <c r="K37" i="17"/>
  <c r="J37" i="17"/>
  <c r="I37" i="17"/>
  <c r="H37" i="17"/>
  <c r="G37" i="17"/>
  <c r="F37" i="17"/>
  <c r="E37" i="17"/>
  <c r="D37" i="17"/>
  <c r="M36" i="17"/>
  <c r="L36" i="17"/>
  <c r="K36" i="17"/>
  <c r="J36" i="17"/>
  <c r="I36" i="17"/>
  <c r="H36" i="17"/>
  <c r="G36" i="17"/>
  <c r="F36" i="17"/>
  <c r="E36" i="17"/>
  <c r="D36" i="17"/>
  <c r="M35" i="17"/>
  <c r="L35" i="17"/>
  <c r="K35" i="17"/>
  <c r="J35" i="17"/>
  <c r="I35" i="17"/>
  <c r="H35" i="17"/>
  <c r="G35" i="17"/>
  <c r="F35" i="17"/>
  <c r="E35" i="17"/>
  <c r="D35" i="17"/>
  <c r="M34" i="17"/>
  <c r="L34" i="17"/>
  <c r="K34" i="17"/>
  <c r="J34" i="17"/>
  <c r="I34" i="17"/>
  <c r="H34" i="17"/>
  <c r="G34" i="17"/>
  <c r="F34" i="17"/>
  <c r="E34" i="17"/>
  <c r="D34" i="17"/>
  <c r="M33" i="17"/>
  <c r="L33" i="17"/>
  <c r="K33" i="17"/>
  <c r="J33" i="17"/>
  <c r="I33" i="17"/>
  <c r="H33" i="17"/>
  <c r="G33" i="17"/>
  <c r="F33" i="17"/>
  <c r="E33" i="17"/>
  <c r="D33" i="17"/>
  <c r="M32" i="17"/>
  <c r="L32" i="17"/>
  <c r="K32" i="17"/>
  <c r="J32" i="17"/>
  <c r="I32" i="17"/>
  <c r="H32" i="17"/>
  <c r="G32" i="17"/>
  <c r="F32" i="17"/>
  <c r="E32" i="17"/>
  <c r="D32" i="17"/>
  <c r="M31" i="17"/>
  <c r="L31" i="17"/>
  <c r="K31" i="17"/>
  <c r="J31" i="17"/>
  <c r="I31" i="17"/>
  <c r="H31" i="17"/>
  <c r="G31" i="17"/>
  <c r="F31" i="17"/>
  <c r="E31" i="17"/>
  <c r="D31" i="17"/>
  <c r="M30" i="17"/>
  <c r="L30" i="17"/>
  <c r="K30" i="17"/>
  <c r="J30" i="17"/>
  <c r="I30" i="17"/>
  <c r="H30" i="17"/>
  <c r="G30" i="17"/>
  <c r="F30" i="17"/>
  <c r="E30" i="17"/>
  <c r="D30" i="17"/>
  <c r="M29" i="17"/>
  <c r="L29" i="17"/>
  <c r="K29" i="17"/>
  <c r="J29" i="17"/>
  <c r="I29" i="17"/>
  <c r="H29" i="17"/>
  <c r="G29" i="17"/>
  <c r="F29" i="17"/>
  <c r="E29" i="17"/>
  <c r="D29" i="17"/>
  <c r="M28" i="17"/>
  <c r="L28" i="17"/>
  <c r="K28" i="17"/>
  <c r="J28" i="17"/>
  <c r="I28" i="17"/>
  <c r="H28" i="17"/>
  <c r="G28" i="17"/>
  <c r="F28" i="17"/>
  <c r="E28" i="17"/>
  <c r="D28" i="17"/>
  <c r="R27" i="17"/>
  <c r="M27" i="17"/>
  <c r="L27" i="17"/>
  <c r="K27" i="17"/>
  <c r="J27" i="17"/>
  <c r="I27" i="17"/>
  <c r="H27" i="17"/>
  <c r="G27" i="17"/>
  <c r="F27" i="17"/>
  <c r="E27" i="17"/>
  <c r="D27" i="17"/>
  <c r="M26" i="17"/>
  <c r="L26" i="17"/>
  <c r="K26" i="17"/>
  <c r="J26" i="17"/>
  <c r="I26" i="17"/>
  <c r="H26" i="17"/>
  <c r="G26" i="17"/>
  <c r="F26" i="17"/>
  <c r="E26" i="17"/>
  <c r="D26" i="17"/>
  <c r="M25" i="17"/>
  <c r="L25" i="17"/>
  <c r="K25" i="17"/>
  <c r="J25" i="17"/>
  <c r="I25" i="17"/>
  <c r="H25" i="17"/>
  <c r="G25" i="17"/>
  <c r="F25" i="17"/>
  <c r="E25" i="17"/>
  <c r="D25" i="17"/>
  <c r="R24" i="17" a="1"/>
  <c r="R24" i="17" s="1"/>
  <c r="M24" i="17"/>
  <c r="L24" i="17"/>
  <c r="K24" i="17"/>
  <c r="J24" i="17"/>
  <c r="I24" i="17"/>
  <c r="H24" i="17"/>
  <c r="G24" i="17"/>
  <c r="F24" i="17"/>
  <c r="E24" i="17"/>
  <c r="D24" i="17"/>
  <c r="R23" i="17" a="1"/>
  <c r="R23" i="17" s="1"/>
  <c r="M23" i="17"/>
  <c r="L23" i="17"/>
  <c r="K23" i="17"/>
  <c r="J23" i="17"/>
  <c r="I23" i="17"/>
  <c r="H23" i="17"/>
  <c r="G23" i="17"/>
  <c r="F23" i="17"/>
  <c r="E23" i="17"/>
  <c r="D23" i="17"/>
  <c r="R22" i="17"/>
  <c r="R25" i="17" s="1"/>
  <c r="R26" i="17" s="1"/>
  <c r="M22" i="17"/>
  <c r="L22" i="17"/>
  <c r="K22" i="17"/>
  <c r="J22" i="17"/>
  <c r="I22" i="17"/>
  <c r="H22" i="17"/>
  <c r="G22" i="17"/>
  <c r="F22" i="17"/>
  <c r="E22" i="17"/>
  <c r="D22" i="17"/>
  <c r="R21" i="17"/>
  <c r="M21" i="17"/>
  <c r="L21" i="17"/>
  <c r="K21" i="17"/>
  <c r="J21" i="17"/>
  <c r="I21" i="17"/>
  <c r="H21" i="17"/>
  <c r="G21" i="17"/>
  <c r="F21" i="17"/>
  <c r="E21" i="17"/>
  <c r="D21" i="17"/>
  <c r="M20" i="17"/>
  <c r="L20" i="17"/>
  <c r="K20" i="17"/>
  <c r="J20" i="17"/>
  <c r="I20" i="17"/>
  <c r="H20" i="17"/>
  <c r="G20" i="17"/>
  <c r="F20" i="17"/>
  <c r="E20" i="17"/>
  <c r="D20" i="17"/>
  <c r="M19" i="17"/>
  <c r="L19" i="17"/>
  <c r="K19" i="17"/>
  <c r="J19" i="17"/>
  <c r="I19" i="17"/>
  <c r="H19" i="17"/>
  <c r="G19" i="17"/>
  <c r="F19" i="17"/>
  <c r="E19" i="17"/>
  <c r="D19" i="17"/>
  <c r="M18" i="17"/>
  <c r="L18" i="17"/>
  <c r="K18" i="17"/>
  <c r="J18" i="17"/>
  <c r="I18" i="17"/>
  <c r="H18" i="17"/>
  <c r="G18" i="17"/>
  <c r="F18" i="17"/>
  <c r="E18" i="17"/>
  <c r="D18" i="17"/>
  <c r="M17" i="17"/>
  <c r="L17" i="17"/>
  <c r="K17" i="17"/>
  <c r="J17" i="17"/>
  <c r="I17" i="17"/>
  <c r="H17" i="17"/>
  <c r="G17" i="17"/>
  <c r="F17" i="17"/>
  <c r="E17" i="17"/>
  <c r="D17" i="17"/>
  <c r="R16" i="17"/>
  <c r="M16" i="17"/>
  <c r="L16" i="17"/>
  <c r="K16" i="17"/>
  <c r="J16" i="17"/>
  <c r="I16" i="17"/>
  <c r="H16" i="17"/>
  <c r="G16" i="17"/>
  <c r="F16" i="17"/>
  <c r="E16" i="17"/>
  <c r="D16" i="17"/>
  <c r="R15" i="17"/>
  <c r="M15" i="17"/>
  <c r="L15" i="17"/>
  <c r="K15" i="17"/>
  <c r="J15" i="17"/>
  <c r="I15" i="17"/>
  <c r="H15" i="17"/>
  <c r="G15" i="17"/>
  <c r="F15" i="17"/>
  <c r="E15" i="17"/>
  <c r="D15" i="17"/>
  <c r="R14" i="17"/>
  <c r="M14" i="17"/>
  <c r="L14" i="17"/>
  <c r="K14" i="17"/>
  <c r="J14" i="17"/>
  <c r="I14" i="17"/>
  <c r="H14" i="17"/>
  <c r="G14" i="17"/>
  <c r="F14" i="17"/>
  <c r="E14" i="17"/>
  <c r="D14" i="17"/>
  <c r="R13" i="17"/>
  <c r="R13" i="17" a="1"/>
  <c r="M13" i="17"/>
  <c r="L13" i="17"/>
  <c r="K13" i="17"/>
  <c r="J13" i="17"/>
  <c r="I13" i="17"/>
  <c r="H13" i="17"/>
  <c r="G13" i="17"/>
  <c r="F13" i="17"/>
  <c r="E13" i="17"/>
  <c r="D13" i="17"/>
  <c r="R12" i="17"/>
  <c r="R12" i="17" a="1"/>
  <c r="M12" i="17"/>
  <c r="L12" i="17"/>
  <c r="K12" i="17"/>
  <c r="J12" i="17"/>
  <c r="I12" i="17"/>
  <c r="H12" i="17"/>
  <c r="G12" i="17"/>
  <c r="F12" i="17"/>
  <c r="E12" i="17"/>
  <c r="D12" i="17"/>
  <c r="R11" i="17"/>
  <c r="M11" i="17"/>
  <c r="L11" i="17"/>
  <c r="K11" i="17"/>
  <c r="J11" i="17"/>
  <c r="I11" i="17"/>
  <c r="H11" i="17"/>
  <c r="G11" i="17"/>
  <c r="F11" i="17"/>
  <c r="E11" i="17"/>
  <c r="D11" i="17"/>
  <c r="R10" i="17"/>
  <c r="M10" i="17"/>
  <c r="L10" i="17"/>
  <c r="K10" i="17"/>
  <c r="I10" i="17"/>
  <c r="H10" i="17"/>
  <c r="G10" i="17"/>
  <c r="F10" i="17"/>
  <c r="E10" i="17"/>
  <c r="M9" i="17"/>
  <c r="L9" i="17"/>
  <c r="K9" i="17"/>
  <c r="I9" i="17"/>
  <c r="H9" i="17"/>
  <c r="G9" i="17"/>
  <c r="F9" i="17"/>
  <c r="E9" i="17"/>
  <c r="M8" i="17"/>
  <c r="L8" i="17"/>
  <c r="K8" i="17"/>
  <c r="I8" i="17"/>
  <c r="H8" i="17"/>
  <c r="G8" i="17"/>
  <c r="F8" i="17"/>
  <c r="E8" i="17"/>
  <c r="M7" i="17"/>
  <c r="L7" i="17"/>
  <c r="K7" i="17"/>
  <c r="I7" i="17"/>
  <c r="H7" i="17"/>
  <c r="G7" i="17"/>
  <c r="F7" i="17"/>
  <c r="E7" i="17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H47" i="12"/>
  <c r="E47" i="12"/>
  <c r="D47" i="12"/>
  <c r="I46" i="12"/>
  <c r="H46" i="12"/>
  <c r="E46" i="12"/>
  <c r="D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N24" i="12" a="1"/>
  <c r="N24" i="12" s="1"/>
  <c r="I24" i="12"/>
  <c r="H24" i="12"/>
  <c r="E24" i="12"/>
  <c r="D24" i="12"/>
  <c r="N23" i="12" a="1"/>
  <c r="N23" i="12" s="1"/>
  <c r="I23" i="12"/>
  <c r="H23" i="12"/>
  <c r="E23" i="12"/>
  <c r="D23" i="12"/>
  <c r="N22" i="12"/>
  <c r="N25" i="12" s="1"/>
  <c r="N26" i="12" s="1"/>
  <c r="I22" i="12"/>
  <c r="H22" i="12"/>
  <c r="E22" i="12"/>
  <c r="D22" i="12"/>
  <c r="N21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N13" i="12" a="1"/>
  <c r="N13" i="12" s="1"/>
  <c r="I13" i="12"/>
  <c r="H13" i="12"/>
  <c r="E13" i="12"/>
  <c r="D13" i="12"/>
  <c r="N12" i="12" a="1"/>
  <c r="N12" i="12" s="1"/>
  <c r="I12" i="12"/>
  <c r="H12" i="12"/>
  <c r="E12" i="12"/>
  <c r="D12" i="12"/>
  <c r="N11" i="12"/>
  <c r="N14" i="12" s="1"/>
  <c r="N15" i="12" s="1"/>
  <c r="I11" i="12"/>
  <c r="H11" i="12"/>
  <c r="E11" i="12"/>
  <c r="D11" i="12"/>
  <c r="N10" i="12"/>
  <c r="I10" i="12"/>
  <c r="E10" i="12"/>
  <c r="I9" i="12"/>
  <c r="E9" i="12"/>
  <c r="I8" i="12"/>
  <c r="E8" i="12"/>
  <c r="I7" i="12"/>
  <c r="E7" i="12"/>
  <c r="N25" i="17" l="1"/>
  <c r="O24" i="17"/>
  <c r="N12" i="17"/>
  <c r="O11" i="17"/>
  <c r="N9" i="17"/>
  <c r="N11" i="17"/>
  <c r="O10" i="17"/>
  <c r="O9" i="17"/>
  <c r="N24" i="17"/>
  <c r="O23" i="17"/>
  <c r="N10" i="17"/>
  <c r="N23" i="17"/>
  <c r="O22" i="17"/>
  <c r="N22" i="17"/>
  <c r="O21" i="17"/>
  <c r="O20" i="17"/>
  <c r="O19" i="17"/>
  <c r="O18" i="17"/>
  <c r="O17" i="17"/>
  <c r="N21" i="17"/>
  <c r="N20" i="17"/>
  <c r="N19" i="17"/>
  <c r="N18" i="17"/>
  <c r="N17" i="17"/>
  <c r="O16" i="17"/>
  <c r="O42" i="17"/>
  <c r="O31" i="17"/>
  <c r="O28" i="17"/>
  <c r="N15" i="17"/>
  <c r="O7" i="17"/>
  <c r="N16" i="17"/>
  <c r="O15" i="17"/>
  <c r="O45" i="17"/>
  <c r="O44" i="17"/>
  <c r="O43" i="17"/>
  <c r="O41" i="17"/>
  <c r="O40" i="17"/>
  <c r="O39" i="17"/>
  <c r="O38" i="17"/>
  <c r="O37" i="17"/>
  <c r="O36" i="17"/>
  <c r="O35" i="17"/>
  <c r="O34" i="17"/>
  <c r="O33" i="17"/>
  <c r="O32" i="17"/>
  <c r="O30" i="17"/>
  <c r="O29" i="17"/>
  <c r="O14" i="17"/>
  <c r="O12" i="17"/>
  <c r="O47" i="17"/>
  <c r="O46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O27" i="17"/>
  <c r="N14" i="17"/>
  <c r="N7" i="17"/>
  <c r="N27" i="17"/>
  <c r="O26" i="17"/>
  <c r="O13" i="17"/>
  <c r="O8" i="17"/>
  <c r="N26" i="17"/>
  <c r="O25" i="17"/>
  <c r="N13" i="17"/>
  <c r="N8" i="17"/>
  <c r="F45" i="12"/>
  <c r="F42" i="12"/>
  <c r="F39" i="12"/>
  <c r="F36" i="12"/>
  <c r="F33" i="12"/>
  <c r="F30" i="12"/>
  <c r="F27" i="12"/>
  <c r="F19" i="12"/>
  <c r="F16" i="12"/>
  <c r="G9" i="12"/>
  <c r="G7" i="12"/>
  <c r="G23" i="12"/>
  <c r="G12" i="12"/>
  <c r="F9" i="12"/>
  <c r="F7" i="12"/>
  <c r="G20" i="12"/>
  <c r="G17" i="12"/>
  <c r="G22" i="12"/>
  <c r="G42" i="12"/>
  <c r="G16" i="12"/>
  <c r="F23" i="12"/>
  <c r="F12" i="12"/>
  <c r="G13" i="12"/>
  <c r="G11" i="12"/>
  <c r="G39" i="12"/>
  <c r="G33" i="12"/>
  <c r="G27" i="12"/>
  <c r="F22" i="12"/>
  <c r="G46" i="12"/>
  <c r="G43" i="12"/>
  <c r="G40" i="12"/>
  <c r="G37" i="12"/>
  <c r="G34" i="12"/>
  <c r="G31" i="12"/>
  <c r="G28" i="12"/>
  <c r="G24" i="12"/>
  <c r="F46" i="12"/>
  <c r="F43" i="12"/>
  <c r="F40" i="12"/>
  <c r="F37" i="12"/>
  <c r="F34" i="12"/>
  <c r="F31" i="12"/>
  <c r="F28" i="12"/>
  <c r="F24" i="12"/>
  <c r="F20" i="12"/>
  <c r="F17" i="12"/>
  <c r="F13" i="12"/>
  <c r="G25" i="12"/>
  <c r="G38" i="12"/>
  <c r="G35" i="12"/>
  <c r="F10" i="12"/>
  <c r="G45" i="12"/>
  <c r="G19" i="12"/>
  <c r="G14" i="12"/>
  <c r="G41" i="12"/>
  <c r="G32" i="12"/>
  <c r="G21" i="12"/>
  <c r="F21" i="12"/>
  <c r="F18" i="12"/>
  <c r="F25" i="12"/>
  <c r="F14" i="12"/>
  <c r="G10" i="12"/>
  <c r="G8" i="12"/>
  <c r="G47" i="12"/>
  <c r="G44" i="12"/>
  <c r="G29" i="12"/>
  <c r="G18" i="12"/>
  <c r="F8" i="12"/>
  <c r="G15" i="12"/>
  <c r="G36" i="12"/>
  <c r="G30" i="12"/>
  <c r="F11" i="12"/>
  <c r="F47" i="12"/>
  <c r="F44" i="12"/>
  <c r="F41" i="12"/>
  <c r="F38" i="12"/>
  <c r="F35" i="12"/>
  <c r="F32" i="12"/>
  <c r="F29" i="12"/>
  <c r="G26" i="12"/>
  <c r="F26" i="12"/>
  <c r="F15" i="12"/>
  <c r="J46" i="12"/>
  <c r="J43" i="12"/>
  <c r="J40" i="12"/>
  <c r="J37" i="12"/>
  <c r="J34" i="12"/>
  <c r="J31" i="12"/>
  <c r="J28" i="12"/>
  <c r="J24" i="12"/>
  <c r="J20" i="12"/>
  <c r="J17" i="12"/>
  <c r="J13" i="12"/>
  <c r="K25" i="12"/>
  <c r="K14" i="12"/>
  <c r="K8" i="12"/>
  <c r="J7" i="12"/>
  <c r="K37" i="12"/>
  <c r="K31" i="12"/>
  <c r="K20" i="12"/>
  <c r="J25" i="12"/>
  <c r="J14" i="12"/>
  <c r="J23" i="12"/>
  <c r="K46" i="12"/>
  <c r="K13" i="12"/>
  <c r="K47" i="12"/>
  <c r="K44" i="12"/>
  <c r="K41" i="12"/>
  <c r="K38" i="12"/>
  <c r="K35" i="12"/>
  <c r="K32" i="12"/>
  <c r="K29" i="12"/>
  <c r="K21" i="12"/>
  <c r="K18" i="12"/>
  <c r="K10" i="12"/>
  <c r="J47" i="12"/>
  <c r="J44" i="12"/>
  <c r="J41" i="12"/>
  <c r="J38" i="12"/>
  <c r="J35" i="12"/>
  <c r="J32" i="12"/>
  <c r="J29" i="12"/>
  <c r="K26" i="12"/>
  <c r="J21" i="12"/>
  <c r="J18" i="12"/>
  <c r="K15" i="12"/>
  <c r="J10" i="12"/>
  <c r="J8" i="12"/>
  <c r="J26" i="12"/>
  <c r="K45" i="12"/>
  <c r="K42" i="12"/>
  <c r="K30" i="12"/>
  <c r="K19" i="12"/>
  <c r="J16" i="12"/>
  <c r="J9" i="12"/>
  <c r="K40" i="12"/>
  <c r="K34" i="12"/>
  <c r="K28" i="12"/>
  <c r="J15" i="12"/>
  <c r="K27" i="12"/>
  <c r="K16" i="12"/>
  <c r="J11" i="12"/>
  <c r="K22" i="12"/>
  <c r="K11" i="12"/>
  <c r="K39" i="12"/>
  <c r="K36" i="12"/>
  <c r="K33" i="12"/>
  <c r="J22" i="12"/>
  <c r="J19" i="12"/>
  <c r="J12" i="12"/>
  <c r="K43" i="12"/>
  <c r="K24" i="12"/>
  <c r="K17" i="12"/>
  <c r="J45" i="12"/>
  <c r="J42" i="12"/>
  <c r="J39" i="12"/>
  <c r="J36" i="12"/>
  <c r="J33" i="12"/>
  <c r="J30" i="12"/>
  <c r="J27" i="12"/>
  <c r="K23" i="12"/>
  <c r="K12" i="12"/>
  <c r="K9" i="12"/>
  <c r="K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tc={64E3EB96-87C7-4B9C-BD54-C3277E98F305}</author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64E3EB96-87C7-4B9C-BD54-C3277E98F30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tc={0526C815-FBB1-40DE-857A-780B07E348C3}</author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0526C815-FBB1-40DE-857A-780B07E348C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A1BB73BA-E74A-452F-A572-E3D01FB7E172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E9ECFB3-4EA4-44E9-8FD0-946392602217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5802F092-0F12-4CDA-A1E3-E610489F1891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<sst xmlns="http://schemas.openxmlformats.org/spreadsheetml/2006/main" count="210" uniqueCount="73">
  <si>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</si>
  <si>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</si>
  <si>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</si>
  <si>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</si>
  <si>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</si>
  <si>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</si>
  <si>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</si>
  <si>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</si>
  <si>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</si>
  <si>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</si>
  <si>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</si>
  <si>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</si>
  <si>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</si>
  <si>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</si>
  <si>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Modeling function: Gompertz sigmoidal growth function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</si>
  <si>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</si>
  <si>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</si>
  <si>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</si>
  <si>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</si>
  <si>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</si>
  <si>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</si>
  <si>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</si>
  <si>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</si>
  <si>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</si>
  <si>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</si>
  <si>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</si>
  <si>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</si>
  <si>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</si>
  <si>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</si>
  <si>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</si>
  <si>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</si>
  <si>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</si>
  <si>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</si>
  <si>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</si>
  <si>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</si>
  <si>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</si>
  <si>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</si>
  <si>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</si>
  <si>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</si>
  <si>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</si>
  <si>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</si>
  <si>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</si>
  <si>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</si>
  <si>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</si>
  <si>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</si>
  <si>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</si>
  <si>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</si>
  <si>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</si>
  <si>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</si>
  <si>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</si>
  <si>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</si>
  <si>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</si>
  <si>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</si>
  <si>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Solver method: GRG non linear engine - option: integer optimization 0%</t>
  </si>
  <si>
    <t>saturation value - constraint (integer)</t>
  </si>
  <si>
    <t>crossover point - constraint (integer)</t>
  </si>
  <si>
    <t>width of crossover region - constraint (none)</t>
  </si>
  <si>
    <t>Deaths</t>
  </si>
  <si>
    <t>Deaths fit</t>
  </si>
  <si>
    <t>D. Upper CI</t>
  </si>
  <si>
    <t>D. Lower CI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</si>
  <si>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</si>
  <si>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</si>
  <si>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</si>
  <si>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</si>
  <si>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</si>
  <si>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</si>
  <si>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</si>
  <si>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</si>
  <si>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K/ew=</t>
  </si>
  <si>
    <t>totale_positivi</t>
  </si>
  <si>
    <t>variazione_totale_positivi</t>
  </si>
  <si>
    <t>nuovi_positivi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</si>
</sst>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3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0" fontId="0" fillId="0" borderId="0" xfId="0" applyAlignment="1">
      <alignment horizontal="left" vertic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0" fillId="0" borderId="0" xfId="0" applyFont="1"/>
    <xf numFmtId="1" fontId="10" fillId="0" borderId="0" xfId="0" applyNumberFormat="1" applyFont="1"/>
    <xf numFmtId="0" fontId="11" fillId="0" borderId="0" xfId="0" applyFont="1"/>
    <xf numFmtId="1" fontId="11" fillId="0" borderId="0" xfId="0" applyNumberFormat="1" applyFont="1"/>
    <xf numFmtId="0" fontId="11" fillId="0" borderId="0" xfId="0" applyFont="1" applyAlignment="1">
      <alignment horizontal="center" wrapText="1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600" b="1" i="0" u="none" strike="noStrike" baseline="0">
                <a:effectLst/>
              </a:rPr>
              <a:t>Cumulative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 formatCode="General">
                  <c:v>229</c:v>
                </c:pt>
                <c:pt idx="5" formatCode="General">
                  <c:v>322</c:v>
                </c:pt>
                <c:pt idx="6" formatCode="General">
                  <c:v>400</c:v>
                </c:pt>
                <c:pt idx="7" formatCode="General">
                  <c:v>650</c:v>
                </c:pt>
                <c:pt idx="8" formatCode="General">
                  <c:v>888</c:v>
                </c:pt>
                <c:pt idx="9" formatCode="General">
                  <c:v>1128</c:v>
                </c:pt>
                <c:pt idx="10" formatCode="General">
                  <c:v>1694</c:v>
                </c:pt>
                <c:pt idx="11" formatCode="General">
                  <c:v>2036</c:v>
                </c:pt>
                <c:pt idx="12" formatCode="General">
                  <c:v>2502</c:v>
                </c:pt>
                <c:pt idx="13" formatCode="General">
                  <c:v>3089</c:v>
                </c:pt>
                <c:pt idx="14" formatCode="General">
                  <c:v>3858</c:v>
                </c:pt>
                <c:pt idx="15" formatCode="General">
                  <c:v>4636</c:v>
                </c:pt>
                <c:pt idx="16" formatCode="General">
                  <c:v>5883</c:v>
                </c:pt>
                <c:pt idx="17" formatCode="General">
                  <c:v>7375</c:v>
                </c:pt>
                <c:pt idx="18" formatCode="General">
                  <c:v>9172</c:v>
                </c:pt>
                <c:pt idx="19" formatCode="General">
                  <c:v>10149</c:v>
                </c:pt>
                <c:pt idx="20" formatCode="General">
                  <c:v>12462</c:v>
                </c:pt>
                <c:pt idx="21" formatCode="General">
                  <c:v>15113</c:v>
                </c:pt>
                <c:pt idx="22" formatCode="General">
                  <c:v>17660</c:v>
                </c:pt>
                <c:pt idx="23" formatCode="General">
                  <c:v>21157</c:v>
                </c:pt>
                <c:pt idx="24" formatCode="General">
                  <c:v>24747</c:v>
                </c:pt>
                <c:pt idx="25" formatCode="General">
                  <c:v>27980</c:v>
                </c:pt>
                <c:pt idx="26" formatCode="General">
                  <c:v>31506</c:v>
                </c:pt>
                <c:pt idx="27" formatCode="General">
                  <c:v>35713</c:v>
                </c:pt>
                <c:pt idx="28" formatCode="General">
                  <c:v>41035</c:v>
                </c:pt>
                <c:pt idx="29" formatCode="General">
                  <c:v>47021</c:v>
                </c:pt>
                <c:pt idx="30" formatCode="General">
                  <c:v>53578</c:v>
                </c:pt>
                <c:pt idx="31" formatCode="General">
                  <c:v>59138</c:v>
                </c:pt>
                <c:pt idx="32" formatCode="General">
                  <c:v>63927</c:v>
                </c:pt>
                <c:pt idx="33" formatCode="General">
                  <c:v>69176</c:v>
                </c:pt>
                <c:pt idx="34" formatCode="General">
                  <c:v>74386</c:v>
                </c:pt>
                <c:pt idx="35" formatCode="General">
                  <c:v>80539</c:v>
                </c:pt>
                <c:pt idx="36" formatCode="General">
                  <c:v>86498</c:v>
                </c:pt>
                <c:pt idx="37" formatCode="General">
                  <c:v>92472</c:v>
                </c:pt>
                <c:pt idx="38" formatCode="General">
                  <c:v>97689</c:v>
                </c:pt>
                <c:pt idx="39" formatCode="General">
                  <c:v>101739</c:v>
                </c:pt>
                <c:pt idx="40" formatCode="General">
                  <c:v>105792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fit'!$E$7:$E$70</c:f>
              <c:numCache>
                <c:formatCode>0</c:formatCode>
                <c:ptCount val="64"/>
                <c:pt idx="0">
                  <c:v>36.741628690576796</c:v>
                </c:pt>
                <c:pt idx="1">
                  <c:v>58.320003447446268</c:v>
                </c:pt>
                <c:pt idx="2">
                  <c:v>90.445782482187127</c:v>
                </c:pt>
                <c:pt idx="3">
                  <c:v>137.20752968592376</c:v>
                </c:pt>
                <c:pt idx="4">
                  <c:v>203.83000668626147</c:v>
                </c:pt>
                <c:pt idx="5">
                  <c:v>296.83583251695165</c:v>
                </c:pt>
                <c:pt idx="6">
                  <c:v>424.18670269102932</c:v>
                </c:pt>
                <c:pt idx="7">
                  <c:v>595.39191475546329</c:v>
                </c:pt>
                <c:pt idx="8">
                  <c:v>821.5724497908642</c:v>
                </c:pt>
                <c:pt idx="9">
                  <c:v>1115.4703874448549</c:v>
                </c:pt>
                <c:pt idx="10">
                  <c:v>1491.3959039290087</c:v>
                </c:pt>
                <c:pt idx="11">
                  <c:v>1965.1073332040853</c:v>
                </c:pt>
                <c:pt idx="12">
                  <c:v>2553.6234972750935</c:v>
                </c:pt>
                <c:pt idx="13">
                  <c:v>3274.9714214027631</c:v>
                </c:pt>
                <c:pt idx="14">
                  <c:v>4147.876323153695</c:v>
                </c:pt>
                <c:pt idx="15">
                  <c:v>5191.4041042115759</c:v>
                </c:pt>
                <c:pt idx="16">
                  <c:v>6424.5692378664007</c:v>
                </c:pt>
                <c:pt idx="17">
                  <c:v>7865.9227635135248</c:v>
                </c:pt>
                <c:pt idx="18">
                  <c:v>9533.1359856546915</c:v>
                </c:pt>
                <c:pt idx="19">
                  <c:v>11442.595424625231</c:v>
                </c:pt>
                <c:pt idx="20">
                  <c:v>13609.023649061466</c:v>
                </c:pt>
                <c:pt idx="21">
                  <c:v>16045.138964163267</c:v>
                </c:pt>
                <c:pt idx="22">
                  <c:v>18761.364703587067</c:v>
                </c:pt>
                <c:pt idx="23">
                  <c:v>21765.596265773984</c:v>
                </c:pt>
                <c:pt idx="24">
                  <c:v>25063.031240001874</c:v>
                </c:pt>
                <c:pt idx="25">
                  <c:v>28656.065163354029</c:v>
                </c:pt>
                <c:pt idx="26">
                  <c:v>32544.252793062631</c:v>
                </c:pt>
                <c:pt idx="27">
                  <c:v>36724.332393818971</c:v>
                </c:pt>
                <c:pt idx="28">
                  <c:v>41190.308516170713</c:v>
                </c:pt>
                <c:pt idx="29">
                  <c:v>45933.587134475987</c:v>
                </c:pt>
                <c:pt idx="30">
                  <c:v>50943.155842950131</c:v>
                </c:pt>
                <c:pt idx="31">
                  <c:v>56205.801069962108</c:v>
                </c:pt>
                <c:pt idx="32">
                  <c:v>61706.353935273823</c:v>
                </c:pt>
                <c:pt idx="33">
                  <c:v>67427.956397247064</c:v>
                </c:pt>
                <c:pt idx="34">
                  <c:v>73352.339661427744</c:v>
                </c:pt>
                <c:pt idx="35">
                  <c:v>79460.107387301949</c:v>
                </c:pt>
                <c:pt idx="36">
                  <c:v>85731.016974542887</c:v>
                </c:pt>
                <c:pt idx="37">
                  <c:v>92144.253074623892</c:v>
                </c:pt>
                <c:pt idx="38">
                  <c:v>98678.68840452045</c:v>
                </c:pt>
                <c:pt idx="39">
                  <c:v>105313.12788968276</c:v>
                </c:pt>
                <c:pt idx="40">
                  <c:v>112026.53309482025</c:v>
                </c:pt>
                <c:pt idx="41">
                  <c:v>118798.22478280692</c:v>
                </c:pt>
                <c:pt idx="42">
                  <c:v>125608.06225164823</c:v>
                </c:pt>
                <c:pt idx="43">
                  <c:v>132436.59882171924</c:v>
                </c:pt>
                <c:pt idx="44">
                  <c:v>139265.21347161548</c:v>
                </c:pt>
                <c:pt idx="45">
                  <c:v>146076.219147614</c:v>
                </c:pt>
                <c:pt idx="46">
                  <c:v>152852.94870001118</c:v>
                </c:pt>
                <c:pt idx="47">
                  <c:v>159579.81973395805</c:v>
                </c:pt>
                <c:pt idx="48">
                  <c:v>166242.37990980936</c:v>
                </c:pt>
                <c:pt idx="49">
                  <c:v>172827.33439703021</c:v>
                </c:pt>
                <c:pt idx="50">
                  <c:v>179322.55728589624</c:v>
                </c:pt>
                <c:pt idx="51">
                  <c:v>185717.08880247085</c:v>
                </c:pt>
                <c:pt idx="52">
                  <c:v>192001.12016444808</c:v>
                </c:pt>
                <c:pt idx="53">
                  <c:v>198165.96786776627</c:v>
                </c:pt>
                <c:pt idx="54">
                  <c:v>204204.03911511495</c:v>
                </c:pt>
                <c:pt idx="55">
                  <c:v>210108.78999541386</c:v>
                </c:pt>
                <c:pt idx="56">
                  <c:v>215874.67790497304</c:v>
                </c:pt>
                <c:pt idx="57">
                  <c:v>221497.10957231498</c:v>
                </c:pt>
                <c:pt idx="58">
                  <c:v>226972.38591459798</c:v>
                </c:pt>
                <c:pt idx="59">
                  <c:v>232297.64481837538</c:v>
                </c:pt>
                <c:pt idx="60">
                  <c:v>237470.80280438205</c:v>
                </c:pt>
                <c:pt idx="61">
                  <c:v>242490.49640774386</c:v>
                </c:pt>
                <c:pt idx="62">
                  <c:v>247356.02398338876</c:v>
                </c:pt>
                <c:pt idx="63">
                  <c:v>252067.28853285572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fit'!$F$7:$F$70</c:f>
              <c:numCache>
                <c:formatCode>0</c:formatCode>
                <c:ptCount val="64"/>
                <c:pt idx="0">
                  <c:v>3144.2090994759656</c:v>
                </c:pt>
                <c:pt idx="1">
                  <c:v>3165.7874742328349</c:v>
                </c:pt>
                <c:pt idx="2">
                  <c:v>3197.9132532675758</c:v>
                </c:pt>
                <c:pt idx="3">
                  <c:v>3244.6750004713126</c:v>
                </c:pt>
                <c:pt idx="4">
                  <c:v>3311.2974774716504</c:v>
                </c:pt>
                <c:pt idx="5">
                  <c:v>3404.3033033023403</c:v>
                </c:pt>
                <c:pt idx="6">
                  <c:v>3531.6541734764182</c:v>
                </c:pt>
                <c:pt idx="7">
                  <c:v>3702.8593855408521</c:v>
                </c:pt>
                <c:pt idx="8">
                  <c:v>3929.0399205762528</c:v>
                </c:pt>
                <c:pt idx="9">
                  <c:v>4222.9378582302434</c:v>
                </c:pt>
                <c:pt idx="10">
                  <c:v>4598.8633747143977</c:v>
                </c:pt>
                <c:pt idx="11">
                  <c:v>5072.5748039894743</c:v>
                </c:pt>
                <c:pt idx="12">
                  <c:v>5661.0909680604818</c:v>
                </c:pt>
                <c:pt idx="13">
                  <c:v>6382.4388921881518</c:v>
                </c:pt>
                <c:pt idx="14">
                  <c:v>7255.3437939390842</c:v>
                </c:pt>
                <c:pt idx="15">
                  <c:v>8298.8715749969651</c:v>
                </c:pt>
                <c:pt idx="16">
                  <c:v>9532.036708651789</c:v>
                </c:pt>
                <c:pt idx="17">
                  <c:v>10973.390234298913</c:v>
                </c:pt>
                <c:pt idx="18">
                  <c:v>12640.60345644008</c:v>
                </c:pt>
                <c:pt idx="19">
                  <c:v>14550.06289541062</c:v>
                </c:pt>
                <c:pt idx="20">
                  <c:v>16716.491119846854</c:v>
                </c:pt>
                <c:pt idx="21">
                  <c:v>19152.606434948655</c:v>
                </c:pt>
                <c:pt idx="22">
                  <c:v>21868.832174372455</c:v>
                </c:pt>
                <c:pt idx="23">
                  <c:v>24873.063736559372</c:v>
                </c:pt>
                <c:pt idx="24">
                  <c:v>28170.498710787262</c:v>
                </c:pt>
                <c:pt idx="25">
                  <c:v>31763.532634139417</c:v>
                </c:pt>
                <c:pt idx="26">
                  <c:v>35651.720263848023</c:v>
                </c:pt>
                <c:pt idx="27">
                  <c:v>39831.799864604363</c:v>
                </c:pt>
                <c:pt idx="28">
                  <c:v>44297.775986956105</c:v>
                </c:pt>
                <c:pt idx="29">
                  <c:v>49041.054605261379</c:v>
                </c:pt>
                <c:pt idx="30">
                  <c:v>54050.623313735523</c:v>
                </c:pt>
                <c:pt idx="31">
                  <c:v>59313.2685407475</c:v>
                </c:pt>
                <c:pt idx="32">
                  <c:v>64813.821406059214</c:v>
                </c:pt>
                <c:pt idx="33">
                  <c:v>70535.423868032449</c:v>
                </c:pt>
                <c:pt idx="34">
                  <c:v>76459.807132213129</c:v>
                </c:pt>
                <c:pt idx="35">
                  <c:v>82567.574858087333</c:v>
                </c:pt>
                <c:pt idx="36">
                  <c:v>88838.484445328271</c:v>
                </c:pt>
                <c:pt idx="37">
                  <c:v>95251.720545409276</c:v>
                </c:pt>
                <c:pt idx="38">
                  <c:v>101786.15587530583</c:v>
                </c:pt>
                <c:pt idx="39">
                  <c:v>108420.59536046814</c:v>
                </c:pt>
                <c:pt idx="40">
                  <c:v>115134.00056560563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167.50395061737436</c:v>
                </c:pt>
                <c:pt idx="14">
                  <c:v>1040.4088523683063</c:v>
                </c:pt>
                <c:pt idx="15">
                  <c:v>2083.9366334261872</c:v>
                </c:pt>
                <c:pt idx="16">
                  <c:v>3317.101767081012</c:v>
                </c:pt>
                <c:pt idx="17">
                  <c:v>4758.4552927281366</c:v>
                </c:pt>
                <c:pt idx="18">
                  <c:v>6425.6685148693032</c:v>
                </c:pt>
                <c:pt idx="19">
                  <c:v>8335.127953839843</c:v>
                </c:pt>
                <c:pt idx="20">
                  <c:v>10501.556178276078</c:v>
                </c:pt>
                <c:pt idx="21">
                  <c:v>12937.671493377879</c:v>
                </c:pt>
                <c:pt idx="22">
                  <c:v>15653.897232801679</c:v>
                </c:pt>
                <c:pt idx="23">
                  <c:v>18658.128794988595</c:v>
                </c:pt>
                <c:pt idx="24">
                  <c:v>21955.563769216486</c:v>
                </c:pt>
                <c:pt idx="25">
                  <c:v>25548.597692568641</c:v>
                </c:pt>
                <c:pt idx="26">
                  <c:v>29436.785322277243</c:v>
                </c:pt>
                <c:pt idx="27">
                  <c:v>33616.86492303358</c:v>
                </c:pt>
                <c:pt idx="28">
                  <c:v>38082.841045385321</c:v>
                </c:pt>
                <c:pt idx="29">
                  <c:v>42826.119663690595</c:v>
                </c:pt>
                <c:pt idx="30">
                  <c:v>47835.688372164739</c:v>
                </c:pt>
                <c:pt idx="31">
                  <c:v>53098.333599176716</c:v>
                </c:pt>
                <c:pt idx="32">
                  <c:v>58598.886464488431</c:v>
                </c:pt>
                <c:pt idx="33">
                  <c:v>64320.488926461672</c:v>
                </c:pt>
                <c:pt idx="34">
                  <c:v>70244.87219064236</c:v>
                </c:pt>
                <c:pt idx="35">
                  <c:v>76352.639916516564</c:v>
                </c:pt>
                <c:pt idx="36">
                  <c:v>82623.549503757502</c:v>
                </c:pt>
                <c:pt idx="37">
                  <c:v>89036.785603838507</c:v>
                </c:pt>
                <c:pt idx="38">
                  <c:v>95571.220933735065</c:v>
                </c:pt>
                <c:pt idx="39">
                  <c:v>102205.66041889737</c:v>
                </c:pt>
                <c:pt idx="40">
                  <c:v>108919.06562403486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ser>
          <c:idx val="4"/>
          <c:order val="4"/>
          <c:tx>
            <c:strRef>
              <c:f>'Cumul_ confirmed - Gompertz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 confirmed - Gompertz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21</c:v>
                </c:pt>
                <c:pt idx="9">
                  <c:v>29</c:v>
                </c:pt>
                <c:pt idx="10">
                  <c:v>34</c:v>
                </c:pt>
                <c:pt idx="11">
                  <c:v>52</c:v>
                </c:pt>
                <c:pt idx="12">
                  <c:v>79</c:v>
                </c:pt>
                <c:pt idx="13">
                  <c:v>107</c:v>
                </c:pt>
                <c:pt idx="14">
                  <c:v>148</c:v>
                </c:pt>
                <c:pt idx="15">
                  <c:v>197</c:v>
                </c:pt>
                <c:pt idx="16">
                  <c:v>233</c:v>
                </c:pt>
                <c:pt idx="17">
                  <c:v>366</c:v>
                </c:pt>
                <c:pt idx="18">
                  <c:v>463</c:v>
                </c:pt>
                <c:pt idx="19">
                  <c:v>631</c:v>
                </c:pt>
                <c:pt idx="20">
                  <c:v>827</c:v>
                </c:pt>
                <c:pt idx="21">
                  <c:v>1016</c:v>
                </c:pt>
                <c:pt idx="22">
                  <c:v>1266</c:v>
                </c:pt>
                <c:pt idx="23">
                  <c:v>1441</c:v>
                </c:pt>
                <c:pt idx="24">
                  <c:v>1809</c:v>
                </c:pt>
                <c:pt idx="25">
                  <c:v>2158</c:v>
                </c:pt>
                <c:pt idx="26">
                  <c:v>2503</c:v>
                </c:pt>
                <c:pt idx="27">
                  <c:v>2978</c:v>
                </c:pt>
                <c:pt idx="28">
                  <c:v>3405</c:v>
                </c:pt>
                <c:pt idx="29">
                  <c:v>4032</c:v>
                </c:pt>
                <c:pt idx="30">
                  <c:v>4825</c:v>
                </c:pt>
                <c:pt idx="31">
                  <c:v>5476</c:v>
                </c:pt>
                <c:pt idx="32">
                  <c:v>6077</c:v>
                </c:pt>
                <c:pt idx="33">
                  <c:v>6820</c:v>
                </c:pt>
                <c:pt idx="34">
                  <c:v>7503</c:v>
                </c:pt>
                <c:pt idx="35">
                  <c:v>8165</c:v>
                </c:pt>
                <c:pt idx="36">
                  <c:v>9134</c:v>
                </c:pt>
                <c:pt idx="37">
                  <c:v>10023</c:v>
                </c:pt>
                <c:pt idx="38">
                  <c:v>10779</c:v>
                </c:pt>
                <c:pt idx="39">
                  <c:v>11591</c:v>
                </c:pt>
                <c:pt idx="40">
                  <c:v>12428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 confirmed - Gompertz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fit'!$I$7:$I$70</c:f>
              <c:numCache>
                <c:formatCode>0</c:formatCode>
                <c:ptCount val="64"/>
                <c:pt idx="0">
                  <c:v>9.9892198242310139E-3</c:v>
                </c:pt>
                <c:pt idx="1">
                  <c:v>2.6363607014516413E-2</c:v>
                </c:pt>
                <c:pt idx="2">
                  <c:v>6.5381203720559153E-2</c:v>
                </c:pt>
                <c:pt idx="3">
                  <c:v>0.15297085457553394</c:v>
                </c:pt>
                <c:pt idx="4">
                  <c:v>0.33891745215694991</c:v>
                </c:pt>
                <c:pt idx="5">
                  <c:v>0.71355327634619914</c:v>
                </c:pt>
                <c:pt idx="6">
                  <c:v>1.4322754890711622</c:v>
                </c:pt>
                <c:pt idx="7">
                  <c:v>2.7493103684232043</c:v>
                </c:pt>
                <c:pt idx="8">
                  <c:v>5.0613010021888876</c:v>
                </c:pt>
                <c:pt idx="9">
                  <c:v>8.9599607040746854</c:v>
                </c:pt>
                <c:pt idx="10">
                  <c:v>15.291330799274563</c:v>
                </c:pt>
                <c:pt idx="11">
                  <c:v>25.217354683046423</c:v>
                </c:pt>
                <c:pt idx="12">
                  <c:v>40.273861098257356</c:v>
                </c:pt>
                <c:pt idx="13">
                  <c:v>62.417984456314038</c:v>
                </c:pt>
                <c:pt idx="14">
                  <c:v>94.057819098595587</c:v>
                </c:pt>
                <c:pt idx="15">
                  <c:v>138.05785341625818</c:v>
                </c:pt>
                <c:pt idx="16">
                  <c:v>197.71543199715552</c:v>
                </c:pt>
                <c:pt idx="17">
                  <c:v>276.70595266929274</c:v>
                </c:pt>
                <c:pt idx="18">
                  <c:v>378.9973936427125</c:v>
                </c:pt>
                <c:pt idx="19">
                  <c:v>508.73769227491488</c:v>
                </c:pt>
                <c:pt idx="20">
                  <c:v>670.12107789155141</c:v>
                </c:pt>
                <c:pt idx="21">
                  <c:v>867.24138549392239</c:v>
                </c:pt>
                <c:pt idx="22">
                  <c:v>1103.9414493728391</c:v>
                </c:pt>
                <c:pt idx="23">
                  <c:v>1383.6678321248974</c:v>
                </c:pt>
                <c:pt idx="24">
                  <c:v>1709.3394459808117</c:v>
                </c:pt>
                <c:pt idx="25">
                  <c:v>2083.237227734824</c:v>
                </c:pt>
                <c:pt idx="26">
                  <c:v>2506.9201543040294</c:v>
                </c:pt>
                <c:pt idx="27">
                  <c:v>2981.1707729652021</c:v>
                </c:pt>
                <c:pt idx="28">
                  <c:v>3505.9712960712272</c:v>
                </c:pt>
                <c:pt idx="29">
                  <c:v>4080.5093645478246</c:v>
                </c:pt>
                <c:pt idx="30">
                  <c:v>4703.2109558206912</c:v>
                </c:pt>
                <c:pt idx="31">
                  <c:v>5371.796681736354</c:v>
                </c:pt>
                <c:pt idx="32">
                  <c:v>6083.3569193335243</c:v>
                </c:pt>
                <c:pt idx="33">
                  <c:v>6834.4408268094994</c:v>
                </c:pt>
                <c:pt idx="34">
                  <c:v>7621.1542711854763</c:v>
                </c:pt>
                <c:pt idx="35">
                  <c:v>8439.2619653624515</c:v>
                </c:pt>
                <c:pt idx="36">
                  <c:v>9284.2896038533527</c:v>
                </c:pt>
                <c:pt idx="37">
                  <c:v>10151.622421956312</c:v>
                </c:pt>
                <c:pt idx="38">
                  <c:v>11036.597312683582</c:v>
                </c:pt>
                <c:pt idx="39">
                  <c:v>11934.586360413427</c:v>
                </c:pt>
                <c:pt idx="40">
                  <c:v>12841.070343850683</c:v>
                </c:pt>
                <c:pt idx="41">
                  <c:v>13751.701390429685</c:v>
                </c:pt>
                <c:pt idx="42">
                  <c:v>14662.354508893131</c:v>
                </c:pt>
                <c:pt idx="43">
                  <c:v>15569.168176015943</c:v>
                </c:pt>
                <c:pt idx="44">
                  <c:v>16468.574505300079</c:v>
                </c:pt>
                <c:pt idx="45">
                  <c:v>17357.319784207102</c:v>
                </c:pt>
                <c:pt idx="46">
                  <c:v>18232.476340671736</c:v>
                </c:pt>
                <c:pt idx="47">
                  <c:v>19091.446800371632</c:v>
                </c:pt>
                <c:pt idx="48">
                  <c:v>19931.961835800488</c:v>
                </c:pt>
                <c:pt idx="49">
                  <c:v>20752.072498985974</c:v>
                </c:pt>
                <c:pt idx="50">
                  <c:v>21550.138183428102</c:v>
                </c:pt>
                <c:pt idx="51">
                  <c:v>22324.811188072366</c:v>
                </c:pt>
                <c:pt idx="52">
                  <c:v>23075.018766013818</c:v>
                </c:pt>
                <c:pt idx="53">
                  <c:v>23799.943440764415</c:v>
                </c:pt>
                <c:pt idx="54">
                  <c:v>24499.002269412344</c:v>
                </c:pt>
                <c:pt idx="55">
                  <c:v>25171.825629560528</c:v>
                </c:pt>
                <c:pt idx="56">
                  <c:v>25818.236009006188</c:v>
                </c:pt>
                <c:pt idx="57">
                  <c:v>26438.227186095708</c:v>
                </c:pt>
                <c:pt idx="58">
                  <c:v>27031.944106052415</c:v>
                </c:pt>
                <c:pt idx="59">
                  <c:v>27599.663685111333</c:v>
                </c:pt>
                <c:pt idx="60">
                  <c:v>28141.776710234251</c:v>
                </c:pt>
                <c:pt idx="61">
                  <c:v>28658.770947341422</c:v>
                </c:pt>
                <c:pt idx="62">
                  <c:v>29151.215524913328</c:v>
                </c:pt>
                <c:pt idx="63">
                  <c:v>29619.746621826464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E-4EA2-A6D4-DC85486CE05D}"/>
            </c:ext>
          </c:extLst>
        </c:ser>
        <c:ser>
          <c:idx val="6"/>
          <c:order val="6"/>
          <c:tx>
            <c:strRef>
              <c:f>'Cumul_ confirmed - Gompertz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fit'!$J$7:$J$70</c:f>
              <c:numCache>
                <c:formatCode>0</c:formatCode>
                <c:ptCount val="64"/>
                <c:pt idx="0">
                  <c:v>266.18561297920405</c:v>
                </c:pt>
                <c:pt idx="1">
                  <c:v>266.20198736639435</c:v>
                </c:pt>
                <c:pt idx="2">
                  <c:v>266.24100496310041</c:v>
                </c:pt>
                <c:pt idx="3">
                  <c:v>266.32859461395537</c:v>
                </c:pt>
                <c:pt idx="4">
                  <c:v>266.51454121153682</c:v>
                </c:pt>
                <c:pt idx="5">
                  <c:v>266.88917703572605</c:v>
                </c:pt>
                <c:pt idx="6">
                  <c:v>267.60789924845102</c:v>
                </c:pt>
                <c:pt idx="7">
                  <c:v>268.92493412780306</c:v>
                </c:pt>
                <c:pt idx="8">
                  <c:v>271.23692476156873</c:v>
                </c:pt>
                <c:pt idx="9">
                  <c:v>275.13558446345451</c:v>
                </c:pt>
                <c:pt idx="10">
                  <c:v>281.46695455865444</c:v>
                </c:pt>
                <c:pt idx="11">
                  <c:v>291.39297844242628</c:v>
                </c:pt>
                <c:pt idx="12">
                  <c:v>306.44948485763723</c:v>
                </c:pt>
                <c:pt idx="13">
                  <c:v>328.59360821569391</c:v>
                </c:pt>
                <c:pt idx="14">
                  <c:v>360.23344285797543</c:v>
                </c:pt>
                <c:pt idx="15">
                  <c:v>404.23347717563803</c:v>
                </c:pt>
                <c:pt idx="16">
                  <c:v>463.89105575653537</c:v>
                </c:pt>
                <c:pt idx="17">
                  <c:v>542.88157642867259</c:v>
                </c:pt>
                <c:pt idx="18">
                  <c:v>645.17301740209234</c:v>
                </c:pt>
                <c:pt idx="19">
                  <c:v>774.91331603429467</c:v>
                </c:pt>
                <c:pt idx="20">
                  <c:v>936.29670165093125</c:v>
                </c:pt>
                <c:pt idx="21">
                  <c:v>1133.4170092533022</c:v>
                </c:pt>
                <c:pt idx="22">
                  <c:v>1370.117073132219</c:v>
                </c:pt>
                <c:pt idx="23">
                  <c:v>1649.8434558842773</c:v>
                </c:pt>
                <c:pt idx="24">
                  <c:v>1975.5150697401914</c:v>
                </c:pt>
                <c:pt idx="25">
                  <c:v>2349.412851494204</c:v>
                </c:pt>
                <c:pt idx="26">
                  <c:v>2773.0957780634094</c:v>
                </c:pt>
                <c:pt idx="27">
                  <c:v>3247.3463967245821</c:v>
                </c:pt>
                <c:pt idx="28">
                  <c:v>3772.1469198306072</c:v>
                </c:pt>
                <c:pt idx="29">
                  <c:v>4346.6849883072045</c:v>
                </c:pt>
                <c:pt idx="30">
                  <c:v>4969.3865795800712</c:v>
                </c:pt>
                <c:pt idx="31">
                  <c:v>5637.972305495734</c:v>
                </c:pt>
                <c:pt idx="32">
                  <c:v>6349.5325430929042</c:v>
                </c:pt>
                <c:pt idx="33">
                  <c:v>7100.6164505688794</c:v>
                </c:pt>
                <c:pt idx="34">
                  <c:v>7887.3298949448563</c:v>
                </c:pt>
                <c:pt idx="35">
                  <c:v>8705.4375891218315</c:v>
                </c:pt>
                <c:pt idx="36">
                  <c:v>9550.4652276127326</c:v>
                </c:pt>
                <c:pt idx="37">
                  <c:v>10417.798045715692</c:v>
                </c:pt>
                <c:pt idx="38">
                  <c:v>11302.772936442962</c:v>
                </c:pt>
                <c:pt idx="39">
                  <c:v>12200.761984172806</c:v>
                </c:pt>
                <c:pt idx="40">
                  <c:v>13107.245967610063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E-4EA2-A6D4-DC85486CE05D}"/>
            </c:ext>
          </c:extLst>
        </c:ser>
        <c:ser>
          <c:idx val="7"/>
          <c:order val="7"/>
          <c:tx>
            <c:strRef>
              <c:f>'Cumul_ confirmed - Gompertz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10.530328909912896</c:v>
                </c:pt>
                <c:pt idx="18">
                  <c:v>112.82176988333265</c:v>
                </c:pt>
                <c:pt idx="19">
                  <c:v>242.56206851553503</c:v>
                </c:pt>
                <c:pt idx="20">
                  <c:v>403.94545413217156</c:v>
                </c:pt>
                <c:pt idx="21">
                  <c:v>601.06576173454255</c:v>
                </c:pt>
                <c:pt idx="22">
                  <c:v>837.76582561345924</c:v>
                </c:pt>
                <c:pt idx="23">
                  <c:v>1117.4922083655174</c:v>
                </c:pt>
                <c:pt idx="24">
                  <c:v>1443.1638222214319</c:v>
                </c:pt>
                <c:pt idx="25">
                  <c:v>1817.0616039754441</c:v>
                </c:pt>
                <c:pt idx="26">
                  <c:v>2240.7445305446495</c:v>
                </c:pt>
                <c:pt idx="27">
                  <c:v>2714.9951492058221</c:v>
                </c:pt>
                <c:pt idx="28">
                  <c:v>3239.7956723118473</c:v>
                </c:pt>
                <c:pt idx="29">
                  <c:v>3814.3337407884446</c:v>
                </c:pt>
                <c:pt idx="30">
                  <c:v>4437.0353320613112</c:v>
                </c:pt>
                <c:pt idx="31">
                  <c:v>5105.621057976974</c:v>
                </c:pt>
                <c:pt idx="32">
                  <c:v>5817.1812955741443</c:v>
                </c:pt>
                <c:pt idx="33">
                  <c:v>6568.2652030501195</c:v>
                </c:pt>
                <c:pt idx="34">
                  <c:v>7354.9786474260964</c:v>
                </c:pt>
                <c:pt idx="35">
                  <c:v>8173.0863416030716</c:v>
                </c:pt>
                <c:pt idx="36">
                  <c:v>9018.1139800939727</c:v>
                </c:pt>
                <c:pt idx="37">
                  <c:v>9885.4467981969319</c:v>
                </c:pt>
                <c:pt idx="38">
                  <c:v>10770.421688924202</c:v>
                </c:pt>
                <c:pt idx="39">
                  <c:v>11668.410736654047</c:v>
                </c:pt>
                <c:pt idx="40">
                  <c:v>12574.894720091303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</a:t>
            </a:r>
            <a:r>
              <a:rPr lang="it-IT" baseline="0"/>
              <a:t> C</a:t>
            </a:r>
            <a:r>
              <a:rPr lang="it-IT"/>
              <a:t>onfirmed Cases</a:t>
            </a:r>
          </a:p>
          <a:p>
            <a:pPr>
              <a:defRPr/>
            </a:pPr>
            <a:r>
              <a:rPr lang="it-IT" sz="1400" b="0" i="0" u="none" strike="noStrike" cap="none" baseline="0">
                <a:effectLst/>
              </a:rPr>
              <a:t>Daily New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fit'!$H$7:$H$70</c:f>
              <c:numCache>
                <c:formatCode>0</c:formatCode>
                <c:ptCount val="64"/>
                <c:pt idx="0">
                  <c:v>1444.3314100791438</c:v>
                </c:pt>
                <c:pt idx="1">
                  <c:v>1515.8815328239236</c:v>
                </c:pt>
                <c:pt idx="2">
                  <c:v>1540.7379174559376</c:v>
                </c:pt>
                <c:pt idx="3">
                  <c:v>1572.1729944178692</c:v>
                </c:pt>
                <c:pt idx="4">
                  <c:v>1611.2971751262664</c:v>
                </c:pt>
                <c:pt idx="5">
                  <c:v>1659.2515757616202</c:v>
                </c:pt>
                <c:pt idx="6">
                  <c:v>1717.1740653172328</c:v>
                </c:pt>
                <c:pt idx="7">
                  <c:v>1786.1614762665454</c:v>
                </c:pt>
                <c:pt idx="8">
                  <c:v>1867.2296605870058</c:v>
                </c:pt>
                <c:pt idx="9">
                  <c:v>1961.2732796849243</c:v>
                </c:pt>
                <c:pt idx="10">
                  <c:v>2069.0272894829113</c:v>
                </c:pt>
                <c:pt idx="11">
                  <c:v>2191.0320187941597</c:v>
                </c:pt>
                <c:pt idx="12">
                  <c:v>2327.6035497721823</c:v>
                </c:pt>
                <c:pt idx="13">
                  <c:v>2478.8108137710497</c:v>
                </c:pt>
                <c:pt idx="14">
                  <c:v>2644.4604419765456</c:v>
                </c:pt>
                <c:pt idx="15">
                  <c:v>2824.0899894261638</c:v>
                </c:pt>
                <c:pt idx="16">
                  <c:v>3016.9697160865517</c:v>
                </c:pt>
                <c:pt idx="17">
                  <c:v>3222.1126898938319</c:v>
                </c:pt>
                <c:pt idx="18">
                  <c:v>3438.2925999727477</c:v>
                </c:pt>
                <c:pt idx="19">
                  <c:v>3664.0683534637055</c:v>
                </c:pt>
                <c:pt idx="20">
                  <c:v>3897.8142895080191</c:v>
                </c:pt>
                <c:pt idx="21">
                  <c:v>4137.7546851333836</c:v>
                </c:pt>
                <c:pt idx="22">
                  <c:v>4382.0011499283</c:v>
                </c:pt>
                <c:pt idx="23">
                  <c:v>4628.5915041076996</c:v>
                </c:pt>
                <c:pt idx="24">
                  <c:v>4875.528798431963</c:v>
                </c:pt>
                <c:pt idx="25">
                  <c:v>5120.819252355971</c:v>
                </c:pt>
                <c:pt idx="26">
                  <c:v>5362.5080452561788</c:v>
                </c:pt>
                <c:pt idx="27">
                  <c:v>5598.7120808934242</c:v>
                </c:pt>
                <c:pt idx="28">
                  <c:v>5827.6490443811172</c:v>
                </c:pt>
                <c:pt idx="29">
                  <c:v>6047.6622722189613</c:v>
                </c:pt>
                <c:pt idx="30">
                  <c:v>6257.2411496522445</c:v>
                </c:pt>
                <c:pt idx="31">
                  <c:v>6455.036928044542</c:v>
                </c:pt>
                <c:pt idx="32">
                  <c:v>6639.874012581492</c:v>
                </c:pt>
                <c:pt idx="33">
                  <c:v>6810.7569039497439</c:v>
                </c:pt>
                <c:pt idx="34">
                  <c:v>6966.8730849966496</c:v>
                </c:pt>
                <c:pt idx="35">
                  <c:v>7107.5922246518867</c:v>
                </c:pt>
                <c:pt idx="36">
                  <c:v>7232.4621277044471</c:v>
                </c:pt>
                <c:pt idx="37">
                  <c:v>7341.2018924309059</c:v>
                </c:pt>
                <c:pt idx="38">
                  <c:v>7433.6927512399243</c:v>
                </c:pt>
                <c:pt idx="39">
                  <c:v>7509.9670654760239</c:v>
                </c:pt>
                <c:pt idx="40">
                  <c:v>7570.1959274994124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128.30689592826388</c:v>
                </c:pt>
                <c:pt idx="17">
                  <c:v>333.4498697355441</c:v>
                </c:pt>
                <c:pt idx="18">
                  <c:v>549.62977981445988</c:v>
                </c:pt>
                <c:pt idx="19">
                  <c:v>775.40553330541775</c:v>
                </c:pt>
                <c:pt idx="20">
                  <c:v>1009.1514693497313</c:v>
                </c:pt>
                <c:pt idx="21">
                  <c:v>1249.0918649750959</c:v>
                </c:pt>
                <c:pt idx="22">
                  <c:v>1493.3383297700123</c:v>
                </c:pt>
                <c:pt idx="23">
                  <c:v>1739.9286839494118</c:v>
                </c:pt>
                <c:pt idx="24">
                  <c:v>1986.8659782736752</c:v>
                </c:pt>
                <c:pt idx="25">
                  <c:v>2232.156432197683</c:v>
                </c:pt>
                <c:pt idx="26">
                  <c:v>2473.8452250978908</c:v>
                </c:pt>
                <c:pt idx="27">
                  <c:v>2710.0492607351362</c:v>
                </c:pt>
                <c:pt idx="28">
                  <c:v>2938.9862242228292</c:v>
                </c:pt>
                <c:pt idx="29">
                  <c:v>3158.9994520606733</c:v>
                </c:pt>
                <c:pt idx="30">
                  <c:v>3368.5783294939565</c:v>
                </c:pt>
                <c:pt idx="31">
                  <c:v>3566.374107886254</c:v>
                </c:pt>
                <c:pt idx="32">
                  <c:v>3751.211192423204</c:v>
                </c:pt>
                <c:pt idx="33">
                  <c:v>3922.0940837914559</c:v>
                </c:pt>
                <c:pt idx="34">
                  <c:v>4078.2102648383616</c:v>
                </c:pt>
                <c:pt idx="35">
                  <c:v>4218.9294044935987</c:v>
                </c:pt>
                <c:pt idx="36">
                  <c:v>4343.7993075461591</c:v>
                </c:pt>
                <c:pt idx="37">
                  <c:v>4452.5390722726179</c:v>
                </c:pt>
                <c:pt idx="38">
                  <c:v>4545.0299310816363</c:v>
                </c:pt>
                <c:pt idx="39">
                  <c:v>4621.3042453177359</c:v>
                </c:pt>
                <c:pt idx="40">
                  <c:v>4681.5331073411244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ser>
          <c:idx val="5"/>
          <c:order val="5"/>
          <c:tx>
            <c:strRef>
              <c:f>'New_ confirmed - Gompertz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fit'!$M$7:$M$70</c:f>
              <c:numCache>
                <c:formatCode>0</c:formatCode>
                <c:ptCount val="64"/>
                <c:pt idx="0">
                  <c:v>0</c:v>
                </c:pt>
                <c:pt idx="1">
                  <c:v>0.16216268974080231</c:v>
                </c:pt>
                <c:pt idx="2">
                  <c:v>0.30509413227598059</c:v>
                </c:pt>
                <c:pt idx="3">
                  <c:v>0.55189232780029696</c:v>
                </c:pt>
                <c:pt idx="4">
                  <c:v>0.96201112758855944</c:v>
                </c:pt>
                <c:pt idx="5">
                  <c:v>1.6192881466092621</c:v>
                </c:pt>
                <c:pt idx="6">
                  <c:v>2.637230012375499</c:v>
                </c:pt>
                <c:pt idx="7">
                  <c:v>4.1635577135688333</c:v>
                </c:pt>
                <c:pt idx="8">
                  <c:v>6.3832348177546798</c:v>
                </c:pt>
                <c:pt idx="9">
                  <c:v>9.5191965484564278</c:v>
                </c:pt>
                <c:pt idx="10">
                  <c:v>13.830111192265878</c:v>
                </c:pt>
                <c:pt idx="11">
                  <c:v>19.604735581283038</c:v>
                </c:pt>
                <c:pt idx="12">
                  <c:v>27.152750070268176</c:v>
                </c:pt>
                <c:pt idx="13">
                  <c:v>36.79233385839342</c:v>
                </c:pt>
                <c:pt idx="14">
                  <c:v>48.835116477717264</c:v>
                </c:pt>
                <c:pt idx="15">
                  <c:v>63.569462716466973</c:v>
                </c:pt>
                <c:pt idx="16">
                  <c:v>81.243271699689473</c:v>
                </c:pt>
                <c:pt idx="17">
                  <c:v>102.04756763618326</c:v>
                </c:pt>
                <c:pt idx="18">
                  <c:v>126.10212063888446</c:v>
                </c:pt>
                <c:pt idx="19">
                  <c:v>153.44417112139911</c:v>
                </c:pt>
                <c:pt idx="20">
                  <c:v>184.02106653601311</c:v>
                </c:pt>
                <c:pt idx="21">
                  <c:v>217.6872909358076</c:v>
                </c:pt>
                <c:pt idx="22">
                  <c:v>254.20601624193614</c:v>
                </c:pt>
                <c:pt idx="23">
                  <c:v>293.2549673812955</c:v>
                </c:pt>
                <c:pt idx="24">
                  <c:v>334.4361031637377</c:v>
                </c:pt>
                <c:pt idx="25">
                  <c:v>377.28839289191274</c:v>
                </c:pt>
                <c:pt idx="26">
                  <c:v>421.30282668873724</c:v>
                </c:pt>
                <c:pt idx="27">
                  <c:v>465.93873685678818</c:v>
                </c:pt>
                <c:pt idx="28">
                  <c:v>510.64052146103131</c:v>
                </c:pt>
                <c:pt idx="29">
                  <c:v>554.85393706594414</c:v>
                </c:pt>
                <c:pt idx="30">
                  <c:v>598.04124911162671</c:v>
                </c:pt>
                <c:pt idx="31">
                  <c:v>639.69467870764765</c:v>
                </c:pt>
                <c:pt idx="32">
                  <c:v>679.34774745905179</c:v>
                </c:pt>
                <c:pt idx="33">
                  <c:v>716.58428333916072</c:v>
                </c:pt>
                <c:pt idx="34">
                  <c:v>751.04499961643432</c:v>
                </c:pt>
                <c:pt idx="35">
                  <c:v>782.43168774544938</c:v>
                </c:pt>
                <c:pt idx="36">
                  <c:v>810.50916943934499</c:v>
                </c:pt>
                <c:pt idx="37">
                  <c:v>835.10523114259195</c:v>
                </c:pt>
                <c:pt idx="38">
                  <c:v>856.10881636053455</c:v>
                </c:pt>
                <c:pt idx="39">
                  <c:v>873.46677997370352</c:v>
                </c:pt>
                <c:pt idx="40">
                  <c:v>887.17951704114785</c:v>
                </c:pt>
                <c:pt idx="41">
                  <c:v>897.29577050874832</c:v>
                </c:pt>
                <c:pt idx="42">
                  <c:v>903.90690165581327</c:v>
                </c:pt>
                <c:pt idx="43">
                  <c:v>907.1408778324294</c:v>
                </c:pt>
                <c:pt idx="44">
                  <c:v>907.15619746689299</c:v>
                </c:pt>
                <c:pt idx="45">
                  <c:v>904.13593535089785</c:v>
                </c:pt>
                <c:pt idx="46">
                  <c:v>898.28205416594938</c:v>
                </c:pt>
                <c:pt idx="47">
                  <c:v>889.81009286132758</c:v>
                </c:pt>
                <c:pt idx="48">
                  <c:v>878.94431007308231</c:v>
                </c:pt>
                <c:pt idx="49">
                  <c:v>865.91333206821946</c:v>
                </c:pt>
                <c:pt idx="50">
                  <c:v>850.94633011073893</c:v>
                </c:pt>
                <c:pt idx="51">
                  <c:v>834.26973177738546</c:v>
                </c:pt>
                <c:pt idx="52">
                  <c:v>816.10445447281745</c:v>
                </c:pt>
                <c:pt idx="53">
                  <c:v>796.66363692162122</c:v>
                </c:pt>
                <c:pt idx="54">
                  <c:v>776.15083535970552</c:v>
                </c:pt>
                <c:pt idx="55">
                  <c:v>754.75864506801008</c:v>
                </c:pt>
                <c:pt idx="56">
                  <c:v>732.66770432640624</c:v>
                </c:pt>
                <c:pt idx="57">
                  <c:v>710.04603636465617</c:v>
                </c:pt>
                <c:pt idx="58">
                  <c:v>687.04868502586032</c:v>
                </c:pt>
                <c:pt idx="59">
                  <c:v>663.81760125382061</c:v>
                </c:pt>
                <c:pt idx="60">
                  <c:v>640.4817398315754</c:v>
                </c:pt>
                <c:pt idx="61">
                  <c:v>617.15732874617242</c:v>
                </c:pt>
                <c:pt idx="62">
                  <c:v>593.94827689548401</c:v>
                </c:pt>
                <c:pt idx="63">
                  <c:v>570.9466893908866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54-4F54-8540-3EA4BAD91994}"/>
            </c:ext>
          </c:extLst>
        </c:ser>
        <c:ser>
          <c:idx val="6"/>
          <c:order val="6"/>
          <c:tx>
            <c:strRef>
              <c:f>'New_ confirmed - Gompertz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fit'!$N$7:$N$70</c:f>
              <c:numCache>
                <c:formatCode>0</c:formatCode>
                <c:ptCount val="64"/>
                <c:pt idx="0">
                  <c:v>126.32346028969525</c:v>
                </c:pt>
                <c:pt idx="1">
                  <c:v>126.48562297943604</c:v>
                </c:pt>
                <c:pt idx="2">
                  <c:v>126.62855442197123</c:v>
                </c:pt>
                <c:pt idx="3">
                  <c:v>126.87535261749555</c:v>
                </c:pt>
                <c:pt idx="4">
                  <c:v>127.2854714172838</c:v>
                </c:pt>
                <c:pt idx="5">
                  <c:v>127.94274843630451</c:v>
                </c:pt>
                <c:pt idx="6">
                  <c:v>128.96069030207076</c:v>
                </c:pt>
                <c:pt idx="7">
                  <c:v>130.48701800326407</c:v>
                </c:pt>
                <c:pt idx="8">
                  <c:v>132.70669510744992</c:v>
                </c:pt>
                <c:pt idx="9">
                  <c:v>135.84265683815167</c:v>
                </c:pt>
                <c:pt idx="10">
                  <c:v>140.15357148196114</c:v>
                </c:pt>
                <c:pt idx="11">
                  <c:v>145.9281958709783</c:v>
                </c:pt>
                <c:pt idx="12">
                  <c:v>153.47621035996343</c:v>
                </c:pt>
                <c:pt idx="13">
                  <c:v>163.11579414808867</c:v>
                </c:pt>
                <c:pt idx="14">
                  <c:v>175.15857676741251</c:v>
                </c:pt>
                <c:pt idx="15">
                  <c:v>189.89292300616222</c:v>
                </c:pt>
                <c:pt idx="16">
                  <c:v>207.56673198938472</c:v>
                </c:pt>
                <c:pt idx="17">
                  <c:v>228.37102792587851</c:v>
                </c:pt>
                <c:pt idx="18">
                  <c:v>252.42558092857971</c:v>
                </c:pt>
                <c:pt idx="19">
                  <c:v>279.76763141109438</c:v>
                </c:pt>
                <c:pt idx="20">
                  <c:v>310.34452682570839</c:v>
                </c:pt>
                <c:pt idx="21">
                  <c:v>344.01075122550287</c:v>
                </c:pt>
                <c:pt idx="22">
                  <c:v>380.52947653163142</c:v>
                </c:pt>
                <c:pt idx="23">
                  <c:v>419.57842767099078</c:v>
                </c:pt>
                <c:pt idx="24">
                  <c:v>460.75956345343297</c:v>
                </c:pt>
                <c:pt idx="25">
                  <c:v>503.61185318160801</c:v>
                </c:pt>
                <c:pt idx="26">
                  <c:v>547.62628697843252</c:v>
                </c:pt>
                <c:pt idx="27">
                  <c:v>592.26219714648346</c:v>
                </c:pt>
                <c:pt idx="28">
                  <c:v>636.96398175072659</c:v>
                </c:pt>
                <c:pt idx="29">
                  <c:v>681.17739735563941</c:v>
                </c:pt>
                <c:pt idx="30">
                  <c:v>724.36470940132199</c:v>
                </c:pt>
                <c:pt idx="31">
                  <c:v>766.01813899734293</c:v>
                </c:pt>
                <c:pt idx="32">
                  <c:v>805.67120774874707</c:v>
                </c:pt>
                <c:pt idx="33">
                  <c:v>842.907743628856</c:v>
                </c:pt>
                <c:pt idx="34">
                  <c:v>877.3684599061296</c:v>
                </c:pt>
                <c:pt idx="35">
                  <c:v>908.75514803514466</c:v>
                </c:pt>
                <c:pt idx="36">
                  <c:v>936.83262972904026</c:v>
                </c:pt>
                <c:pt idx="37">
                  <c:v>961.42869143228722</c:v>
                </c:pt>
                <c:pt idx="38">
                  <c:v>982.43227665022982</c:v>
                </c:pt>
                <c:pt idx="39">
                  <c:v>999.7902402633988</c:v>
                </c:pt>
                <c:pt idx="40">
                  <c:v>1013.5029773308431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54-4F54-8540-3EA4BAD91994}"/>
            </c:ext>
          </c:extLst>
        </c:ser>
        <c:ser>
          <c:idx val="7"/>
          <c:order val="7"/>
          <c:tx>
            <c:strRef>
              <c:f>'New_ confirmed - Gompertz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27.12071083170386</c:v>
                </c:pt>
                <c:pt idx="20">
                  <c:v>57.697606246317861</c:v>
                </c:pt>
                <c:pt idx="21">
                  <c:v>91.363830646112348</c:v>
                </c:pt>
                <c:pt idx="22">
                  <c:v>127.88255595224089</c:v>
                </c:pt>
                <c:pt idx="23">
                  <c:v>166.93150709160025</c:v>
                </c:pt>
                <c:pt idx="24">
                  <c:v>208.11264287404245</c:v>
                </c:pt>
                <c:pt idx="25">
                  <c:v>250.96493260221749</c:v>
                </c:pt>
                <c:pt idx="26">
                  <c:v>294.97936639904196</c:v>
                </c:pt>
                <c:pt idx="27">
                  <c:v>339.61527656709291</c:v>
                </c:pt>
                <c:pt idx="28">
                  <c:v>384.31706117133604</c:v>
                </c:pt>
                <c:pt idx="29">
                  <c:v>428.53047677624886</c:v>
                </c:pt>
                <c:pt idx="30">
                  <c:v>471.71778882193144</c:v>
                </c:pt>
                <c:pt idx="31">
                  <c:v>513.37121841795238</c:v>
                </c:pt>
                <c:pt idx="32">
                  <c:v>553.02428716935651</c:v>
                </c:pt>
                <c:pt idx="33">
                  <c:v>590.26082304946544</c:v>
                </c:pt>
                <c:pt idx="34">
                  <c:v>624.72153932673905</c:v>
                </c:pt>
                <c:pt idx="35">
                  <c:v>656.1082274557541</c:v>
                </c:pt>
                <c:pt idx="36">
                  <c:v>684.18570914964971</c:v>
                </c:pt>
                <c:pt idx="37">
                  <c:v>708.78177085289667</c:v>
                </c:pt>
                <c:pt idx="38">
                  <c:v>729.78535607083927</c:v>
                </c:pt>
                <c:pt idx="39">
                  <c:v>747.14331968400825</c:v>
                </c:pt>
                <c:pt idx="40">
                  <c:v>760.85605675145257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fit'!$E$7:$E$70</c:f>
              <c:numCache>
                <c:formatCode>General</c:formatCode>
                <c:ptCount val="64"/>
                <c:pt idx="0" formatCode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fit'!$C$7:$C$130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'New_ confirmed - Gompertz fit'!$G$7:$G$130</c:f>
              <c:numCache>
                <c:formatCode>0</c:formatCode>
                <c:ptCount val="124"/>
                <c:pt idx="0">
                  <c:v>0</c:v>
                </c:pt>
                <c:pt idx="1">
                  <c:v>71.550122744779884</c:v>
                </c:pt>
                <c:pt idx="2">
                  <c:v>96.406507376793854</c:v>
                </c:pt>
                <c:pt idx="3">
                  <c:v>127.8415843387254</c:v>
                </c:pt>
                <c:pt idx="4">
                  <c:v>166.96576504712266</c:v>
                </c:pt>
                <c:pt idx="5">
                  <c:v>214.92016568247641</c:v>
                </c:pt>
                <c:pt idx="6">
                  <c:v>272.84265523808915</c:v>
                </c:pt>
                <c:pt idx="7">
                  <c:v>341.8300661874016</c:v>
                </c:pt>
                <c:pt idx="8">
                  <c:v>422.89825050786203</c:v>
                </c:pt>
                <c:pt idx="9">
                  <c:v>516.94186960578054</c:v>
                </c:pt>
                <c:pt idx="10">
                  <c:v>624.69587940376732</c:v>
                </c:pt>
                <c:pt idx="11">
                  <c:v>746.70060871501619</c:v>
                </c:pt>
                <c:pt idx="12">
                  <c:v>883.27213969303875</c:v>
                </c:pt>
                <c:pt idx="13">
                  <c:v>1034.4794036919056</c:v>
                </c:pt>
                <c:pt idx="14">
                  <c:v>1200.1290318974015</c:v>
                </c:pt>
                <c:pt idx="15">
                  <c:v>1379.7585793470198</c:v>
                </c:pt>
                <c:pt idx="16">
                  <c:v>1572.6383060074077</c:v>
                </c:pt>
                <c:pt idx="17">
                  <c:v>1777.7812798146879</c:v>
                </c:pt>
                <c:pt idx="18">
                  <c:v>1993.9611898936037</c:v>
                </c:pt>
                <c:pt idx="19">
                  <c:v>2219.7369433845615</c:v>
                </c:pt>
                <c:pt idx="20">
                  <c:v>2453.4828794288751</c:v>
                </c:pt>
                <c:pt idx="21">
                  <c:v>2693.4232750542396</c:v>
                </c:pt>
                <c:pt idx="22">
                  <c:v>2937.669739849156</c:v>
                </c:pt>
                <c:pt idx="23">
                  <c:v>3184.2600940285556</c:v>
                </c:pt>
                <c:pt idx="24">
                  <c:v>3431.197388352819</c:v>
                </c:pt>
                <c:pt idx="25">
                  <c:v>3676.487842276827</c:v>
                </c:pt>
                <c:pt idx="26">
                  <c:v>3918.1766351770348</c:v>
                </c:pt>
                <c:pt idx="27">
                  <c:v>4154.3806708142802</c:v>
                </c:pt>
                <c:pt idx="28">
                  <c:v>4383.3176343019732</c:v>
                </c:pt>
                <c:pt idx="29">
                  <c:v>4603.3308621398173</c:v>
                </c:pt>
                <c:pt idx="30">
                  <c:v>4812.9097395731005</c:v>
                </c:pt>
                <c:pt idx="31">
                  <c:v>5010.705517965398</c:v>
                </c:pt>
                <c:pt idx="32">
                  <c:v>5195.542602502348</c:v>
                </c:pt>
                <c:pt idx="33">
                  <c:v>5366.4254938705999</c:v>
                </c:pt>
                <c:pt idx="34">
                  <c:v>5522.5416749175056</c:v>
                </c:pt>
                <c:pt idx="35">
                  <c:v>5663.2608145727427</c:v>
                </c:pt>
                <c:pt idx="36">
                  <c:v>5788.1307176253031</c:v>
                </c:pt>
                <c:pt idx="37">
                  <c:v>5896.8704823517619</c:v>
                </c:pt>
                <c:pt idx="38">
                  <c:v>5989.3613411607803</c:v>
                </c:pt>
                <c:pt idx="39">
                  <c:v>6065.6356553968799</c:v>
                </c:pt>
                <c:pt idx="40">
                  <c:v>6125.8645174202684</c:v>
                </c:pt>
                <c:pt idx="41">
                  <c:v>6170.3443841860426</c:v>
                </c:pt>
                <c:pt idx="42">
                  <c:v>6199.4831297483179</c:v>
                </c:pt>
                <c:pt idx="43">
                  <c:v>6213.7858621008636</c:v>
                </c:pt>
                <c:pt idx="44">
                  <c:v>6213.8408048882848</c:v>
                </c:pt>
                <c:pt idx="45">
                  <c:v>6200.3054987694195</c:v>
                </c:pt>
                <c:pt idx="46">
                  <c:v>6173.8935322065081</c:v>
                </c:pt>
                <c:pt idx="47">
                  <c:v>6135.3619684586592</c:v>
                </c:pt>
                <c:pt idx="48">
                  <c:v>6085.4995955052436</c:v>
                </c:pt>
                <c:pt idx="49">
                  <c:v>6025.1160891685286</c:v>
                </c:pt>
                <c:pt idx="50">
                  <c:v>5955.0321472194337</c:v>
                </c:pt>
                <c:pt idx="51">
                  <c:v>5876.0706239316496</c:v>
                </c:pt>
                <c:pt idx="52">
                  <c:v>5789.0486703864299</c:v>
                </c:pt>
                <c:pt idx="53">
                  <c:v>5694.7708657069597</c:v>
                </c:pt>
                <c:pt idx="54">
                  <c:v>5594.0233080866165</c:v>
                </c:pt>
                <c:pt idx="55">
                  <c:v>5487.568621670187</c:v>
                </c:pt>
                <c:pt idx="56">
                  <c:v>5376.1418257200276</c:v>
                </c:pt>
                <c:pt idx="57">
                  <c:v>5260.4470056748542</c:v>
                </c:pt>
                <c:pt idx="58">
                  <c:v>5141.1547213342274</c:v>
                </c:pt>
                <c:pt idx="59">
                  <c:v>5018.9000851039018</c:v>
                </c:pt>
                <c:pt idx="60">
                  <c:v>4894.2814426804543</c:v>
                </c:pt>
                <c:pt idx="61">
                  <c:v>4767.8595894158352</c:v>
                </c:pt>
                <c:pt idx="62">
                  <c:v>4640.1574575969717</c:v>
                </c:pt>
                <c:pt idx="63">
                  <c:v>4511.6602127330261</c:v>
                </c:pt>
                <c:pt idx="64">
                  <c:v>4382.8157004523964</c:v>
                </c:pt>
                <c:pt idx="65">
                  <c:v>4254.0351895532804</c:v>
                </c:pt>
                <c:pt idx="66">
                  <c:v>4125.6943609817245</c:v>
                </c:pt>
                <c:pt idx="67">
                  <c:v>3998.1344968696067</c:v>
                </c:pt>
                <c:pt idx="68">
                  <c:v>3871.6638281541236</c:v>
                </c:pt>
                <c:pt idx="69">
                  <c:v>3746.5590036147623</c:v>
                </c:pt>
                <c:pt idx="70">
                  <c:v>3623.0666473468882</c:v>
                </c:pt>
                <c:pt idx="71">
                  <c:v>3501.404975672951</c:v>
                </c:pt>
                <c:pt idx="72">
                  <c:v>3381.7654482534272</c:v>
                </c:pt>
                <c:pt idx="73">
                  <c:v>3264.3144316534745</c:v>
                </c:pt>
                <c:pt idx="74">
                  <c:v>3149.194856856775</c:v>
                </c:pt>
                <c:pt idx="75">
                  <c:v>3036.527855159482</c:v>
                </c:pt>
                <c:pt idx="76">
                  <c:v>2926.4143595619244</c:v>
                </c:pt>
                <c:pt idx="77">
                  <c:v>2818.9366611677106</c:v>
                </c:pt>
                <c:pt idx="78">
                  <c:v>2714.1599122476182</c:v>
                </c:pt>
                <c:pt idx="79">
                  <c:v>2612.1335695188027</c:v>
                </c:pt>
                <c:pt idx="80">
                  <c:v>2512.8927728472045</c:v>
                </c:pt>
                <c:pt idx="81">
                  <c:v>2416.459656028368</c:v>
                </c:pt>
                <c:pt idx="82">
                  <c:v>2322.8445875474135</c:v>
                </c:pt>
                <c:pt idx="83">
                  <c:v>2232.0473402797943</c:v>
                </c:pt>
                <c:pt idx="84">
                  <c:v>2144.0581899954122</c:v>
                </c:pt>
                <c:pt idx="85">
                  <c:v>2058.8589432776789</c:v>
                </c:pt>
                <c:pt idx="86">
                  <c:v>1976.4238960912335</c:v>
                </c:pt>
                <c:pt idx="87">
                  <c:v>1896.7207247257465</c:v>
                </c:pt>
                <c:pt idx="88">
                  <c:v>1819.7113112508669</c:v>
                </c:pt>
                <c:pt idx="89">
                  <c:v>1745.3525059170206</c:v>
                </c:pt>
                <c:pt idx="90">
                  <c:v>1673.596829171991</c:v>
                </c:pt>
                <c:pt idx="91">
                  <c:v>1604.3931161211221</c:v>
                </c:pt>
                <c:pt idx="92">
                  <c:v>1537.6871063679573</c:v>
                </c:pt>
                <c:pt idx="93">
                  <c:v>1473.421982223168</c:v>
                </c:pt>
                <c:pt idx="94">
                  <c:v>1411.5388582886662</c:v>
                </c:pt>
                <c:pt idx="95">
                  <c:v>1351.9772254017298</c:v>
                </c:pt>
                <c:pt idx="96">
                  <c:v>1294.6753518785117</c:v>
                </c:pt>
                <c:pt idx="97">
                  <c:v>1239.5706449264544</c:v>
                </c:pt>
                <c:pt idx="98">
                  <c:v>1186.5999750087503</c:v>
                </c:pt>
                <c:pt idx="99">
                  <c:v>1135.6999658425921</c:v>
                </c:pt>
                <c:pt idx="100">
                  <c:v>1086.8072526021861</c:v>
                </c:pt>
                <c:pt idx="101">
                  <c:v>1039.8587107809144</c:v>
                </c:pt>
                <c:pt idx="102">
                  <c:v>994.79165804275544</c:v>
                </c:pt>
                <c:pt idx="103">
                  <c:v>951.54403126979014</c:v>
                </c:pt>
                <c:pt idx="104">
                  <c:v>910.05454088526312</c:v>
                </c:pt>
                <c:pt idx="105">
                  <c:v>870.26280440913979</c:v>
                </c:pt>
                <c:pt idx="106">
                  <c:v>832.10946107696509</c:v>
                </c:pt>
                <c:pt idx="107">
                  <c:v>795.53626923670527</c:v>
                </c:pt>
                <c:pt idx="108">
                  <c:v>760.48618811764754</c:v>
                </c:pt>
                <c:pt idx="109">
                  <c:v>726.9034454577486</c:v>
                </c:pt>
                <c:pt idx="110">
                  <c:v>694.73359236324904</c:v>
                </c:pt>
                <c:pt idx="111">
                  <c:v>663.92354667751351</c:v>
                </c:pt>
                <c:pt idx="112">
                  <c:v>634.42162603256293</c:v>
                </c:pt>
                <c:pt idx="113">
                  <c:v>606.17757166974479</c:v>
                </c:pt>
                <c:pt idx="114">
                  <c:v>579.14256402518367</c:v>
                </c:pt>
                <c:pt idx="115">
                  <c:v>553.26923099526903</c:v>
                </c:pt>
                <c:pt idx="116">
                  <c:v>528.51164972165134</c:v>
                </c:pt>
                <c:pt idx="117">
                  <c:v>504.8253426606534</c:v>
                </c:pt>
                <c:pt idx="118">
                  <c:v>482.16726863762597</c:v>
                </c:pt>
                <c:pt idx="119">
                  <c:v>460.49580952321412</c:v>
                </c:pt>
                <c:pt idx="120">
                  <c:v>439.77075311040971</c:v>
                </c:pt>
                <c:pt idx="121">
                  <c:v>419.95327271817951</c:v>
                </c:pt>
                <c:pt idx="122">
                  <c:v>401.00590399769135</c:v>
                </c:pt>
                <c:pt idx="123">
                  <c:v>382.8925193704199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ser>
          <c:idx val="4"/>
          <c:order val="4"/>
          <c:tx>
            <c:strRef>
              <c:f>'New_ confirmed - Gompertz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yVal>
            <c:numRef>
              <c:f>'New_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</xdr:colOff>
      <xdr:row>2</xdr:row>
      <xdr:rowOff>68580</xdr:rowOff>
    </xdr:from>
    <xdr:ext cx="1310640" cy="441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7620</xdr:rowOff>
    </xdr:from>
    <xdr:to>
      <xdr:col>25</xdr:col>
      <xdr:colOff>99060</xdr:colOff>
      <xdr:row>37</xdr:row>
      <xdr:rowOff>152399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8509363" y="1292134"/>
          <a:ext cx="6938554" cy="6131922"/>
          <a:chOff x="6629400" y="1295400"/>
          <a:chExt cx="6941820" cy="5303523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8168640" y="3291186"/>
            <a:ext cx="1828800" cy="11783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44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19.386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0.9981</a:t>
            </a:r>
          </a:p>
          <a:p>
            <a:r>
              <a:rPr lang="it-IT" sz="1100" b="1" i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3107</a:t>
            </a:r>
            <a:endParaRPr lang="it-IT" b="1">
              <a:solidFill>
                <a:srgbClr val="0070C0"/>
              </a:solidFill>
              <a:effectLst/>
            </a:endParaRPr>
          </a:p>
          <a:p>
            <a:pPr eaLnBrk="1" fontAlgn="auto" latinLnBrk="0" hangingPunct="1"/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0.68935</cdr:x>
      <cdr:y>0.46965</cdr:y>
    </cdr:from>
    <cdr:to>
      <cdr:x>0.9528</cdr:x>
      <cdr:y>0.69111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4783092" y="2879858"/>
          <a:ext cx="1827962" cy="135795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</a:t>
          </a:r>
          <a:r>
            <a:rPr lang="it-IT" sz="14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deaths</a:t>
          </a:r>
          <a:endParaRPr lang="it-IT" sz="1400" b="1" i="1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37381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42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15.090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0.9989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266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69669</xdr:colOff>
      <xdr:row>2</xdr:row>
      <xdr:rowOff>68580</xdr:rowOff>
    </xdr:from>
    <xdr:ext cx="1310640" cy="441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137160</xdr:colOff>
      <xdr:row>18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18</xdr:col>
      <xdr:colOff>7620</xdr:colOff>
      <xdr:row>5</xdr:row>
      <xdr:rowOff>7620</xdr:rowOff>
    </xdr:from>
    <xdr:to>
      <xdr:col>29</xdr:col>
      <xdr:colOff>99060</xdr:colOff>
      <xdr:row>37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10871563" y="1292134"/>
          <a:ext cx="6938554" cy="6131923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313920" y="2990902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313920" y="2990902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698398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365831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365831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0070C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23</xdr:col>
      <xdr:colOff>217715</xdr:colOff>
      <xdr:row>26</xdr:row>
      <xdr:rowOff>130628</xdr:rowOff>
    </xdr:from>
    <xdr:to>
      <xdr:col>26</xdr:col>
      <xdr:colOff>216808</xdr:colOff>
      <xdr:row>34</xdr:row>
      <xdr:rowOff>12562</xdr:rowOff>
    </xdr:to>
    <xdr:sp macro="" textlink="">
      <xdr:nvSpPr>
        <xdr:cNvPr id="13" name="CasellaDiTesto 4">
          <a:extLst>
            <a:ext uri="{FF2B5EF4-FFF2-40B4-BE49-F238E27FC236}">
              <a16:creationId xmlns:a16="http://schemas.microsoft.com/office/drawing/2014/main" id="{64E97727-E9BD-4F4B-B9DF-5C95FB8B23DA}"/>
            </a:ext>
          </a:extLst>
        </xdr:cNvPr>
        <xdr:cNvSpPr txBox="1"/>
      </xdr:nvSpPr>
      <xdr:spPr>
        <a:xfrm>
          <a:off x="14271172" y="5366657"/>
          <a:ext cx="1827893" cy="1362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K/ew=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908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17.022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0.9645</a:t>
          </a:r>
        </a:p>
        <a:p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126</a:t>
          </a:r>
          <a:endParaRPr lang="it-IT" b="1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0.34777</cdr:x>
      <cdr:y>0.41304</cdr:y>
    </cdr:from>
    <cdr:to>
      <cdr:x>0.61121</cdr:x>
      <cdr:y>0.63522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2413000" y="2532742"/>
          <a:ext cx="1827940" cy="1362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K/ew=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6216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21.121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0.9065</a:t>
          </a:r>
        </a:p>
        <a:p xmlns:a="http://schemas.openxmlformats.org/drawingml/2006/main">
          <a:r>
            <a:rPr lang="it-IT" sz="1100" b="1" i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1444</a:t>
          </a:r>
          <a:endParaRPr lang="it-IT" b="1">
            <a:solidFill>
              <a:srgbClr val="0070C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</cdr:txBody>
    </cdr:sp>
  </cdr:relSizeAnchor>
  <cdr:relSizeAnchor xmlns:cdr="http://schemas.openxmlformats.org/drawingml/2006/chartDrawing">
    <cdr:from>
      <cdr:x>0.06449</cdr:x>
      <cdr:y>0.72853</cdr:y>
    </cdr:from>
    <cdr:to>
      <cdr:x>0.40697</cdr:x>
      <cdr:y>0.72853</cdr:y>
    </cdr:to>
    <cdr:cxnSp macro="">
      <cdr:nvCxnSpPr>
        <cdr:cNvPr id="3" name="Connettore diritto 2">
          <a:extLst xmlns:a="http://schemas.openxmlformats.org/drawingml/2006/main">
            <a:ext uri="{FF2B5EF4-FFF2-40B4-BE49-F238E27FC236}">
              <a16:creationId xmlns:a16="http://schemas.microsoft.com/office/drawing/2014/main" id="{1173D55D-DEC2-4B98-9577-8873827CA26A}"/>
            </a:ext>
          </a:extLst>
        </cdr:cNvPr>
        <cdr:cNvCxnSpPr/>
      </cdr:nvCxnSpPr>
      <cdr:spPr>
        <a:xfrm xmlns:a="http://schemas.openxmlformats.org/drawingml/2006/main">
          <a:off x="447433" y="4467306"/>
          <a:ext cx="2376321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5752BB5A-86CD-499A-9399-71093D9E2521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1C0BD-0543-4FCB-89C9-A3035C211C82}" name="dpc_covid19_ita_andamento_nazionale__9" displayName="dpc_covid19_ita_andamento_nazionale__9" ref="A1:O38" tableType="queryTable" totalsRowShown="0">
  <autoFilter ref="A1:O38" xr:uid="{9EB70A45-6BB7-4493-BE34-D2E588E230B9}"/>
  <tableColumns count="15">
    <tableColumn id="1" xr3:uid="{149115E2-B5B2-4730-A035-390C865B2CC4}" uniqueName="1" name="data" queryTableFieldId="1" dataDxfId="3"/>
    <tableColumn id="2" xr3:uid="{FECF19DC-43A3-46C3-B8D7-3DC923310E79}" uniqueName="2" name="stato" queryTableFieldId="2" dataDxfId="2"/>
    <tableColumn id="3" xr3:uid="{85F31668-9CF9-4621-A714-B3AFA333CBD0}" uniqueName="3" name="ricoverati_con_sintomi" queryTableFieldId="3"/>
    <tableColumn id="4" xr3:uid="{2108A999-7F81-4E66-8AF2-E9043871EDAE}" uniqueName="4" name="terapia_intensiva" queryTableFieldId="4"/>
    <tableColumn id="5" xr3:uid="{19B92816-677B-459F-8345-515819513CA3}" uniqueName="5" name="totale_ospedalizzati" queryTableFieldId="5"/>
    <tableColumn id="6" xr3:uid="{160A0F0E-B84B-47DA-BE3A-8A8347AACFC5}" uniqueName="6" name="isolamento_domiciliare" queryTableFieldId="6"/>
    <tableColumn id="7" xr3:uid="{8420EF34-31BE-44FA-8553-689EC4E54567}" uniqueName="7" name="totale_positivi" queryTableFieldId="7"/>
    <tableColumn id="8" xr3:uid="{59FA9595-F4FB-489E-87C0-18EB91DC4037}" uniqueName="8" name="variazione_totale_positivi" queryTableFieldId="8"/>
    <tableColumn id="9" xr3:uid="{AA11A0B8-0A56-4965-A591-4FC3E82A703C}" uniqueName="9" name="nuovi_positivi" queryTableFieldId="9"/>
    <tableColumn id="10" xr3:uid="{73A84D9F-6C19-4967-BB9C-85237EFC834F}" uniqueName="10" name="dimessi_guariti" queryTableFieldId="10"/>
    <tableColumn id="11" xr3:uid="{FDEDEE72-5362-406D-86A9-7AC9C6562F43}" uniqueName="11" name="deceduti" queryTableFieldId="11"/>
    <tableColumn id="12" xr3:uid="{1D16D4E7-C761-4B7B-9493-5790840FEE47}" uniqueName="12" name="totale_casi" queryTableFieldId="12"/>
    <tableColumn id="13" xr3:uid="{6F5814D7-CB1E-468F-AF5D-6602D625C6DA}" uniqueName="13" name="tamponi" queryTableFieldId="13"/>
    <tableColumn id="14" xr3:uid="{634FAC36-D32F-4654-9F48-877572B01CE3}" uniqueName="14" name="note_it" queryTableFieldId="14" dataDxfId="1"/>
    <tableColumn id="15" xr3:uid="{361F9462-91CE-43A3-B879-6AA5D54F6002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64E3EB96-87C7-4B9C-BD54-C3277E98F305}">
    <text>Worldometer data</text>
  </threadedComment>
  <threadedComment ref="B11" dT="2020-03-21T22:11:56.31" personId="{6B746D70-F039-4BD3-A8E2-CFBE3CA77AEB}" id="{A8254C99-F8D0-4594-8DF9-BAFD3FB1F24C}">
    <text>red zone</text>
  </threadedComment>
  <threadedComment ref="B17" dT="2020-03-21T22:12:51.46" personId="{6B746D70-F039-4BD3-A8E2-CFBE3CA77AEB}" id="{68C9FCAD-9B4E-4A36-9FFD-6E42EF7BAB2E}">
    <text>partial lockdown (north)</text>
  </threadedComment>
  <threadedComment ref="B21" dT="2020-03-21T22:13:52.19" personId="{6B746D70-F039-4BD3-A8E2-CFBE3CA77AEB}" id="{2996D8DF-A90C-4837-A522-D1B05D838A82}">
    <text>school closure (Italy)</text>
  </threadedComment>
  <threadedComment ref="B24" dT="2020-03-21T22:14:24.84" personId="{6B746D70-F039-4BD3-A8E2-CFBE3CA77AEB}" id="{882C4A53-2ECA-4C73-9AA1-B5A8E73D3E81}">
    <text>lockdown (north)</text>
  </threadedComment>
  <threadedComment ref="B26" dT="2020-03-21T22:14:52.14" personId="{6B746D70-F039-4BD3-A8E2-CFBE3CA77AEB}" id="{6447A7C0-2273-4DFF-A091-BC96FA683C9A}">
    <text>partial lockdown (Italy)</text>
  </threadedComment>
  <threadedComment ref="B28" dT="2020-03-21T22:15:16.77" personId="{6B746D70-F039-4BD3-A8E2-CFBE3CA77AEB}" id="{15FBF8B4-9604-4298-88C0-A397053E9646}">
    <text>lockdown (Italy)</text>
  </threadedComment>
  <threadedComment ref="B39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0526C815-FBB1-40DE-857A-780B07E348C3}">
    <text>Worldometer data</text>
  </threadedComment>
  <threadedComment ref="B11" dT="2020-03-21T22:11:56.31" personId="{6B746D70-F039-4BD3-A8E2-CFBE3CA77AEB}" id="{E55EDF91-B929-427F-974C-7C4BA6A2256F}">
    <text>red zone</text>
  </threadedComment>
  <threadedComment ref="B17" dT="2020-03-21T22:12:51.46" personId="{6B746D70-F039-4BD3-A8E2-CFBE3CA77AEB}" id="{E68D444F-F44E-4F7B-A08B-3E97C8F77EB8}">
    <text>partial lockdown (north)</text>
  </threadedComment>
  <threadedComment ref="B21" dT="2020-03-21T22:13:52.19" personId="{6B746D70-F039-4BD3-A8E2-CFBE3CA77AEB}" id="{5FA73663-8ACB-4C87-9ACE-833B3E2F4F52}">
    <text>school closure (Italy)</text>
  </threadedComment>
  <threadedComment ref="B24" dT="2020-03-21T22:14:24.84" personId="{6B746D70-F039-4BD3-A8E2-CFBE3CA77AEB}" id="{C84EE756-EBBF-4242-B72B-A7663F6ADECE}">
    <text>lockdown (north)</text>
  </threadedComment>
  <threadedComment ref="B26" dT="2020-03-21T22:14:52.14" personId="{6B746D70-F039-4BD3-A8E2-CFBE3CA77AEB}" id="{B367DBCB-7C6A-4BA4-9A30-B8A2E8E7290F}">
    <text>partial lockdown (Italy)</text>
  </threadedComment>
  <threadedComment ref="B28" dT="2020-03-21T22:15:16.77" personId="{6B746D70-F039-4BD3-A8E2-CFBE3CA77AEB}" id="{926C33C6-F39A-4524-91C9-0CF38C04972A}">
    <text>lockdown (Italy)</text>
  </threadedComment>
  <threadedComment ref="B39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O38"/>
  <sheetViews>
    <sheetView workbookViewId="0"/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15.109375" style="2" bestFit="1" customWidth="1"/>
    <col min="8" max="8" width="25" style="2" bestFit="1" customWidth="1"/>
    <col min="9" max="9" width="15" style="2" bestFit="1" customWidth="1"/>
    <col min="10" max="10" width="15.88671875" style="2" bestFit="1" customWidth="1"/>
    <col min="11" max="11" width="10.5546875" style="2" bestFit="1" customWidth="1"/>
    <col min="12" max="12" width="12.21875" style="2" bestFit="1" customWidth="1"/>
    <col min="13" max="13" width="10.33203125" style="2" bestFit="1" customWidth="1"/>
    <col min="14" max="14" width="19.5546875" style="2" bestFit="1" customWidth="1"/>
    <col min="15" max="15" width="21.109375" style="2" bestFit="1" customWidth="1"/>
    <col min="16" max="16384" width="8.88671875" style="2"/>
  </cols>
  <sheetData>
    <row r="1" spans="1:15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70</v>
      </c>
      <c r="H1" s="2" t="s">
        <v>71</v>
      </c>
      <c r="I1" s="2" t="s">
        <v>72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30</v>
      </c>
      <c r="O1" s="2" t="s">
        <v>31</v>
      </c>
    </row>
    <row r="2" spans="1:15" x14ac:dyDescent="0.3">
      <c r="A2" s="15">
        <v>43885.75</v>
      </c>
      <c r="B2" s="16" t="s">
        <v>25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6" t="s">
        <v>32</v>
      </c>
      <c r="O2" s="16" t="s">
        <v>32</v>
      </c>
    </row>
    <row r="3" spans="1:15" x14ac:dyDescent="0.3">
      <c r="A3" s="15">
        <v>43886.75</v>
      </c>
      <c r="B3" s="16" t="s">
        <v>25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6" t="s">
        <v>32</v>
      </c>
      <c r="O3" s="16" t="s">
        <v>32</v>
      </c>
    </row>
    <row r="4" spans="1:15" x14ac:dyDescent="0.3">
      <c r="A4" s="15">
        <v>43887.75</v>
      </c>
      <c r="B4" s="16" t="s">
        <v>25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6" t="s">
        <v>32</v>
      </c>
      <c r="O4" s="16" t="s">
        <v>32</v>
      </c>
    </row>
    <row r="5" spans="1:15" x14ac:dyDescent="0.3">
      <c r="A5" s="15">
        <v>43888.75</v>
      </c>
      <c r="B5" s="16" t="s">
        <v>25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6" t="s">
        <v>32</v>
      </c>
      <c r="O5" s="16" t="s">
        <v>32</v>
      </c>
    </row>
    <row r="6" spans="1:15" x14ac:dyDescent="0.3">
      <c r="A6" s="15">
        <v>43889.75</v>
      </c>
      <c r="B6" s="16" t="s">
        <v>25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6" t="s">
        <v>32</v>
      </c>
      <c r="O6" s="16" t="s">
        <v>32</v>
      </c>
    </row>
    <row r="7" spans="1:15" x14ac:dyDescent="0.3">
      <c r="A7" s="15">
        <v>43890.75</v>
      </c>
      <c r="B7" s="16" t="s">
        <v>25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6" t="s">
        <v>32</v>
      </c>
      <c r="O7" s="16" t="s">
        <v>32</v>
      </c>
    </row>
    <row r="8" spans="1:15" x14ac:dyDescent="0.3">
      <c r="A8" s="15">
        <v>43891.75</v>
      </c>
      <c r="B8" s="16" t="s">
        <v>25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6" t="s">
        <v>32</v>
      </c>
      <c r="O8" s="16" t="s">
        <v>32</v>
      </c>
    </row>
    <row r="9" spans="1:15" x14ac:dyDescent="0.3">
      <c r="A9" s="15">
        <v>43892.75</v>
      </c>
      <c r="B9" s="16" t="s">
        <v>25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6" t="s">
        <v>32</v>
      </c>
      <c r="O9" s="16" t="s">
        <v>32</v>
      </c>
    </row>
    <row r="10" spans="1:15" x14ac:dyDescent="0.3">
      <c r="A10" s="15">
        <v>43893.75</v>
      </c>
      <c r="B10" s="16" t="s">
        <v>25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6" t="s">
        <v>32</v>
      </c>
      <c r="O10" s="16" t="s">
        <v>32</v>
      </c>
    </row>
    <row r="11" spans="1:15" x14ac:dyDescent="0.3">
      <c r="A11" s="15">
        <v>43894.75</v>
      </c>
      <c r="B11" s="16" t="s">
        <v>25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6" t="s">
        <v>32</v>
      </c>
      <c r="O11" s="16" t="s">
        <v>32</v>
      </c>
    </row>
    <row r="12" spans="1:15" x14ac:dyDescent="0.3">
      <c r="A12" s="15">
        <v>43895.75</v>
      </c>
      <c r="B12" s="16" t="s">
        <v>25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6" t="s">
        <v>32</v>
      </c>
      <c r="O12" s="16" t="s">
        <v>32</v>
      </c>
    </row>
    <row r="13" spans="1:15" x14ac:dyDescent="0.3">
      <c r="A13" s="15">
        <v>43896.75</v>
      </c>
      <c r="B13" s="16" t="s">
        <v>25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6" t="s">
        <v>32</v>
      </c>
      <c r="O13" s="16" t="s">
        <v>32</v>
      </c>
    </row>
    <row r="14" spans="1:15" x14ac:dyDescent="0.3">
      <c r="A14" s="15">
        <v>43897.75</v>
      </c>
      <c r="B14" s="16" t="s">
        <v>25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6" t="s">
        <v>33</v>
      </c>
      <c r="O14" s="16" t="s">
        <v>34</v>
      </c>
    </row>
    <row r="15" spans="1:15" x14ac:dyDescent="0.3">
      <c r="A15" s="15">
        <v>43898.75</v>
      </c>
      <c r="B15" s="16" t="s">
        <v>25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6" t="s">
        <v>32</v>
      </c>
      <c r="O15" s="16" t="s">
        <v>32</v>
      </c>
    </row>
    <row r="16" spans="1:15" x14ac:dyDescent="0.3">
      <c r="A16" s="15">
        <v>43899.75</v>
      </c>
      <c r="B16" s="16" t="s">
        <v>25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6" t="s">
        <v>32</v>
      </c>
      <c r="O16" s="16" t="s">
        <v>32</v>
      </c>
    </row>
    <row r="17" spans="1:15" x14ac:dyDescent="0.3">
      <c r="A17" s="15">
        <v>43900.75</v>
      </c>
      <c r="B17" s="16" t="s">
        <v>25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6" t="s">
        <v>35</v>
      </c>
      <c r="O17" s="16" t="s">
        <v>36</v>
      </c>
    </row>
    <row r="18" spans="1:15" x14ac:dyDescent="0.3">
      <c r="A18" s="15">
        <v>43901.708333333336</v>
      </c>
      <c r="B18" s="16" t="s">
        <v>25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6" t="s">
        <v>37</v>
      </c>
      <c r="O18" s="16" t="s">
        <v>38</v>
      </c>
    </row>
    <row r="19" spans="1:15" x14ac:dyDescent="0.3">
      <c r="A19" s="15">
        <v>43902.708333333336</v>
      </c>
      <c r="B19" s="16" t="s">
        <v>25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6" t="s">
        <v>32</v>
      </c>
      <c r="O19" s="16" t="s">
        <v>32</v>
      </c>
    </row>
    <row r="20" spans="1:15" x14ac:dyDescent="0.3">
      <c r="A20" s="15">
        <v>43903.708333333336</v>
      </c>
      <c r="B20" s="16" t="s">
        <v>25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6" t="s">
        <v>32</v>
      </c>
      <c r="O20" s="16" t="s">
        <v>32</v>
      </c>
    </row>
    <row r="21" spans="1:15" x14ac:dyDescent="0.3">
      <c r="A21" s="15">
        <v>43904.708333333336</v>
      </c>
      <c r="B21" s="16" t="s">
        <v>25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6" t="s">
        <v>32</v>
      </c>
      <c r="O21" s="16" t="s">
        <v>32</v>
      </c>
    </row>
    <row r="22" spans="1:15" x14ac:dyDescent="0.3">
      <c r="A22" s="15">
        <v>43905.708333333336</v>
      </c>
      <c r="B22" s="16" t="s">
        <v>25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6" t="s">
        <v>32</v>
      </c>
      <c r="O22" s="16" t="s">
        <v>32</v>
      </c>
    </row>
    <row r="23" spans="1:15" x14ac:dyDescent="0.3">
      <c r="A23" s="15">
        <v>43906.708333333336</v>
      </c>
      <c r="B23" s="16" t="s">
        <v>25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6" t="s">
        <v>39</v>
      </c>
      <c r="O23" s="16" t="s">
        <v>40</v>
      </c>
    </row>
    <row r="24" spans="1:15" x14ac:dyDescent="0.3">
      <c r="A24" s="15">
        <v>43907.708333333336</v>
      </c>
      <c r="B24" s="16" t="s">
        <v>25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6" t="s">
        <v>41</v>
      </c>
      <c r="O24" s="16" t="s">
        <v>42</v>
      </c>
    </row>
    <row r="25" spans="1:15" x14ac:dyDescent="0.3">
      <c r="A25" s="15">
        <v>43908.708333333336</v>
      </c>
      <c r="B25" s="16" t="s">
        <v>25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6" t="s">
        <v>43</v>
      </c>
      <c r="O25" s="16" t="s">
        <v>44</v>
      </c>
    </row>
    <row r="26" spans="1:15" x14ac:dyDescent="0.3">
      <c r="A26" s="15">
        <v>43909.708333333336</v>
      </c>
      <c r="B26" s="16" t="s">
        <v>25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6" t="s">
        <v>32</v>
      </c>
      <c r="O26" s="16" t="s">
        <v>32</v>
      </c>
    </row>
    <row r="27" spans="1:15" x14ac:dyDescent="0.3">
      <c r="A27" s="15">
        <v>43910.708333333336</v>
      </c>
      <c r="B27" s="16" t="s">
        <v>25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6" t="s">
        <v>32</v>
      </c>
      <c r="O27" s="16" t="s">
        <v>32</v>
      </c>
    </row>
    <row r="28" spans="1:15" x14ac:dyDescent="0.3">
      <c r="A28" s="15">
        <v>43911.708333333336</v>
      </c>
      <c r="B28" s="16" t="s">
        <v>25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6" t="s">
        <v>32</v>
      </c>
      <c r="O28" s="16" t="s">
        <v>32</v>
      </c>
    </row>
    <row r="29" spans="1:15" x14ac:dyDescent="0.3">
      <c r="A29" s="15">
        <v>43912.708333333336</v>
      </c>
      <c r="B29" s="16" t="s">
        <v>25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6" t="s">
        <v>32</v>
      </c>
      <c r="O29" s="16" t="s">
        <v>32</v>
      </c>
    </row>
    <row r="30" spans="1:15" x14ac:dyDescent="0.3">
      <c r="A30" s="15">
        <v>43913.708333333336</v>
      </c>
      <c r="B30" s="16" t="s">
        <v>25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6" t="s">
        <v>32</v>
      </c>
      <c r="O30" s="16" t="s">
        <v>32</v>
      </c>
    </row>
    <row r="31" spans="1:15" x14ac:dyDescent="0.3">
      <c r="A31" s="15">
        <v>43914.708333333336</v>
      </c>
      <c r="B31" s="16" t="s">
        <v>25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6" t="s">
        <v>32</v>
      </c>
      <c r="O31" s="16" t="s">
        <v>32</v>
      </c>
    </row>
    <row r="32" spans="1:15" x14ac:dyDescent="0.3">
      <c r="A32" s="15">
        <v>43915.708333333336</v>
      </c>
      <c r="B32" s="16" t="s">
        <v>25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6" t="s">
        <v>32</v>
      </c>
      <c r="O32" s="16" t="s">
        <v>32</v>
      </c>
    </row>
    <row r="33" spans="1:15" x14ac:dyDescent="0.3">
      <c r="A33" s="15">
        <v>43916.708333333336</v>
      </c>
      <c r="B33" s="16" t="s">
        <v>25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6" t="s">
        <v>45</v>
      </c>
      <c r="O33" s="16" t="s">
        <v>46</v>
      </c>
    </row>
    <row r="34" spans="1:15" x14ac:dyDescent="0.3">
      <c r="A34" s="15">
        <v>43917.708333333336</v>
      </c>
      <c r="B34" s="16" t="s">
        <v>25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6" t="s">
        <v>32</v>
      </c>
      <c r="O34" s="16" t="s">
        <v>32</v>
      </c>
    </row>
    <row r="35" spans="1:15" x14ac:dyDescent="0.3">
      <c r="A35" s="15">
        <v>43918.708333333336</v>
      </c>
      <c r="B35" s="16" t="s">
        <v>25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6" t="s">
        <v>32</v>
      </c>
      <c r="O35" s="16" t="s">
        <v>32</v>
      </c>
    </row>
    <row r="36" spans="1:15" x14ac:dyDescent="0.3">
      <c r="A36" s="15">
        <v>43919.708333333336</v>
      </c>
      <c r="B36" s="16" t="s">
        <v>25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6" t="s">
        <v>51</v>
      </c>
      <c r="O36" s="16" t="s">
        <v>52</v>
      </c>
    </row>
    <row r="37" spans="1:15" x14ac:dyDescent="0.3">
      <c r="A37" s="15">
        <v>43920.708333333336</v>
      </c>
      <c r="B37" s="16" t="s">
        <v>25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6" t="s">
        <v>32</v>
      </c>
      <c r="O37" s="16" t="s">
        <v>32</v>
      </c>
    </row>
    <row r="38" spans="1:15" x14ac:dyDescent="0.3">
      <c r="A38" s="15">
        <v>43921.708333333336</v>
      </c>
      <c r="B38" s="16" t="s">
        <v>25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6" t="s">
        <v>32</v>
      </c>
      <c r="O38" s="1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70"/>
  <sheetViews>
    <sheetView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777343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2"/>
      <c r="O3" s="18" t="s">
        <v>0</v>
      </c>
      <c r="P3" s="17" t="s">
        <v>54</v>
      </c>
      <c r="Q3" s="23"/>
      <c r="R3" s="23"/>
    </row>
    <row r="4" spans="2:18" ht="20.399999999999999" x14ac:dyDescent="0.35">
      <c r="B4" s="13" t="s">
        <v>14</v>
      </c>
      <c r="C4" s="14"/>
      <c r="O4" s="18" t="s">
        <v>26</v>
      </c>
      <c r="P4" s="17" t="s">
        <v>55</v>
      </c>
      <c r="Q4" s="23"/>
      <c r="R4" s="23"/>
    </row>
    <row r="5" spans="2:18" ht="18" x14ac:dyDescent="0.35">
      <c r="B5" s="13" t="s">
        <v>53</v>
      </c>
      <c r="O5" s="18" t="s">
        <v>1</v>
      </c>
      <c r="P5" s="17" t="s">
        <v>56</v>
      </c>
      <c r="Q5" s="23"/>
      <c r="R5" s="23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57</v>
      </c>
      <c r="I6" s="9" t="s">
        <v>58</v>
      </c>
      <c r="J6" s="9" t="s">
        <v>59</v>
      </c>
      <c r="K6" s="9" t="s">
        <v>60</v>
      </c>
      <c r="L6" s="9"/>
      <c r="M6" s="31" t="s">
        <v>50</v>
      </c>
      <c r="N6" s="3"/>
      <c r="O6" s="3"/>
    </row>
    <row r="7" spans="2:18" x14ac:dyDescent="0.3">
      <c r="B7" s="24">
        <v>43881</v>
      </c>
      <c r="C7" s="25">
        <v>1</v>
      </c>
      <c r="D7" s="26">
        <v>3</v>
      </c>
      <c r="E7" s="11">
        <f>K*EXP(-EXP(-($C7-t0)/w))</f>
        <v>36.741628690576796</v>
      </c>
      <c r="F7" s="11">
        <f>E7+CI</f>
        <v>3144.2090994759656</v>
      </c>
      <c r="G7" s="11">
        <f>MAX(E7-CI,0)</f>
        <v>0</v>
      </c>
      <c r="H7" s="25">
        <v>0</v>
      </c>
      <c r="I7" s="11">
        <f>Kh*EXP(-EXP(-($C7-t0h)/wh))</f>
        <v>9.9892198242310139E-3</v>
      </c>
      <c r="J7" s="11">
        <f>I7+CIh</f>
        <v>266.18561297920405</v>
      </c>
      <c r="K7" s="11">
        <f>MAX(I7-CIh,0)</f>
        <v>0</v>
      </c>
      <c r="L7" s="9"/>
      <c r="M7" s="19" t="s">
        <v>0</v>
      </c>
      <c r="N7" s="5">
        <v>360000</v>
      </c>
      <c r="O7" s="3"/>
    </row>
    <row r="8" spans="2:18" ht="15.6" x14ac:dyDescent="0.35">
      <c r="B8" s="24">
        <v>43882</v>
      </c>
      <c r="C8" s="25">
        <v>2</v>
      </c>
      <c r="D8" s="26">
        <v>20</v>
      </c>
      <c r="E8" s="11">
        <f>K*EXP(-EXP(-($C8-t0)/w))</f>
        <v>58.320003447446268</v>
      </c>
      <c r="F8" s="11">
        <f>E8+CI</f>
        <v>3165.7874742328349</v>
      </c>
      <c r="G8" s="11">
        <f>MAX(E8-CI,0)</f>
        <v>0</v>
      </c>
      <c r="H8" s="25">
        <v>1</v>
      </c>
      <c r="I8" s="11">
        <f>Kh*EXP(-EXP(-($C8-t0h)/wh))</f>
        <v>2.6363607014516413E-2</v>
      </c>
      <c r="J8" s="11">
        <f>I8+CIh</f>
        <v>266.20198736639435</v>
      </c>
      <c r="K8" s="11">
        <f>MAX(I8-CIh,0)</f>
        <v>0</v>
      </c>
      <c r="L8" s="9"/>
      <c r="M8" s="19" t="s">
        <v>27</v>
      </c>
      <c r="N8" s="5">
        <v>44</v>
      </c>
      <c r="O8" s="3"/>
    </row>
    <row r="9" spans="2:18" x14ac:dyDescent="0.3">
      <c r="B9" s="24">
        <v>43883</v>
      </c>
      <c r="C9" s="25">
        <v>3</v>
      </c>
      <c r="D9" s="26">
        <v>62</v>
      </c>
      <c r="E9" s="11">
        <f>K*EXP(-EXP(-($C9-t0)/w))</f>
        <v>90.445782482187127</v>
      </c>
      <c r="F9" s="11">
        <f>E9+CI</f>
        <v>3197.9132532675758</v>
      </c>
      <c r="G9" s="11">
        <f>MAX(E9-CI,0)</f>
        <v>0</v>
      </c>
      <c r="H9" s="25">
        <v>2</v>
      </c>
      <c r="I9" s="11">
        <f>Kh*EXP(-EXP(-($C9-t0h)/wh))</f>
        <v>6.5381203720559153E-2</v>
      </c>
      <c r="J9" s="11">
        <f>I9+CIh</f>
        <v>266.24100496310041</v>
      </c>
      <c r="K9" s="11">
        <f>MAX(I9-CIh,0)</f>
        <v>0</v>
      </c>
      <c r="L9" s="9"/>
      <c r="M9" s="19" t="s">
        <v>1</v>
      </c>
      <c r="N9" s="22">
        <v>19.385870271813634</v>
      </c>
      <c r="O9" s="3"/>
    </row>
    <row r="10" spans="2:18" x14ac:dyDescent="0.3">
      <c r="B10" s="24">
        <v>43884</v>
      </c>
      <c r="C10" s="25">
        <v>4</v>
      </c>
      <c r="D10" s="26">
        <v>155</v>
      </c>
      <c r="E10" s="11">
        <f>K*EXP(-EXP(-($C10-t0)/w))</f>
        <v>137.20752968592376</v>
      </c>
      <c r="F10" s="11">
        <f>E10+CI</f>
        <v>3244.6750004713126</v>
      </c>
      <c r="G10" s="11">
        <f>MAX(E10-CI,0)</f>
        <v>0</v>
      </c>
      <c r="H10" s="25">
        <v>3</v>
      </c>
      <c r="I10" s="11">
        <f>Kh*EXP(-EXP(-($C10-t0h)/wh))</f>
        <v>0.15297085457553394</v>
      </c>
      <c r="J10" s="11">
        <f>I10+CIh</f>
        <v>266.32859461395537</v>
      </c>
      <c r="K10" s="11">
        <f>MAX(I10-CIh,0)</f>
        <v>0</v>
      </c>
      <c r="L10" s="9"/>
      <c r="M10" s="6" t="s">
        <v>2</v>
      </c>
      <c r="N10" s="1">
        <f>AVERAGE(D_Start:D_End)</f>
        <v>29599.487804878048</v>
      </c>
      <c r="O10" s="3"/>
    </row>
    <row r="11" spans="2:18" x14ac:dyDescent="0.3">
      <c r="B11" s="20">
        <v>43885</v>
      </c>
      <c r="C11" s="4">
        <v>5</v>
      </c>
      <c r="D11" s="4">
        <f>'dpc-covid-19-ita-andamento-naz'!L2</f>
        <v>229</v>
      </c>
      <c r="E11" s="11">
        <f t="shared" ref="E11:E42" si="0">K*EXP(-EXP(-($C11-t0)/w))</f>
        <v>203.83000668626147</v>
      </c>
      <c r="F11" s="11">
        <f t="shared" ref="F11:F33" si="1">E11+CI</f>
        <v>3311.2974774716504</v>
      </c>
      <c r="G11" s="11">
        <f t="shared" ref="G11:G37" si="2">MAX(E11-CI,0)</f>
        <v>0</v>
      </c>
      <c r="H11" s="4">
        <f>'dpc-covid-19-ita-andamento-naz'!K2</f>
        <v>7</v>
      </c>
      <c r="I11" s="11">
        <f t="shared" ref="I11:I42" si="3">Kh*EXP(-EXP(-($C11-t0h)/wh))</f>
        <v>0.33891745215694991</v>
      </c>
      <c r="J11" s="11">
        <f t="shared" ref="J11:J44" si="4">I11+CIh</f>
        <v>266.51454121153682</v>
      </c>
      <c r="K11" s="11">
        <f t="shared" ref="K11:K44" si="5">MAX(I11-CIh,0)</f>
        <v>0</v>
      </c>
      <c r="L11" s="1"/>
      <c r="M11" s="6" t="s">
        <v>3</v>
      </c>
      <c r="N11" s="1">
        <f>COUNT(D_Start:D_End)-COUNT(N7:N9)</f>
        <v>38</v>
      </c>
    </row>
    <row r="12" spans="2:18" x14ac:dyDescent="0.3">
      <c r="B12" s="10">
        <v>43886</v>
      </c>
      <c r="C12" s="4">
        <v>6</v>
      </c>
      <c r="D12" s="4">
        <f>'dpc-covid-19-ita-andamento-naz'!L3</f>
        <v>322</v>
      </c>
      <c r="E12" s="11">
        <f t="shared" si="0"/>
        <v>296.83583251695165</v>
      </c>
      <c r="F12" s="11">
        <f t="shared" si="1"/>
        <v>3404.3033033023403</v>
      </c>
      <c r="G12" s="11">
        <f t="shared" si="2"/>
        <v>0</v>
      </c>
      <c r="H12" s="4">
        <f>'dpc-covid-19-ita-andamento-naz'!K3</f>
        <v>10</v>
      </c>
      <c r="I12" s="11">
        <f t="shared" si="3"/>
        <v>0.71355327634619914</v>
      </c>
      <c r="J12" s="11">
        <f t="shared" si="4"/>
        <v>266.88917703572605</v>
      </c>
      <c r="K12" s="11">
        <f t="shared" si="5"/>
        <v>0</v>
      </c>
      <c r="L12" s="1"/>
      <c r="M12" s="6" t="s">
        <v>4</v>
      </c>
      <c r="N12" s="7" cm="1">
        <f t="array" ref="N12">SQRT(SUM((D_Start:D_End-E_Start:E_End)^2)/df)</f>
        <v>1535.0110794532577</v>
      </c>
    </row>
    <row r="13" spans="2:18" ht="16.2" x14ac:dyDescent="0.3">
      <c r="B13" s="10">
        <v>43887</v>
      </c>
      <c r="C13" s="4">
        <v>7</v>
      </c>
      <c r="D13" s="4">
        <f>'dpc-covid-19-ita-andamento-naz'!L4</f>
        <v>400</v>
      </c>
      <c r="E13" s="11">
        <f t="shared" si="0"/>
        <v>424.18670269102932</v>
      </c>
      <c r="F13" s="11">
        <f t="shared" si="1"/>
        <v>3531.6541734764182</v>
      </c>
      <c r="G13" s="11">
        <f t="shared" si="2"/>
        <v>0</v>
      </c>
      <c r="H13" s="4">
        <f>'dpc-covid-19-ita-andamento-naz'!K4</f>
        <v>12</v>
      </c>
      <c r="I13" s="11">
        <f t="shared" si="3"/>
        <v>1.4322754890711622</v>
      </c>
      <c r="J13" s="11">
        <f t="shared" si="4"/>
        <v>267.60789924845102</v>
      </c>
      <c r="K13" s="11">
        <f t="shared" si="5"/>
        <v>0</v>
      </c>
      <c r="L13" s="1"/>
      <c r="M13" s="6" t="s">
        <v>5</v>
      </c>
      <c r="N13" s="8" cm="1">
        <f t="array" ref="N13">1-SUM((D_Start:D_End-E_Start:E_End)^2)/SUM((D_Start:D_End-Mean_of_y)^2)</f>
        <v>0.99811486568793906</v>
      </c>
    </row>
    <row r="14" spans="2:18" x14ac:dyDescent="0.3">
      <c r="B14" s="10">
        <v>43888</v>
      </c>
      <c r="C14" s="4">
        <v>8</v>
      </c>
      <c r="D14" s="4">
        <f>'dpc-covid-19-ita-andamento-naz'!L5</f>
        <v>650</v>
      </c>
      <c r="E14" s="11">
        <f t="shared" si="0"/>
        <v>595.39191475546329</v>
      </c>
      <c r="F14" s="11">
        <f t="shared" si="1"/>
        <v>3702.8593855408521</v>
      </c>
      <c r="G14" s="11">
        <f t="shared" si="2"/>
        <v>0</v>
      </c>
      <c r="H14" s="4">
        <f>'dpc-covid-19-ita-andamento-naz'!K5</f>
        <v>17</v>
      </c>
      <c r="I14" s="11">
        <f t="shared" si="3"/>
        <v>2.7493103684232043</v>
      </c>
      <c r="J14" s="11">
        <f t="shared" si="4"/>
        <v>268.92493412780306</v>
      </c>
      <c r="K14" s="11">
        <f t="shared" si="5"/>
        <v>0</v>
      </c>
      <c r="L14" s="1"/>
      <c r="M14" s="6" t="s">
        <v>6</v>
      </c>
      <c r="N14" s="8">
        <f>TINV(0.05,df)</f>
        <v>2.0243941639119702</v>
      </c>
    </row>
    <row r="15" spans="2:18" x14ac:dyDescent="0.3">
      <c r="B15" s="10">
        <v>43889</v>
      </c>
      <c r="C15" s="4">
        <v>9</v>
      </c>
      <c r="D15" s="4">
        <f>'dpc-covid-19-ita-andamento-naz'!L6</f>
        <v>888</v>
      </c>
      <c r="E15" s="11">
        <f t="shared" si="0"/>
        <v>821.5724497908642</v>
      </c>
      <c r="F15" s="11">
        <f t="shared" si="1"/>
        <v>3929.0399205762528</v>
      </c>
      <c r="G15" s="11">
        <f t="shared" si="2"/>
        <v>0</v>
      </c>
      <c r="H15" s="4">
        <f>'dpc-covid-19-ita-andamento-naz'!K6</f>
        <v>21</v>
      </c>
      <c r="I15" s="11">
        <f t="shared" si="3"/>
        <v>5.0613010021888876</v>
      </c>
      <c r="J15" s="11">
        <f t="shared" si="4"/>
        <v>271.23692476156873</v>
      </c>
      <c r="K15" s="11">
        <f t="shared" si="5"/>
        <v>0</v>
      </c>
      <c r="L15" s="1"/>
      <c r="M15" s="6" t="s">
        <v>7</v>
      </c>
      <c r="N15" s="1">
        <f>Critical_t*SE_of_y</f>
        <v>3107.4674707853887</v>
      </c>
    </row>
    <row r="16" spans="2:18" x14ac:dyDescent="0.3">
      <c r="B16" s="10">
        <v>43890</v>
      </c>
      <c r="C16" s="4">
        <v>10</v>
      </c>
      <c r="D16" s="4">
        <f>'dpc-covid-19-ita-andamento-naz'!L7</f>
        <v>1128</v>
      </c>
      <c r="E16" s="11">
        <f t="shared" si="0"/>
        <v>1115.4703874448549</v>
      </c>
      <c r="F16" s="11">
        <f t="shared" si="1"/>
        <v>4222.9378582302434</v>
      </c>
      <c r="G16" s="11">
        <f t="shared" si="2"/>
        <v>0</v>
      </c>
      <c r="H16" s="4">
        <f>'dpc-covid-19-ita-andamento-naz'!K7</f>
        <v>29</v>
      </c>
      <c r="I16" s="11">
        <f t="shared" si="3"/>
        <v>8.9599607040746854</v>
      </c>
      <c r="J16" s="11">
        <f t="shared" si="4"/>
        <v>275.13558446345451</v>
      </c>
      <c r="K16" s="11">
        <f t="shared" si="5"/>
        <v>0</v>
      </c>
      <c r="L16" s="1"/>
      <c r="M16" s="6"/>
    </row>
    <row r="17" spans="2:14" x14ac:dyDescent="0.3">
      <c r="B17" s="20">
        <v>43891</v>
      </c>
      <c r="C17" s="4">
        <v>11</v>
      </c>
      <c r="D17" s="4">
        <f>'dpc-covid-19-ita-andamento-naz'!L8</f>
        <v>1694</v>
      </c>
      <c r="E17" s="11">
        <f t="shared" si="0"/>
        <v>1491.3959039290087</v>
      </c>
      <c r="F17" s="11">
        <f t="shared" si="1"/>
        <v>4598.8633747143977</v>
      </c>
      <c r="G17" s="11">
        <f t="shared" si="2"/>
        <v>0</v>
      </c>
      <c r="H17" s="4">
        <f>'dpc-covid-19-ita-andamento-naz'!K8</f>
        <v>34</v>
      </c>
      <c r="I17" s="11">
        <f t="shared" si="3"/>
        <v>15.291330799274563</v>
      </c>
      <c r="J17" s="11">
        <f t="shared" si="4"/>
        <v>281.46695455865444</v>
      </c>
      <c r="K17" s="11">
        <f t="shared" si="5"/>
        <v>0</v>
      </c>
      <c r="L17" s="1"/>
      <c r="M17" s="21" t="s">
        <v>57</v>
      </c>
      <c r="N17" s="3"/>
    </row>
    <row r="18" spans="2:14" x14ac:dyDescent="0.3">
      <c r="B18" s="10">
        <v>43892</v>
      </c>
      <c r="C18" s="4">
        <v>12</v>
      </c>
      <c r="D18" s="4">
        <f>'dpc-covid-19-ita-andamento-naz'!L9</f>
        <v>2036</v>
      </c>
      <c r="E18" s="11">
        <f t="shared" si="0"/>
        <v>1965.1073332040853</v>
      </c>
      <c r="F18" s="11">
        <f t="shared" si="1"/>
        <v>5072.5748039894743</v>
      </c>
      <c r="G18" s="11">
        <f t="shared" si="2"/>
        <v>0</v>
      </c>
      <c r="H18" s="4">
        <f>'dpc-covid-19-ita-andamento-naz'!K9</f>
        <v>52</v>
      </c>
      <c r="I18" s="11">
        <f t="shared" si="3"/>
        <v>25.217354683046423</v>
      </c>
      <c r="J18" s="11">
        <f t="shared" si="4"/>
        <v>291.39297844242628</v>
      </c>
      <c r="K18" s="11">
        <f t="shared" si="5"/>
        <v>0</v>
      </c>
      <c r="L18" s="1"/>
      <c r="M18" s="19" t="s">
        <v>0</v>
      </c>
      <c r="N18" s="5">
        <v>37381</v>
      </c>
    </row>
    <row r="19" spans="2:14" ht="15.6" x14ac:dyDescent="0.35">
      <c r="B19" s="10">
        <v>43893</v>
      </c>
      <c r="C19" s="4">
        <v>13</v>
      </c>
      <c r="D19" s="4">
        <f>'dpc-covid-19-ita-andamento-naz'!L10</f>
        <v>2502</v>
      </c>
      <c r="E19" s="11">
        <f t="shared" si="0"/>
        <v>2553.6234972750935</v>
      </c>
      <c r="F19" s="11">
        <f t="shared" si="1"/>
        <v>5661.0909680604818</v>
      </c>
      <c r="G19" s="11">
        <f t="shared" si="2"/>
        <v>0</v>
      </c>
      <c r="H19" s="4">
        <f>'dpc-covid-19-ita-andamento-naz'!K10</f>
        <v>79</v>
      </c>
      <c r="I19" s="11">
        <f t="shared" si="3"/>
        <v>40.273861098257356</v>
      </c>
      <c r="J19" s="11">
        <f t="shared" si="4"/>
        <v>306.44948485763723</v>
      </c>
      <c r="K19" s="11">
        <f t="shared" si="5"/>
        <v>0</v>
      </c>
      <c r="L19" s="1"/>
      <c r="M19" s="19" t="s">
        <v>27</v>
      </c>
      <c r="N19" s="5">
        <v>42</v>
      </c>
    </row>
    <row r="20" spans="2:14" x14ac:dyDescent="0.3">
      <c r="B20" s="10">
        <v>43894</v>
      </c>
      <c r="C20" s="4">
        <v>14</v>
      </c>
      <c r="D20" s="4">
        <f>'dpc-covid-19-ita-andamento-naz'!L11</f>
        <v>3089</v>
      </c>
      <c r="E20" s="11">
        <f t="shared" si="0"/>
        <v>3274.9714214027631</v>
      </c>
      <c r="F20" s="11">
        <f t="shared" si="1"/>
        <v>6382.4388921881518</v>
      </c>
      <c r="G20" s="11">
        <f t="shared" si="2"/>
        <v>167.50395061737436</v>
      </c>
      <c r="H20" s="4">
        <f>'dpc-covid-19-ita-andamento-naz'!K11</f>
        <v>107</v>
      </c>
      <c r="I20" s="11">
        <f t="shared" si="3"/>
        <v>62.417984456314038</v>
      </c>
      <c r="J20" s="11">
        <f t="shared" si="4"/>
        <v>328.59360821569391</v>
      </c>
      <c r="K20" s="11">
        <f t="shared" si="5"/>
        <v>0</v>
      </c>
      <c r="L20" s="1"/>
      <c r="M20" s="19" t="s">
        <v>1</v>
      </c>
      <c r="N20" s="22">
        <v>15.090056623196919</v>
      </c>
    </row>
    <row r="21" spans="2:14" x14ac:dyDescent="0.3">
      <c r="B21" s="20">
        <v>43895</v>
      </c>
      <c r="C21" s="4">
        <v>15</v>
      </c>
      <c r="D21" s="4">
        <f>'dpc-covid-19-ita-andamento-naz'!L12</f>
        <v>3858</v>
      </c>
      <c r="E21" s="11">
        <f t="shared" si="0"/>
        <v>4147.876323153695</v>
      </c>
      <c r="F21" s="11">
        <f t="shared" si="1"/>
        <v>7255.3437939390842</v>
      </c>
      <c r="G21" s="11">
        <f t="shared" si="2"/>
        <v>1040.4088523683063</v>
      </c>
      <c r="H21" s="4">
        <f>'dpc-covid-19-ita-andamento-naz'!K12</f>
        <v>148</v>
      </c>
      <c r="I21" s="11">
        <f t="shared" si="3"/>
        <v>94.057819098595587</v>
      </c>
      <c r="J21" s="11">
        <f t="shared" si="4"/>
        <v>360.23344285797543</v>
      </c>
      <c r="K21" s="11">
        <f t="shared" si="5"/>
        <v>0</v>
      </c>
      <c r="L21" s="1"/>
      <c r="M21" s="6" t="s">
        <v>2</v>
      </c>
      <c r="N21" s="1">
        <f>AVERAGE(H_Start:H_End)</f>
        <v>2845.560975609756</v>
      </c>
    </row>
    <row r="22" spans="2:14" x14ac:dyDescent="0.3">
      <c r="B22" s="10">
        <v>43896</v>
      </c>
      <c r="C22" s="4">
        <v>16</v>
      </c>
      <c r="D22" s="4">
        <f>'dpc-covid-19-ita-andamento-naz'!L13</f>
        <v>4636</v>
      </c>
      <c r="E22" s="11">
        <f t="shared" si="0"/>
        <v>5191.4041042115759</v>
      </c>
      <c r="F22" s="11">
        <f t="shared" si="1"/>
        <v>8298.8715749969651</v>
      </c>
      <c r="G22" s="11">
        <f t="shared" si="2"/>
        <v>2083.9366334261872</v>
      </c>
      <c r="H22" s="4">
        <f>'dpc-covid-19-ita-andamento-naz'!K13</f>
        <v>197</v>
      </c>
      <c r="I22" s="11">
        <f t="shared" si="3"/>
        <v>138.05785341625818</v>
      </c>
      <c r="J22" s="11">
        <f t="shared" si="4"/>
        <v>404.23347717563803</v>
      </c>
      <c r="K22" s="11">
        <f t="shared" si="5"/>
        <v>0</v>
      </c>
      <c r="L22" s="1"/>
      <c r="M22" s="6" t="s">
        <v>3</v>
      </c>
      <c r="N22" s="1">
        <f>COUNT(H_Start:H_End)-COUNT(N18:N20)</f>
        <v>38</v>
      </c>
    </row>
    <row r="23" spans="2:14" x14ac:dyDescent="0.3">
      <c r="B23" s="10">
        <v>43897</v>
      </c>
      <c r="C23" s="4">
        <v>17</v>
      </c>
      <c r="D23" s="4">
        <f>'dpc-covid-19-ita-andamento-naz'!L14</f>
        <v>5883</v>
      </c>
      <c r="E23" s="11">
        <f t="shared" si="0"/>
        <v>6424.5692378664007</v>
      </c>
      <c r="F23" s="11">
        <f t="shared" si="1"/>
        <v>9532.036708651789</v>
      </c>
      <c r="G23" s="11">
        <f t="shared" si="2"/>
        <v>3317.101767081012</v>
      </c>
      <c r="H23" s="4">
        <f>'dpc-covid-19-ita-andamento-naz'!K14</f>
        <v>233</v>
      </c>
      <c r="I23" s="11">
        <f t="shared" si="3"/>
        <v>197.71543199715552</v>
      </c>
      <c r="J23" s="11">
        <f t="shared" si="4"/>
        <v>463.89105575653537</v>
      </c>
      <c r="K23" s="11">
        <f t="shared" si="5"/>
        <v>0</v>
      </c>
      <c r="L23" s="1"/>
      <c r="M23" s="6" t="s">
        <v>4</v>
      </c>
      <c r="N23" s="7" cm="1">
        <f t="array" ref="N23">SQRT(SUM((H_Start:H_End-I_Start:I_End)^2)/dfh)</f>
        <v>131.48408966217232</v>
      </c>
    </row>
    <row r="24" spans="2:14" ht="16.2" x14ac:dyDescent="0.3">
      <c r="B24" s="20">
        <v>43898</v>
      </c>
      <c r="C24" s="4">
        <v>18</v>
      </c>
      <c r="D24" s="4">
        <f>'dpc-covid-19-ita-andamento-naz'!L15</f>
        <v>7375</v>
      </c>
      <c r="E24" s="11">
        <f t="shared" si="0"/>
        <v>7865.9227635135248</v>
      </c>
      <c r="F24" s="11">
        <f t="shared" si="1"/>
        <v>10973.390234298913</v>
      </c>
      <c r="G24" s="11">
        <f t="shared" si="2"/>
        <v>4758.4552927281366</v>
      </c>
      <c r="H24" s="4">
        <f>'dpc-covid-19-ita-andamento-naz'!K15</f>
        <v>366</v>
      </c>
      <c r="I24" s="11">
        <f t="shared" si="3"/>
        <v>276.70595266929274</v>
      </c>
      <c r="J24" s="11">
        <f t="shared" si="4"/>
        <v>542.88157642867259</v>
      </c>
      <c r="K24" s="11">
        <f t="shared" si="5"/>
        <v>10.530328909912896</v>
      </c>
      <c r="L24" s="1"/>
      <c r="M24" s="6" t="s">
        <v>5</v>
      </c>
      <c r="N24" s="8" cm="1">
        <f t="array" ref="N24">1-SUM((H_Start:H_End-I_Start:I_End)^2)/SUM((H_Start:H_End-Mean_of_yh)^2)</f>
        <v>0.99885502308675578</v>
      </c>
    </row>
    <row r="25" spans="2:14" x14ac:dyDescent="0.3">
      <c r="B25" s="10">
        <v>43899</v>
      </c>
      <c r="C25" s="4">
        <v>19</v>
      </c>
      <c r="D25" s="4">
        <f>'dpc-covid-19-ita-andamento-naz'!L16</f>
        <v>9172</v>
      </c>
      <c r="E25" s="11">
        <f t="shared" si="0"/>
        <v>9533.1359856546915</v>
      </c>
      <c r="F25" s="11">
        <f t="shared" si="1"/>
        <v>12640.60345644008</v>
      </c>
      <c r="G25" s="11">
        <f t="shared" si="2"/>
        <v>6425.6685148693032</v>
      </c>
      <c r="H25" s="4">
        <f>'dpc-covid-19-ita-andamento-naz'!K16</f>
        <v>463</v>
      </c>
      <c r="I25" s="11">
        <f t="shared" si="3"/>
        <v>378.9973936427125</v>
      </c>
      <c r="J25" s="11">
        <f t="shared" si="4"/>
        <v>645.17301740209234</v>
      </c>
      <c r="K25" s="11">
        <f t="shared" si="5"/>
        <v>112.82176988333265</v>
      </c>
      <c r="L25" s="1"/>
      <c r="M25" s="6" t="s">
        <v>6</v>
      </c>
      <c r="N25" s="8">
        <f>TINV(0.05,dfh)</f>
        <v>2.0243941639119702</v>
      </c>
    </row>
    <row r="26" spans="2:14" x14ac:dyDescent="0.3">
      <c r="B26" s="20">
        <v>43900</v>
      </c>
      <c r="C26" s="4">
        <v>20</v>
      </c>
      <c r="D26" s="4">
        <f>'dpc-covid-19-ita-andamento-naz'!L17</f>
        <v>10149</v>
      </c>
      <c r="E26" s="11">
        <f t="shared" si="0"/>
        <v>11442.595424625231</v>
      </c>
      <c r="F26" s="11">
        <f t="shared" si="1"/>
        <v>14550.06289541062</v>
      </c>
      <c r="G26" s="11">
        <f t="shared" si="2"/>
        <v>8335.127953839843</v>
      </c>
      <c r="H26" s="4">
        <f>'dpc-covid-19-ita-andamento-naz'!K17</f>
        <v>631</v>
      </c>
      <c r="I26" s="11">
        <f t="shared" si="3"/>
        <v>508.73769227491488</v>
      </c>
      <c r="J26" s="11">
        <f t="shared" si="4"/>
        <v>774.91331603429467</v>
      </c>
      <c r="K26" s="11">
        <f t="shared" si="5"/>
        <v>242.56206851553503</v>
      </c>
      <c r="L26" s="1"/>
      <c r="M26" s="6" t="s">
        <v>7</v>
      </c>
      <c r="N26" s="1">
        <f>Critical_th*SE_of_yh</f>
        <v>266.17562375937985</v>
      </c>
    </row>
    <row r="27" spans="2:14" x14ac:dyDescent="0.3">
      <c r="B27" s="10">
        <v>43901</v>
      </c>
      <c r="C27" s="4">
        <v>21</v>
      </c>
      <c r="D27" s="4">
        <f>'dpc-covid-19-ita-andamento-naz'!L18</f>
        <v>12462</v>
      </c>
      <c r="E27" s="11">
        <f t="shared" si="0"/>
        <v>13609.023649061466</v>
      </c>
      <c r="F27" s="11">
        <f t="shared" si="1"/>
        <v>16716.491119846854</v>
      </c>
      <c r="G27" s="11">
        <f t="shared" si="2"/>
        <v>10501.556178276078</v>
      </c>
      <c r="H27" s="4">
        <f>'dpc-covid-19-ita-andamento-naz'!K18</f>
        <v>827</v>
      </c>
      <c r="I27" s="11">
        <f t="shared" si="3"/>
        <v>670.12107789155141</v>
      </c>
      <c r="J27" s="11">
        <f t="shared" si="4"/>
        <v>936.29670165093125</v>
      </c>
      <c r="K27" s="11">
        <f t="shared" si="5"/>
        <v>403.94545413217156</v>
      </c>
      <c r="L27" s="1"/>
      <c r="M27" s="6"/>
    </row>
    <row r="28" spans="2:14" x14ac:dyDescent="0.3">
      <c r="B28" s="20">
        <v>43902</v>
      </c>
      <c r="C28" s="4">
        <v>22</v>
      </c>
      <c r="D28" s="4">
        <f>'dpc-covid-19-ita-andamento-naz'!L19</f>
        <v>15113</v>
      </c>
      <c r="E28" s="11">
        <f t="shared" si="0"/>
        <v>16045.138964163267</v>
      </c>
      <c r="F28" s="11">
        <f t="shared" si="1"/>
        <v>19152.606434948655</v>
      </c>
      <c r="G28" s="11">
        <f t="shared" si="2"/>
        <v>12937.671493377879</v>
      </c>
      <c r="H28" s="4">
        <f>'dpc-covid-19-ita-andamento-naz'!K19</f>
        <v>1016</v>
      </c>
      <c r="I28" s="11">
        <f t="shared" si="3"/>
        <v>867.24138549392239</v>
      </c>
      <c r="J28" s="11">
        <f t="shared" si="4"/>
        <v>1133.4170092533022</v>
      </c>
      <c r="K28" s="11">
        <f t="shared" si="5"/>
        <v>601.06576173454255</v>
      </c>
      <c r="L28" s="1"/>
      <c r="M28" s="6"/>
    </row>
    <row r="29" spans="2:14" x14ac:dyDescent="0.3">
      <c r="B29" s="10">
        <v>43903</v>
      </c>
      <c r="C29" s="4">
        <v>23</v>
      </c>
      <c r="D29" s="4">
        <f>'dpc-covid-19-ita-andamento-naz'!L20</f>
        <v>17660</v>
      </c>
      <c r="E29" s="11">
        <f t="shared" si="0"/>
        <v>18761.364703587067</v>
      </c>
      <c r="F29" s="11">
        <f t="shared" si="1"/>
        <v>21868.832174372455</v>
      </c>
      <c r="G29" s="11">
        <f t="shared" si="2"/>
        <v>15653.897232801679</v>
      </c>
      <c r="H29" s="4">
        <f>'dpc-covid-19-ita-andamento-naz'!K20</f>
        <v>1266</v>
      </c>
      <c r="I29" s="11">
        <f t="shared" si="3"/>
        <v>1103.9414493728391</v>
      </c>
      <c r="J29" s="11">
        <f t="shared" si="4"/>
        <v>1370.117073132219</v>
      </c>
      <c r="K29" s="11">
        <f t="shared" si="5"/>
        <v>837.76582561345924</v>
      </c>
      <c r="L29" s="1"/>
    </row>
    <row r="30" spans="2:14" x14ac:dyDescent="0.3">
      <c r="B30" s="10">
        <v>43904</v>
      </c>
      <c r="C30" s="4">
        <v>24</v>
      </c>
      <c r="D30" s="4">
        <f>'dpc-covid-19-ita-andamento-naz'!L21</f>
        <v>21157</v>
      </c>
      <c r="E30" s="11">
        <f t="shared" si="0"/>
        <v>21765.596265773984</v>
      </c>
      <c r="F30" s="11">
        <f t="shared" si="1"/>
        <v>24873.063736559372</v>
      </c>
      <c r="G30" s="11">
        <f t="shared" si="2"/>
        <v>18658.128794988595</v>
      </c>
      <c r="H30" s="4">
        <f>'dpc-covid-19-ita-andamento-naz'!K21</f>
        <v>1441</v>
      </c>
      <c r="I30" s="11">
        <f t="shared" si="3"/>
        <v>1383.6678321248974</v>
      </c>
      <c r="J30" s="11">
        <f t="shared" si="4"/>
        <v>1649.8434558842773</v>
      </c>
      <c r="K30" s="11">
        <f t="shared" si="5"/>
        <v>1117.4922083655174</v>
      </c>
      <c r="L30" s="1"/>
    </row>
    <row r="31" spans="2:14" x14ac:dyDescent="0.3">
      <c r="B31" s="10">
        <v>43905</v>
      </c>
      <c r="C31" s="4">
        <v>25</v>
      </c>
      <c r="D31" s="4">
        <f>'dpc-covid-19-ita-andamento-naz'!L22</f>
        <v>24747</v>
      </c>
      <c r="E31" s="11">
        <f t="shared" si="0"/>
        <v>25063.031240001874</v>
      </c>
      <c r="F31" s="11">
        <f t="shared" si="1"/>
        <v>28170.498710787262</v>
      </c>
      <c r="G31" s="11">
        <f t="shared" si="2"/>
        <v>21955.563769216486</v>
      </c>
      <c r="H31" s="4">
        <f>'dpc-covid-19-ita-andamento-naz'!K22</f>
        <v>1809</v>
      </c>
      <c r="I31" s="11">
        <f t="shared" si="3"/>
        <v>1709.3394459808117</v>
      </c>
      <c r="J31" s="11">
        <f t="shared" si="4"/>
        <v>1975.5150697401914</v>
      </c>
      <c r="K31" s="11">
        <f t="shared" si="5"/>
        <v>1443.1638222214319</v>
      </c>
      <c r="L31" s="1"/>
    </row>
    <row r="32" spans="2:14" x14ac:dyDescent="0.3">
      <c r="B32" s="10">
        <v>43906</v>
      </c>
      <c r="C32" s="4">
        <v>26</v>
      </c>
      <c r="D32" s="4">
        <f>'dpc-covid-19-ita-andamento-naz'!L23</f>
        <v>27980</v>
      </c>
      <c r="E32" s="11">
        <f t="shared" si="0"/>
        <v>28656.065163354029</v>
      </c>
      <c r="F32" s="11">
        <f t="shared" si="1"/>
        <v>31763.532634139417</v>
      </c>
      <c r="G32" s="11">
        <f t="shared" si="2"/>
        <v>25548.597692568641</v>
      </c>
      <c r="H32" s="4">
        <f>'dpc-covid-19-ita-andamento-naz'!K23</f>
        <v>2158</v>
      </c>
      <c r="I32" s="11">
        <f t="shared" si="3"/>
        <v>2083.237227734824</v>
      </c>
      <c r="J32" s="11">
        <f t="shared" si="4"/>
        <v>2349.412851494204</v>
      </c>
      <c r="K32" s="11">
        <f t="shared" si="5"/>
        <v>1817.0616039754441</v>
      </c>
      <c r="L32" s="1"/>
    </row>
    <row r="33" spans="2:17" x14ac:dyDescent="0.3">
      <c r="B33" s="10">
        <v>43907</v>
      </c>
      <c r="C33" s="4">
        <v>27</v>
      </c>
      <c r="D33" s="4">
        <f>'dpc-covid-19-ita-andamento-naz'!L24</f>
        <v>31506</v>
      </c>
      <c r="E33" s="11">
        <f t="shared" si="0"/>
        <v>32544.252793062631</v>
      </c>
      <c r="F33" s="11">
        <f t="shared" si="1"/>
        <v>35651.720263848023</v>
      </c>
      <c r="G33" s="11">
        <f t="shared" si="2"/>
        <v>29436.785322277243</v>
      </c>
      <c r="H33" s="4">
        <f>'dpc-covid-19-ita-andamento-naz'!K24</f>
        <v>2503</v>
      </c>
      <c r="I33" s="11">
        <f t="shared" si="3"/>
        <v>2506.9201543040294</v>
      </c>
      <c r="J33" s="11">
        <f t="shared" si="4"/>
        <v>2773.0957780634094</v>
      </c>
      <c r="K33" s="11">
        <f t="shared" si="5"/>
        <v>2240.7445305446495</v>
      </c>
      <c r="L33" s="1"/>
    </row>
    <row r="34" spans="2:17" x14ac:dyDescent="0.3">
      <c r="B34" s="10">
        <v>43908</v>
      </c>
      <c r="C34" s="4">
        <v>28</v>
      </c>
      <c r="D34" s="4">
        <f>'dpc-covid-19-ita-andamento-naz'!L25</f>
        <v>35713</v>
      </c>
      <c r="E34" s="11">
        <f t="shared" si="0"/>
        <v>36724.332393818971</v>
      </c>
      <c r="F34" s="11">
        <f t="shared" ref="F34:F47" si="6">E34+CI</f>
        <v>39831.799864604363</v>
      </c>
      <c r="G34" s="11">
        <f t="shared" si="2"/>
        <v>33616.86492303358</v>
      </c>
      <c r="H34" s="4">
        <f>'dpc-covid-19-ita-andamento-naz'!K25</f>
        <v>2978</v>
      </c>
      <c r="I34" s="11">
        <f t="shared" si="3"/>
        <v>2981.1707729652021</v>
      </c>
      <c r="J34" s="11">
        <f t="shared" si="4"/>
        <v>3247.3463967245821</v>
      </c>
      <c r="K34" s="11">
        <f t="shared" si="5"/>
        <v>2714.9951492058221</v>
      </c>
      <c r="Q34" s="1"/>
    </row>
    <row r="35" spans="2:17" x14ac:dyDescent="0.3">
      <c r="B35" s="10">
        <v>43909</v>
      </c>
      <c r="C35" s="4">
        <v>29</v>
      </c>
      <c r="D35" s="4">
        <f>'dpc-covid-19-ita-andamento-naz'!L26</f>
        <v>41035</v>
      </c>
      <c r="E35" s="11">
        <f t="shared" si="0"/>
        <v>41190.308516170713</v>
      </c>
      <c r="F35" s="11">
        <f t="shared" si="6"/>
        <v>44297.775986956105</v>
      </c>
      <c r="G35" s="11">
        <f t="shared" si="2"/>
        <v>38082.841045385321</v>
      </c>
      <c r="H35" s="4">
        <f>'dpc-covid-19-ita-andamento-naz'!K26</f>
        <v>3405</v>
      </c>
      <c r="I35" s="11">
        <f t="shared" si="3"/>
        <v>3505.9712960712272</v>
      </c>
      <c r="J35" s="11">
        <f t="shared" si="4"/>
        <v>3772.1469198306072</v>
      </c>
      <c r="K35" s="11">
        <f t="shared" si="5"/>
        <v>3239.7956723118473</v>
      </c>
    </row>
    <row r="36" spans="2:17" x14ac:dyDescent="0.3">
      <c r="B36" s="10">
        <v>43910</v>
      </c>
      <c r="C36" s="4">
        <v>30</v>
      </c>
      <c r="D36" s="4">
        <f>'dpc-covid-19-ita-andamento-naz'!L27</f>
        <v>47021</v>
      </c>
      <c r="E36" s="11">
        <f t="shared" si="0"/>
        <v>45933.587134475987</v>
      </c>
      <c r="F36" s="11">
        <f t="shared" si="6"/>
        <v>49041.054605261379</v>
      </c>
      <c r="G36" s="11">
        <f t="shared" si="2"/>
        <v>42826.119663690595</v>
      </c>
      <c r="H36" s="4">
        <f>'dpc-covid-19-ita-andamento-naz'!K27</f>
        <v>4032</v>
      </c>
      <c r="I36" s="11">
        <f t="shared" si="3"/>
        <v>4080.5093645478246</v>
      </c>
      <c r="J36" s="11">
        <f t="shared" si="4"/>
        <v>4346.6849883072045</v>
      </c>
      <c r="K36" s="11">
        <f t="shared" si="5"/>
        <v>3814.3337407884446</v>
      </c>
    </row>
    <row r="37" spans="2:17" x14ac:dyDescent="0.3">
      <c r="B37" s="10">
        <v>43911</v>
      </c>
      <c r="C37" s="4">
        <v>31</v>
      </c>
      <c r="D37" s="4">
        <f>'dpc-covid-19-ita-andamento-naz'!L28</f>
        <v>53578</v>
      </c>
      <c r="E37" s="11">
        <f t="shared" si="0"/>
        <v>50943.155842950131</v>
      </c>
      <c r="F37" s="11">
        <f t="shared" si="6"/>
        <v>54050.623313735523</v>
      </c>
      <c r="G37" s="11">
        <f t="shared" si="2"/>
        <v>47835.688372164739</v>
      </c>
      <c r="H37" s="4">
        <f>'dpc-covid-19-ita-andamento-naz'!K28</f>
        <v>4825</v>
      </c>
      <c r="I37" s="11">
        <f t="shared" si="3"/>
        <v>4703.2109558206912</v>
      </c>
      <c r="J37" s="11">
        <f t="shared" si="4"/>
        <v>4969.3865795800712</v>
      </c>
      <c r="K37" s="11">
        <f t="shared" si="5"/>
        <v>4437.0353320613112</v>
      </c>
    </row>
    <row r="38" spans="2:17" x14ac:dyDescent="0.3">
      <c r="B38" s="10">
        <v>43912</v>
      </c>
      <c r="C38" s="4">
        <v>32</v>
      </c>
      <c r="D38" s="4">
        <f>'dpc-covid-19-ita-andamento-naz'!L29</f>
        <v>59138</v>
      </c>
      <c r="E38" s="11">
        <f t="shared" si="0"/>
        <v>56205.801069962108</v>
      </c>
      <c r="F38" s="11">
        <f t="shared" si="6"/>
        <v>59313.2685407475</v>
      </c>
      <c r="G38" s="11">
        <f t="shared" ref="G38:G47" si="7">MAX(E38-CI,0)</f>
        <v>53098.333599176716</v>
      </c>
      <c r="H38" s="4">
        <f>'dpc-covid-19-ita-andamento-naz'!K29</f>
        <v>5476</v>
      </c>
      <c r="I38" s="11">
        <f t="shared" si="3"/>
        <v>5371.796681736354</v>
      </c>
      <c r="J38" s="11">
        <f t="shared" si="4"/>
        <v>5637.972305495734</v>
      </c>
      <c r="K38" s="11">
        <f t="shared" si="5"/>
        <v>5105.621057976974</v>
      </c>
    </row>
    <row r="39" spans="2:17" x14ac:dyDescent="0.3">
      <c r="B39" s="20">
        <v>43913</v>
      </c>
      <c r="C39" s="4">
        <v>33</v>
      </c>
      <c r="D39" s="4">
        <f>'dpc-covid-19-ita-andamento-naz'!L30</f>
        <v>63927</v>
      </c>
      <c r="E39" s="11">
        <f t="shared" si="0"/>
        <v>61706.353935273823</v>
      </c>
      <c r="F39" s="11">
        <f t="shared" si="6"/>
        <v>64813.821406059214</v>
      </c>
      <c r="G39" s="11">
        <f t="shared" si="7"/>
        <v>58598.886464488431</v>
      </c>
      <c r="H39" s="4">
        <f>'dpc-covid-19-ita-andamento-naz'!K30</f>
        <v>6077</v>
      </c>
      <c r="I39" s="11">
        <f t="shared" si="3"/>
        <v>6083.3569193335243</v>
      </c>
      <c r="J39" s="11">
        <f t="shared" si="4"/>
        <v>6349.5325430929042</v>
      </c>
      <c r="K39" s="11">
        <f t="shared" si="5"/>
        <v>5817.1812955741443</v>
      </c>
    </row>
    <row r="40" spans="2:17" x14ac:dyDescent="0.3">
      <c r="B40" s="10">
        <v>43914</v>
      </c>
      <c r="C40" s="4">
        <v>34</v>
      </c>
      <c r="D40" s="4">
        <f>'dpc-covid-19-ita-andamento-naz'!L31</f>
        <v>69176</v>
      </c>
      <c r="E40" s="11">
        <f t="shared" si="0"/>
        <v>67427.956397247064</v>
      </c>
      <c r="F40" s="11">
        <f t="shared" si="6"/>
        <v>70535.423868032449</v>
      </c>
      <c r="G40" s="11">
        <f t="shared" si="7"/>
        <v>64320.488926461672</v>
      </c>
      <c r="H40" s="4">
        <f>'dpc-covid-19-ita-andamento-naz'!K31</f>
        <v>6820</v>
      </c>
      <c r="I40" s="11">
        <f t="shared" si="3"/>
        <v>6834.4408268094994</v>
      </c>
      <c r="J40" s="11">
        <f t="shared" si="4"/>
        <v>7100.6164505688794</v>
      </c>
      <c r="K40" s="11">
        <f t="shared" si="5"/>
        <v>6568.2652030501195</v>
      </c>
    </row>
    <row r="41" spans="2:17" x14ac:dyDescent="0.3">
      <c r="B41" s="10">
        <v>43915</v>
      </c>
      <c r="C41" s="4">
        <v>35</v>
      </c>
      <c r="D41" s="4">
        <f>'dpc-covid-19-ita-andamento-naz'!L32</f>
        <v>74386</v>
      </c>
      <c r="E41" s="11">
        <f t="shared" si="0"/>
        <v>73352.339661427744</v>
      </c>
      <c r="F41" s="11">
        <f t="shared" si="6"/>
        <v>76459.807132213129</v>
      </c>
      <c r="G41" s="11">
        <f t="shared" si="7"/>
        <v>70244.87219064236</v>
      </c>
      <c r="H41" s="4">
        <f>'dpc-covid-19-ita-andamento-naz'!K32</f>
        <v>7503</v>
      </c>
      <c r="I41" s="11">
        <f t="shared" si="3"/>
        <v>7621.1542711854763</v>
      </c>
      <c r="J41" s="11">
        <f t="shared" si="4"/>
        <v>7887.3298949448563</v>
      </c>
      <c r="K41" s="11">
        <f t="shared" si="5"/>
        <v>7354.9786474260964</v>
      </c>
    </row>
    <row r="42" spans="2:17" x14ac:dyDescent="0.3">
      <c r="B42" s="10">
        <v>43916</v>
      </c>
      <c r="C42" s="4">
        <v>36</v>
      </c>
      <c r="D42" s="4">
        <f>'dpc-covid-19-ita-andamento-naz'!L33</f>
        <v>80539</v>
      </c>
      <c r="E42" s="11">
        <f t="shared" si="0"/>
        <v>79460.107387301949</v>
      </c>
      <c r="F42" s="11">
        <f t="shared" si="6"/>
        <v>82567.574858087333</v>
      </c>
      <c r="G42" s="11">
        <f t="shared" si="7"/>
        <v>76352.639916516564</v>
      </c>
      <c r="H42" s="4">
        <f>'dpc-covid-19-ita-andamento-naz'!K33</f>
        <v>8165</v>
      </c>
      <c r="I42" s="11">
        <f t="shared" si="3"/>
        <v>8439.2619653624515</v>
      </c>
      <c r="J42" s="11">
        <f t="shared" si="4"/>
        <v>8705.4375891218315</v>
      </c>
      <c r="K42" s="11">
        <f t="shared" si="5"/>
        <v>8173.0863416030716</v>
      </c>
    </row>
    <row r="43" spans="2:17" x14ac:dyDescent="0.3">
      <c r="B43" s="10">
        <v>43917</v>
      </c>
      <c r="C43" s="4">
        <v>37</v>
      </c>
      <c r="D43" s="4">
        <f>'dpc-covid-19-ita-andamento-naz'!L34</f>
        <v>86498</v>
      </c>
      <c r="E43" s="11">
        <f t="shared" ref="E43:E70" si="8">K*EXP(-EXP(-($C43-t0)/w))</f>
        <v>85731.016974542887</v>
      </c>
      <c r="F43" s="11">
        <f t="shared" si="6"/>
        <v>88838.484445328271</v>
      </c>
      <c r="G43" s="11">
        <f t="shared" si="7"/>
        <v>82623.549503757502</v>
      </c>
      <c r="H43" s="4">
        <f>'dpc-covid-19-ita-andamento-naz'!K34</f>
        <v>9134</v>
      </c>
      <c r="I43" s="11">
        <f t="shared" ref="I43:I70" si="9">Kh*EXP(-EXP(-($C43-t0h)/wh))</f>
        <v>9284.2896038533527</v>
      </c>
      <c r="J43" s="11">
        <f t="shared" si="4"/>
        <v>9550.4652276127326</v>
      </c>
      <c r="K43" s="11">
        <f t="shared" si="5"/>
        <v>9018.1139800939727</v>
      </c>
    </row>
    <row r="44" spans="2:17" x14ac:dyDescent="0.3">
      <c r="B44" s="10">
        <v>43918</v>
      </c>
      <c r="C44" s="4">
        <v>38</v>
      </c>
      <c r="D44" s="4">
        <f>'dpc-covid-19-ita-andamento-naz'!L35</f>
        <v>92472</v>
      </c>
      <c r="E44" s="11">
        <f t="shared" si="8"/>
        <v>92144.253074623892</v>
      </c>
      <c r="F44" s="11">
        <f t="shared" si="6"/>
        <v>95251.720545409276</v>
      </c>
      <c r="G44" s="11">
        <f t="shared" si="7"/>
        <v>89036.785603838507</v>
      </c>
      <c r="H44" s="4">
        <f>'dpc-covid-19-ita-andamento-naz'!K35</f>
        <v>10023</v>
      </c>
      <c r="I44" s="11">
        <f t="shared" si="9"/>
        <v>10151.622421956312</v>
      </c>
      <c r="J44" s="11">
        <f t="shared" si="4"/>
        <v>10417.798045715692</v>
      </c>
      <c r="K44" s="11">
        <f t="shared" si="5"/>
        <v>9885.4467981969319</v>
      </c>
    </row>
    <row r="45" spans="2:17" x14ac:dyDescent="0.3">
      <c r="B45" s="10">
        <v>43919</v>
      </c>
      <c r="C45" s="4">
        <v>39</v>
      </c>
      <c r="D45" s="4">
        <f>'dpc-covid-19-ita-andamento-naz'!L36</f>
        <v>97689</v>
      </c>
      <c r="E45" s="11">
        <f t="shared" si="8"/>
        <v>98678.68840452045</v>
      </c>
      <c r="F45" s="11">
        <f t="shared" si="6"/>
        <v>101786.15587530583</v>
      </c>
      <c r="G45" s="11">
        <f t="shared" si="7"/>
        <v>95571.220933735065</v>
      </c>
      <c r="H45" s="4">
        <f>'dpc-covid-19-ita-andamento-naz'!K36</f>
        <v>10779</v>
      </c>
      <c r="I45" s="11">
        <f t="shared" si="9"/>
        <v>11036.597312683582</v>
      </c>
      <c r="J45" s="11">
        <f>I45+CIh</f>
        <v>11302.772936442962</v>
      </c>
      <c r="K45" s="11">
        <f>MAX(I45-CIh,0)</f>
        <v>10770.421688924202</v>
      </c>
    </row>
    <row r="46" spans="2:17" x14ac:dyDescent="0.3">
      <c r="B46" s="10">
        <v>43920</v>
      </c>
      <c r="C46" s="4">
        <v>40</v>
      </c>
      <c r="D46" s="4">
        <f>'dpc-covid-19-ita-andamento-naz'!L37</f>
        <v>101739</v>
      </c>
      <c r="E46" s="11">
        <f t="shared" si="8"/>
        <v>105313.12788968276</v>
      </c>
      <c r="F46" s="11">
        <f t="shared" si="6"/>
        <v>108420.59536046814</v>
      </c>
      <c r="G46" s="11">
        <f t="shared" si="7"/>
        <v>102205.66041889737</v>
      </c>
      <c r="H46" s="4">
        <f>'dpc-covid-19-ita-andamento-naz'!K37</f>
        <v>11591</v>
      </c>
      <c r="I46" s="11">
        <f t="shared" si="9"/>
        <v>11934.586360413427</v>
      </c>
      <c r="J46" s="11">
        <f>I46+CIh</f>
        <v>12200.761984172806</v>
      </c>
      <c r="K46" s="11">
        <f>MAX(I46-CIh,0)</f>
        <v>11668.410736654047</v>
      </c>
    </row>
    <row r="47" spans="2:17" x14ac:dyDescent="0.3">
      <c r="B47" s="10">
        <v>43921</v>
      </c>
      <c r="C47" s="4">
        <v>41</v>
      </c>
      <c r="D47" s="4">
        <f>'dpc-covid-19-ita-andamento-naz'!L38</f>
        <v>105792</v>
      </c>
      <c r="E47" s="11">
        <f t="shared" si="8"/>
        <v>112026.53309482025</v>
      </c>
      <c r="F47" s="11">
        <f t="shared" si="6"/>
        <v>115134.00056560563</v>
      </c>
      <c r="G47" s="11">
        <f t="shared" si="7"/>
        <v>108919.06562403486</v>
      </c>
      <c r="H47" s="4">
        <f>'dpc-covid-19-ita-andamento-naz'!K38</f>
        <v>12428</v>
      </c>
      <c r="I47" s="11">
        <f t="shared" si="9"/>
        <v>12841.070343850683</v>
      </c>
      <c r="J47" s="11">
        <f>I47+CIh</f>
        <v>13107.245967610063</v>
      </c>
      <c r="K47" s="11">
        <f>MAX(I47-CIh,0)</f>
        <v>12574.894720091303</v>
      </c>
    </row>
    <row r="48" spans="2:17" x14ac:dyDescent="0.3">
      <c r="B48" s="10">
        <v>43922</v>
      </c>
      <c r="C48" s="4">
        <v>42</v>
      </c>
      <c r="E48" s="11">
        <f t="shared" si="8"/>
        <v>118798.22478280692</v>
      </c>
      <c r="F48" s="11"/>
      <c r="G48" s="11"/>
      <c r="H48" s="4"/>
      <c r="I48" s="11">
        <f t="shared" si="9"/>
        <v>13751.701390429685</v>
      </c>
      <c r="J48" s="11"/>
      <c r="K48" s="11"/>
    </row>
    <row r="49" spans="2:11" x14ac:dyDescent="0.3">
      <c r="B49" s="10">
        <v>43923</v>
      </c>
      <c r="C49" s="4">
        <v>43</v>
      </c>
      <c r="E49" s="11">
        <f t="shared" si="8"/>
        <v>125608.06225164823</v>
      </c>
      <c r="F49" s="11"/>
      <c r="G49" s="11"/>
      <c r="H49" s="4"/>
      <c r="I49" s="11">
        <f t="shared" si="9"/>
        <v>14662.354508893131</v>
      </c>
      <c r="J49" s="11"/>
      <c r="K49" s="11"/>
    </row>
    <row r="50" spans="2:11" x14ac:dyDescent="0.3">
      <c r="B50" s="10">
        <v>43924</v>
      </c>
      <c r="C50" s="4">
        <v>44</v>
      </c>
      <c r="E50" s="11">
        <f t="shared" si="8"/>
        <v>132436.59882171924</v>
      </c>
      <c r="F50" s="11"/>
      <c r="G50" s="11"/>
      <c r="H50" s="4"/>
      <c r="I50" s="11">
        <f t="shared" si="9"/>
        <v>15569.168176015943</v>
      </c>
      <c r="J50" s="11"/>
      <c r="K50" s="11"/>
    </row>
    <row r="51" spans="2:11" x14ac:dyDescent="0.3">
      <c r="B51" s="10">
        <v>43925</v>
      </c>
      <c r="C51" s="4">
        <v>45</v>
      </c>
      <c r="E51" s="11">
        <f t="shared" si="8"/>
        <v>139265.21347161548</v>
      </c>
      <c r="F51" s="11"/>
      <c r="G51" s="11"/>
      <c r="H51" s="4"/>
      <c r="I51" s="11">
        <f t="shared" si="9"/>
        <v>16468.574505300079</v>
      </c>
      <c r="J51" s="11"/>
      <c r="K51" s="11"/>
    </row>
    <row r="52" spans="2:11" x14ac:dyDescent="0.3">
      <c r="B52" s="10">
        <v>43926</v>
      </c>
      <c r="C52" s="4">
        <v>46</v>
      </c>
      <c r="E52" s="11">
        <f t="shared" si="8"/>
        <v>146076.219147614</v>
      </c>
      <c r="F52" s="11"/>
      <c r="G52" s="11"/>
      <c r="H52" s="4"/>
      <c r="I52" s="11">
        <f t="shared" si="9"/>
        <v>17357.319784207102</v>
      </c>
      <c r="J52" s="11"/>
      <c r="K52" s="11"/>
    </row>
    <row r="53" spans="2:11" x14ac:dyDescent="0.3">
      <c r="B53" s="10">
        <v>43927</v>
      </c>
      <c r="C53" s="4">
        <v>47</v>
      </c>
      <c r="E53" s="11">
        <f t="shared" si="8"/>
        <v>152852.94870001118</v>
      </c>
      <c r="F53" s="11"/>
      <c r="G53" s="11"/>
      <c r="H53" s="4"/>
      <c r="I53" s="11">
        <f t="shared" si="9"/>
        <v>18232.476340671736</v>
      </c>
      <c r="J53" s="11"/>
      <c r="K53" s="11"/>
    </row>
    <row r="54" spans="2:11" x14ac:dyDescent="0.3">
      <c r="B54" s="10">
        <v>43928</v>
      </c>
      <c r="C54" s="4">
        <v>48</v>
      </c>
      <c r="E54" s="11">
        <f t="shared" si="8"/>
        <v>159579.81973395805</v>
      </c>
      <c r="F54" s="11"/>
      <c r="G54" s="11"/>
      <c r="H54" s="4"/>
      <c r="I54" s="11">
        <f t="shared" si="9"/>
        <v>19091.446800371632</v>
      </c>
      <c r="J54" s="11"/>
      <c r="K54" s="11"/>
    </row>
    <row r="55" spans="2:11" x14ac:dyDescent="0.3">
      <c r="B55" s="10">
        <v>43929</v>
      </c>
      <c r="C55" s="4">
        <v>49</v>
      </c>
      <c r="E55" s="11">
        <f t="shared" si="8"/>
        <v>166242.37990980936</v>
      </c>
      <c r="F55" s="11"/>
      <c r="G55" s="11"/>
      <c r="H55" s="4"/>
      <c r="I55" s="11">
        <f t="shared" si="9"/>
        <v>19931.961835800488</v>
      </c>
      <c r="J55" s="11"/>
      <c r="K55" s="11"/>
    </row>
    <row r="56" spans="2:11" x14ac:dyDescent="0.3">
      <c r="B56" s="10">
        <v>43930</v>
      </c>
      <c r="C56" s="4">
        <v>50</v>
      </c>
      <c r="E56" s="11">
        <f t="shared" si="8"/>
        <v>172827.33439703021</v>
      </c>
      <c r="F56" s="11"/>
      <c r="G56" s="11"/>
      <c r="H56" s="4"/>
      <c r="I56" s="11">
        <f t="shared" si="9"/>
        <v>20752.072498985974</v>
      </c>
      <c r="J56" s="11"/>
      <c r="K56" s="11"/>
    </row>
    <row r="57" spans="2:11" x14ac:dyDescent="0.3">
      <c r="B57" s="10">
        <v>43931</v>
      </c>
      <c r="C57" s="4">
        <v>51</v>
      </c>
      <c r="E57" s="11">
        <f t="shared" si="8"/>
        <v>179322.55728589624</v>
      </c>
      <c r="F57" s="11"/>
      <c r="G57" s="11"/>
      <c r="H57" s="4"/>
      <c r="I57" s="11">
        <f t="shared" si="9"/>
        <v>21550.138183428102</v>
      </c>
      <c r="J57" s="11"/>
      <c r="K57" s="11"/>
    </row>
    <row r="58" spans="2:11" x14ac:dyDescent="0.3">
      <c r="B58" s="10">
        <v>43932</v>
      </c>
      <c r="C58" s="4">
        <v>52</v>
      </c>
      <c r="E58" s="11">
        <f t="shared" si="8"/>
        <v>185717.08880247085</v>
      </c>
      <c r="F58" s="11"/>
      <c r="G58" s="11"/>
      <c r="H58" s="4"/>
      <c r="I58" s="11">
        <f t="shared" si="9"/>
        <v>22324.811188072366</v>
      </c>
      <c r="J58" s="11"/>
      <c r="K58" s="11"/>
    </row>
    <row r="59" spans="2:11" x14ac:dyDescent="0.3">
      <c r="B59" s="10">
        <v>43933</v>
      </c>
      <c r="C59" s="4">
        <v>53</v>
      </c>
      <c r="E59" s="11">
        <f t="shared" si="8"/>
        <v>192001.12016444808</v>
      </c>
      <c r="F59" s="11"/>
      <c r="G59" s="11"/>
      <c r="H59" s="4"/>
      <c r="I59" s="11">
        <f t="shared" si="9"/>
        <v>23075.018766013818</v>
      </c>
      <c r="J59" s="11"/>
      <c r="K59" s="11"/>
    </row>
    <row r="60" spans="2:11" x14ac:dyDescent="0.3">
      <c r="B60" s="10">
        <v>43934</v>
      </c>
      <c r="C60" s="4">
        <v>54</v>
      </c>
      <c r="E60" s="11">
        <f t="shared" si="8"/>
        <v>198165.96786776627</v>
      </c>
      <c r="F60" s="11"/>
      <c r="G60" s="11"/>
      <c r="H60" s="4"/>
      <c r="I60" s="11">
        <f t="shared" si="9"/>
        <v>23799.943440764415</v>
      </c>
      <c r="J60" s="11"/>
      <c r="K60" s="11"/>
    </row>
    <row r="61" spans="2:11" x14ac:dyDescent="0.3">
      <c r="B61" s="10">
        <v>43935</v>
      </c>
      <c r="C61" s="4">
        <v>55</v>
      </c>
      <c r="E61" s="11">
        <f t="shared" si="8"/>
        <v>204204.03911511495</v>
      </c>
      <c r="F61" s="11"/>
      <c r="G61" s="11"/>
      <c r="H61" s="4"/>
      <c r="I61" s="11">
        <f t="shared" si="9"/>
        <v>24499.002269412344</v>
      </c>
      <c r="J61" s="11"/>
      <c r="K61" s="11"/>
    </row>
    <row r="62" spans="2:11" x14ac:dyDescent="0.3">
      <c r="B62" s="10">
        <v>43936</v>
      </c>
      <c r="C62" s="4">
        <v>56</v>
      </c>
      <c r="E62" s="11">
        <f t="shared" si="8"/>
        <v>210108.78999541386</v>
      </c>
      <c r="F62" s="11"/>
      <c r="G62" s="11"/>
      <c r="H62" s="4"/>
      <c r="I62" s="11">
        <f t="shared" si="9"/>
        <v>25171.825629560528</v>
      </c>
      <c r="J62" s="11"/>
      <c r="K62" s="11"/>
    </row>
    <row r="63" spans="2:11" x14ac:dyDescent="0.3">
      <c r="B63" s="10">
        <v>43937</v>
      </c>
      <c r="C63" s="4">
        <v>57</v>
      </c>
      <c r="E63" s="11">
        <f t="shared" si="8"/>
        <v>215874.67790497304</v>
      </c>
      <c r="F63" s="11"/>
      <c r="G63" s="11"/>
      <c r="H63" s="4"/>
      <c r="I63" s="11">
        <f t="shared" si="9"/>
        <v>25818.236009006188</v>
      </c>
      <c r="J63" s="11"/>
      <c r="K63" s="11"/>
    </row>
    <row r="64" spans="2:11" x14ac:dyDescent="0.3">
      <c r="B64" s="10">
        <v>43938</v>
      </c>
      <c r="C64" s="4">
        <v>58</v>
      </c>
      <c r="E64" s="11">
        <f t="shared" si="8"/>
        <v>221497.10957231498</v>
      </c>
      <c r="F64" s="11"/>
      <c r="G64" s="11"/>
      <c r="H64" s="4"/>
      <c r="I64" s="11">
        <f t="shared" si="9"/>
        <v>26438.227186095708</v>
      </c>
      <c r="J64" s="11"/>
      <c r="K64" s="11"/>
    </row>
    <row r="65" spans="2:11" x14ac:dyDescent="0.3">
      <c r="B65" s="10">
        <v>43939</v>
      </c>
      <c r="C65" s="4">
        <v>59</v>
      </c>
      <c r="E65" s="11">
        <f t="shared" si="8"/>
        <v>226972.38591459798</v>
      </c>
      <c r="F65" s="11"/>
      <c r="G65" s="11"/>
      <c r="H65" s="4"/>
      <c r="I65" s="11">
        <f t="shared" si="9"/>
        <v>27031.944106052415</v>
      </c>
      <c r="J65" s="11"/>
      <c r="K65" s="11"/>
    </row>
    <row r="66" spans="2:11" x14ac:dyDescent="0.3">
      <c r="B66" s="10">
        <v>43940</v>
      </c>
      <c r="C66" s="4">
        <v>60</v>
      </c>
      <c r="E66" s="11">
        <f t="shared" si="8"/>
        <v>232297.64481837538</v>
      </c>
      <c r="F66" s="11"/>
      <c r="G66" s="11"/>
      <c r="H66" s="4"/>
      <c r="I66" s="11">
        <f t="shared" si="9"/>
        <v>27599.663685111333</v>
      </c>
      <c r="J66" s="11"/>
      <c r="K66" s="11"/>
    </row>
    <row r="67" spans="2:11" x14ac:dyDescent="0.3">
      <c r="B67" s="10">
        <v>43941</v>
      </c>
      <c r="C67" s="4">
        <v>61</v>
      </c>
      <c r="E67" s="11">
        <f t="shared" si="8"/>
        <v>237470.80280438205</v>
      </c>
      <c r="F67" s="11"/>
      <c r="G67" s="11"/>
      <c r="H67" s="4"/>
      <c r="I67" s="11">
        <f t="shared" si="9"/>
        <v>28141.776710234251</v>
      </c>
      <c r="J67" s="11"/>
      <c r="K67" s="11"/>
    </row>
    <row r="68" spans="2:11" x14ac:dyDescent="0.3">
      <c r="B68" s="10">
        <v>43942</v>
      </c>
      <c r="C68" s="4">
        <v>62</v>
      </c>
      <c r="E68" s="11">
        <f t="shared" si="8"/>
        <v>242490.49640774386</v>
      </c>
      <c r="F68" s="11"/>
      <c r="G68" s="11"/>
      <c r="H68" s="4"/>
      <c r="I68" s="11">
        <f t="shared" si="9"/>
        <v>28658.770947341422</v>
      </c>
      <c r="J68" s="11"/>
      <c r="K68" s="11"/>
    </row>
    <row r="69" spans="2:11" x14ac:dyDescent="0.3">
      <c r="B69" s="10">
        <v>43943</v>
      </c>
      <c r="C69" s="4">
        <v>63</v>
      </c>
      <c r="E69" s="11">
        <f t="shared" si="8"/>
        <v>247356.02398338876</v>
      </c>
      <c r="F69" s="11"/>
      <c r="G69" s="11"/>
      <c r="H69" s="4"/>
      <c r="I69" s="11">
        <f t="shared" si="9"/>
        <v>29151.215524913328</v>
      </c>
      <c r="J69" s="11"/>
      <c r="K69" s="11"/>
    </row>
    <row r="70" spans="2:11" x14ac:dyDescent="0.3">
      <c r="B70" s="10">
        <v>43944</v>
      </c>
      <c r="C70" s="4">
        <v>64</v>
      </c>
      <c r="E70" s="11">
        <f t="shared" si="8"/>
        <v>252067.28853285572</v>
      </c>
      <c r="F70" s="11"/>
      <c r="G70" s="11"/>
      <c r="H70" s="4"/>
      <c r="I70" s="11">
        <f t="shared" si="9"/>
        <v>29619.746621826464</v>
      </c>
      <c r="J70" s="11"/>
      <c r="K70" s="1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V130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13</v>
      </c>
    </row>
    <row r="3" spans="2:22" ht="17.399999999999999" customHeight="1" x14ac:dyDescent="0.6">
      <c r="B3" s="12"/>
      <c r="S3" s="18" t="s">
        <v>0</v>
      </c>
      <c r="T3" s="17" t="s">
        <v>54</v>
      </c>
      <c r="U3" s="17"/>
      <c r="V3" s="17"/>
    </row>
    <row r="4" spans="2:22" ht="20.399999999999999" x14ac:dyDescent="0.35">
      <c r="B4" s="13" t="s">
        <v>14</v>
      </c>
      <c r="C4" s="14"/>
      <c r="S4" s="18" t="s">
        <v>26</v>
      </c>
      <c r="T4" s="17" t="s">
        <v>55</v>
      </c>
      <c r="U4" s="17"/>
      <c r="V4" s="17"/>
    </row>
    <row r="5" spans="2:22" ht="18" x14ac:dyDescent="0.35">
      <c r="B5" s="13" t="s">
        <v>53</v>
      </c>
      <c r="S5" s="18" t="s">
        <v>1</v>
      </c>
      <c r="T5" s="17" t="s">
        <v>56</v>
      </c>
      <c r="U5" s="17"/>
      <c r="V5" s="17"/>
    </row>
    <row r="6" spans="2:22" x14ac:dyDescent="0.3">
      <c r="B6" s="4" t="s">
        <v>10</v>
      </c>
      <c r="C6" s="4" t="s">
        <v>11</v>
      </c>
      <c r="D6" s="4" t="s">
        <v>29</v>
      </c>
      <c r="E6" s="4" t="s">
        <v>28</v>
      </c>
      <c r="F6" s="9" t="s">
        <v>61</v>
      </c>
      <c r="G6" s="9" t="s">
        <v>62</v>
      </c>
      <c r="H6" s="9" t="s">
        <v>8</v>
      </c>
      <c r="I6" s="9" t="s">
        <v>9</v>
      </c>
      <c r="J6" s="4" t="s">
        <v>63</v>
      </c>
      <c r="K6" s="4" t="s">
        <v>64</v>
      </c>
      <c r="L6" s="9" t="s">
        <v>65</v>
      </c>
      <c r="M6" s="9" t="s">
        <v>66</v>
      </c>
      <c r="N6" s="9" t="s">
        <v>67</v>
      </c>
      <c r="O6" s="9" t="s">
        <v>68</v>
      </c>
      <c r="P6" s="9"/>
      <c r="Q6" s="29" t="s">
        <v>50</v>
      </c>
      <c r="R6" s="3"/>
      <c r="S6" s="3"/>
    </row>
    <row r="7" spans="2:22" x14ac:dyDescent="0.3">
      <c r="B7" s="24">
        <v>43881</v>
      </c>
      <c r="C7" s="25">
        <v>1</v>
      </c>
      <c r="D7" s="26">
        <v>3</v>
      </c>
      <c r="E7" s="11">
        <f>D7-D7</f>
        <v>0</v>
      </c>
      <c r="F7" s="11">
        <f t="shared" ref="F7:F38" si="0">Kn*EXP(-EXP(-($C7-t0n)/wn))</f>
        <v>168.34717963608844</v>
      </c>
      <c r="G7" s="11">
        <f>F7-F7</f>
        <v>0</v>
      </c>
      <c r="H7" s="11">
        <f>G7+CIn</f>
        <v>1444.3314100791438</v>
      </c>
      <c r="I7" s="11">
        <f>MAX(G7-CIn,0)</f>
        <v>0</v>
      </c>
      <c r="J7" s="25">
        <v>0</v>
      </c>
      <c r="K7" s="11">
        <f>J7-J7</f>
        <v>0</v>
      </c>
      <c r="L7" s="11">
        <f t="shared" ref="L7:L38" si="1">Kd*EXP(-EXP(-($C7-t0d)/wd))</f>
        <v>0.15577209379752119</v>
      </c>
      <c r="M7" s="11">
        <f>L7-L7</f>
        <v>0</v>
      </c>
      <c r="N7" s="11">
        <f t="shared" ref="N7:N46" si="2">M7+CId</f>
        <v>126.32346028969525</v>
      </c>
      <c r="O7" s="11">
        <f t="shared" ref="O7:O46" si="3">MAX(M7-CId,0)</f>
        <v>0</v>
      </c>
      <c r="P7" s="9"/>
      <c r="Q7" s="19" t="s">
        <v>0</v>
      </c>
      <c r="R7" s="5">
        <v>356884</v>
      </c>
      <c r="S7" s="3"/>
    </row>
    <row r="8" spans="2:22" ht="15.6" x14ac:dyDescent="0.35">
      <c r="B8" s="24">
        <v>43882</v>
      </c>
      <c r="C8" s="25">
        <v>2</v>
      </c>
      <c r="D8" s="26">
        <v>20</v>
      </c>
      <c r="E8" s="4">
        <f>D8-D7</f>
        <v>17</v>
      </c>
      <c r="F8" s="11">
        <f t="shared" si="0"/>
        <v>239.89730238086833</v>
      </c>
      <c r="G8" s="11">
        <f>F8-F7</f>
        <v>71.550122744779884</v>
      </c>
      <c r="H8" s="11">
        <f>G8+CIn</f>
        <v>1515.8815328239236</v>
      </c>
      <c r="I8" s="11">
        <f>MAX(G8-CIn,0)</f>
        <v>0</v>
      </c>
      <c r="J8" s="25">
        <v>1</v>
      </c>
      <c r="K8" s="11">
        <f t="shared" ref="K8:K47" si="4">J8-J7</f>
        <v>1</v>
      </c>
      <c r="L8" s="11">
        <f t="shared" si="1"/>
        <v>0.3179347835383235</v>
      </c>
      <c r="M8" s="11">
        <f>L8-L7</f>
        <v>0.16216268974080231</v>
      </c>
      <c r="N8" s="11">
        <f t="shared" si="2"/>
        <v>126.48562297943604</v>
      </c>
      <c r="O8" s="11">
        <f t="shared" si="3"/>
        <v>0</v>
      </c>
      <c r="P8" s="9"/>
      <c r="Q8" s="19" t="s">
        <v>27</v>
      </c>
      <c r="R8" s="5">
        <v>44</v>
      </c>
      <c r="S8" s="3"/>
    </row>
    <row r="9" spans="2:22" x14ac:dyDescent="0.3">
      <c r="B9" s="24">
        <v>43883</v>
      </c>
      <c r="C9" s="25">
        <v>3</v>
      </c>
      <c r="D9" s="26">
        <v>62</v>
      </c>
      <c r="E9" s="4">
        <f>D9-D8</f>
        <v>42</v>
      </c>
      <c r="F9" s="11">
        <f t="shared" si="0"/>
        <v>336.30380975766218</v>
      </c>
      <c r="G9" s="11">
        <f>F9-F8</f>
        <v>96.406507376793854</v>
      </c>
      <c r="H9" s="11">
        <f>G9+CIn</f>
        <v>1540.7379174559376</v>
      </c>
      <c r="I9" s="11">
        <f>MAX(G9-CIn,0)</f>
        <v>0</v>
      </c>
      <c r="J9" s="25">
        <v>2</v>
      </c>
      <c r="K9" s="11">
        <f t="shared" si="4"/>
        <v>1</v>
      </c>
      <c r="L9" s="11">
        <f t="shared" si="1"/>
        <v>0.62302891581430409</v>
      </c>
      <c r="M9" s="11">
        <f>L9-L8</f>
        <v>0.30509413227598059</v>
      </c>
      <c r="N9" s="11">
        <f t="shared" si="2"/>
        <v>126.62855442197123</v>
      </c>
      <c r="O9" s="11">
        <f t="shared" si="3"/>
        <v>0</v>
      </c>
      <c r="P9" s="9"/>
      <c r="Q9" s="19" t="s">
        <v>1</v>
      </c>
      <c r="R9" s="22">
        <v>21.120886386334526</v>
      </c>
      <c r="S9" s="3"/>
    </row>
    <row r="10" spans="2:22" x14ac:dyDescent="0.3">
      <c r="B10" s="24">
        <v>43884</v>
      </c>
      <c r="C10" s="25">
        <v>4</v>
      </c>
      <c r="D10" s="26">
        <v>155</v>
      </c>
      <c r="E10" s="4">
        <f>D10-D9</f>
        <v>93</v>
      </c>
      <c r="F10" s="11">
        <f t="shared" si="0"/>
        <v>464.14539409638758</v>
      </c>
      <c r="G10" s="11">
        <f>F10-F9</f>
        <v>127.8415843387254</v>
      </c>
      <c r="H10" s="11">
        <f>G10+CIn</f>
        <v>1572.1729944178692</v>
      </c>
      <c r="I10" s="11">
        <f>MAX(G10-CIn,0)</f>
        <v>0</v>
      </c>
      <c r="J10" s="25">
        <v>3</v>
      </c>
      <c r="K10" s="11">
        <f t="shared" si="4"/>
        <v>1</v>
      </c>
      <c r="L10" s="11">
        <f t="shared" si="1"/>
        <v>1.174921243614601</v>
      </c>
      <c r="M10" s="11">
        <f>L10-L9</f>
        <v>0.55189232780029696</v>
      </c>
      <c r="N10" s="11">
        <f t="shared" si="2"/>
        <v>126.87535261749555</v>
      </c>
      <c r="O10" s="11">
        <f t="shared" si="3"/>
        <v>0</v>
      </c>
      <c r="P10" s="9"/>
      <c r="Q10" s="6" t="s">
        <v>2</v>
      </c>
      <c r="R10" s="1">
        <f>AVERAGE(E7:E47)</f>
        <v>2580.2195121951218</v>
      </c>
      <c r="S10" s="3"/>
    </row>
    <row r="11" spans="2:22" x14ac:dyDescent="0.3">
      <c r="B11" s="20">
        <v>43885</v>
      </c>
      <c r="C11" s="4">
        <v>5</v>
      </c>
      <c r="D11" s="4">
        <f>'dpc-covid-19-ita-andamento-naz'!L2</f>
        <v>229</v>
      </c>
      <c r="E11" s="4">
        <f>D11-D10</f>
        <v>74</v>
      </c>
      <c r="F11" s="11">
        <f t="shared" si="0"/>
        <v>631.11115914351024</v>
      </c>
      <c r="G11" s="11">
        <f>F11-F10</f>
        <v>166.96576504712266</v>
      </c>
      <c r="H11" s="11">
        <f t="shared" ref="H11:H44" si="5">G11+CIn</f>
        <v>1611.2971751262664</v>
      </c>
      <c r="I11" s="11">
        <f t="shared" ref="I11:I44" si="6">MAX(G11-CIn,0)</f>
        <v>0</v>
      </c>
      <c r="J11" s="11">
        <f>'dpc-covid-19-ita-andamento-naz'!K2</f>
        <v>7</v>
      </c>
      <c r="K11" s="11">
        <f t="shared" si="4"/>
        <v>4</v>
      </c>
      <c r="L11" s="11">
        <f t="shared" si="1"/>
        <v>2.1369323712031605</v>
      </c>
      <c r="M11" s="11">
        <f>L11-L10</f>
        <v>0.96201112758855944</v>
      </c>
      <c r="N11" s="11">
        <f t="shared" si="2"/>
        <v>127.2854714172838</v>
      </c>
      <c r="O11" s="11">
        <f t="shared" si="3"/>
        <v>0</v>
      </c>
      <c r="P11" s="1"/>
      <c r="Q11" s="6" t="s">
        <v>3</v>
      </c>
      <c r="R11" s="1">
        <f>COUNT(E7:E47)-COUNT(R7:R9)</f>
        <v>38</v>
      </c>
    </row>
    <row r="12" spans="2:22" x14ac:dyDescent="0.3">
      <c r="B12" s="10">
        <v>43886</v>
      </c>
      <c r="C12" s="4">
        <v>6</v>
      </c>
      <c r="D12" s="4">
        <f>'dpc-covid-19-ita-andamento-naz'!L3</f>
        <v>322</v>
      </c>
      <c r="E12" s="4">
        <f>D12-D11</f>
        <v>93</v>
      </c>
      <c r="F12" s="11">
        <f t="shared" si="0"/>
        <v>846.03132482598664</v>
      </c>
      <c r="G12" s="11">
        <f>F12-F11</f>
        <v>214.92016568247641</v>
      </c>
      <c r="H12" s="11">
        <f t="shared" si="5"/>
        <v>1659.2515757616202</v>
      </c>
      <c r="I12" s="11">
        <f t="shared" si="6"/>
        <v>0</v>
      </c>
      <c r="J12" s="11">
        <f>'dpc-covid-19-ita-andamento-naz'!K3</f>
        <v>10</v>
      </c>
      <c r="K12" s="11">
        <f t="shared" si="4"/>
        <v>3</v>
      </c>
      <c r="L12" s="11">
        <f t="shared" si="1"/>
        <v>3.7562205178124226</v>
      </c>
      <c r="M12" s="11">
        <f>L12-L11</f>
        <v>1.6192881466092621</v>
      </c>
      <c r="N12" s="11">
        <f t="shared" si="2"/>
        <v>127.94274843630451</v>
      </c>
      <c r="O12" s="11">
        <f t="shared" si="3"/>
        <v>0</v>
      </c>
      <c r="P12" s="1"/>
      <c r="Q12" s="6" t="s">
        <v>4</v>
      </c>
      <c r="R12" s="7" cm="1">
        <f t="array" ref="R12">SQRT(SUM((E7:E47-G7:G47)^2)/dfn)</f>
        <v>713.46353186876195</v>
      </c>
    </row>
    <row r="13" spans="2:22" ht="16.2" x14ac:dyDescent="0.3">
      <c r="B13" s="10">
        <v>43887</v>
      </c>
      <c r="C13" s="4">
        <v>7</v>
      </c>
      <c r="D13" s="4">
        <f>'dpc-covid-19-ita-andamento-naz'!L4</f>
        <v>400</v>
      </c>
      <c r="E13" s="4">
        <f t="shared" ref="E13:E47" si="7">D13-D12</f>
        <v>78</v>
      </c>
      <c r="F13" s="11">
        <f t="shared" si="0"/>
        <v>1118.8739800640758</v>
      </c>
      <c r="G13" s="11">
        <f t="shared" ref="G13:G76" si="8">F13-F12</f>
        <v>272.84265523808915</v>
      </c>
      <c r="H13" s="11">
        <f t="shared" si="5"/>
        <v>1717.1740653172328</v>
      </c>
      <c r="I13" s="11">
        <f t="shared" si="6"/>
        <v>0</v>
      </c>
      <c r="J13" s="11">
        <f>'dpc-covid-19-ita-andamento-naz'!K4</f>
        <v>12</v>
      </c>
      <c r="K13" s="11">
        <f t="shared" si="4"/>
        <v>2</v>
      </c>
      <c r="L13" s="11">
        <f t="shared" si="1"/>
        <v>6.3934505301879216</v>
      </c>
      <c r="M13" s="11">
        <f t="shared" ref="M13:M70" si="9">L13-L12</f>
        <v>2.637230012375499</v>
      </c>
      <c r="N13" s="11">
        <f t="shared" si="2"/>
        <v>128.96069030207076</v>
      </c>
      <c r="O13" s="11">
        <f t="shared" si="3"/>
        <v>0</v>
      </c>
      <c r="P13" s="1"/>
      <c r="Q13" s="6" t="s">
        <v>5</v>
      </c>
      <c r="R13" s="8" cm="1">
        <f t="array" ref="R13">1-SUM((E7:E47-G7:G47)^2)/SUM((E7:E47-Mean_of_yn)^2)</f>
        <v>0.9064525849883176</v>
      </c>
    </row>
    <row r="14" spans="2:22" x14ac:dyDescent="0.3">
      <c r="B14" s="10">
        <v>43888</v>
      </c>
      <c r="C14" s="4">
        <v>8</v>
      </c>
      <c r="D14" s="4">
        <f>'dpc-covid-19-ita-andamento-naz'!L5</f>
        <v>650</v>
      </c>
      <c r="E14" s="4">
        <f t="shared" si="7"/>
        <v>250</v>
      </c>
      <c r="F14" s="11">
        <f t="shared" si="0"/>
        <v>1460.7040462514774</v>
      </c>
      <c r="G14" s="11">
        <f t="shared" si="8"/>
        <v>341.8300661874016</v>
      </c>
      <c r="H14" s="11">
        <f t="shared" si="5"/>
        <v>1786.1614762665454</v>
      </c>
      <c r="I14" s="11">
        <f t="shared" si="6"/>
        <v>0</v>
      </c>
      <c r="J14" s="11">
        <f>'dpc-covid-19-ita-andamento-naz'!K5</f>
        <v>17</v>
      </c>
      <c r="K14" s="11">
        <f t="shared" si="4"/>
        <v>5</v>
      </c>
      <c r="L14" s="11">
        <f t="shared" si="1"/>
        <v>10.557008243756755</v>
      </c>
      <c r="M14" s="11">
        <f t="shared" si="9"/>
        <v>4.1635577135688333</v>
      </c>
      <c r="N14" s="11">
        <f t="shared" si="2"/>
        <v>130.48701800326407</v>
      </c>
      <c r="O14" s="11">
        <f t="shared" si="3"/>
        <v>0</v>
      </c>
      <c r="P14" s="1"/>
      <c r="Q14" s="6" t="s">
        <v>6</v>
      </c>
      <c r="R14" s="8">
        <f>TINV(0.05,dfn)</f>
        <v>2.0243941639119702</v>
      </c>
    </row>
    <row r="15" spans="2:22" x14ac:dyDescent="0.3">
      <c r="B15" s="10">
        <v>43889</v>
      </c>
      <c r="C15" s="4">
        <v>9</v>
      </c>
      <c r="D15" s="4">
        <f>'dpc-covid-19-ita-andamento-naz'!L6</f>
        <v>888</v>
      </c>
      <c r="E15" s="4">
        <f t="shared" si="7"/>
        <v>238</v>
      </c>
      <c r="F15" s="11">
        <f t="shared" si="0"/>
        <v>1883.6022967593394</v>
      </c>
      <c r="G15" s="11">
        <f t="shared" si="8"/>
        <v>422.89825050786203</v>
      </c>
      <c r="H15" s="11">
        <f t="shared" si="5"/>
        <v>1867.2296605870058</v>
      </c>
      <c r="I15" s="11">
        <f t="shared" si="6"/>
        <v>0</v>
      </c>
      <c r="J15" s="11">
        <f>'dpc-covid-19-ita-andamento-naz'!K6</f>
        <v>21</v>
      </c>
      <c r="K15" s="11">
        <f t="shared" si="4"/>
        <v>4</v>
      </c>
      <c r="L15" s="11">
        <f t="shared" si="1"/>
        <v>16.940243061511435</v>
      </c>
      <c r="M15" s="11">
        <f t="shared" si="9"/>
        <v>6.3832348177546798</v>
      </c>
      <c r="N15" s="11">
        <f t="shared" si="2"/>
        <v>132.70669510744992</v>
      </c>
      <c r="O15" s="11">
        <f t="shared" si="3"/>
        <v>0</v>
      </c>
      <c r="P15" s="1"/>
      <c r="Q15" s="6" t="s">
        <v>7</v>
      </c>
      <c r="R15" s="1">
        <f>Critical_tn*SE_of_yn</f>
        <v>1444.3314100791438</v>
      </c>
    </row>
    <row r="16" spans="2:22" x14ac:dyDescent="0.3">
      <c r="B16" s="10">
        <v>43890</v>
      </c>
      <c r="C16" s="4">
        <v>10</v>
      </c>
      <c r="D16" s="4">
        <f>'dpc-covid-19-ita-andamento-naz'!L7</f>
        <v>1128</v>
      </c>
      <c r="E16" s="4">
        <f t="shared" si="7"/>
        <v>240</v>
      </c>
      <c r="F16" s="11">
        <f t="shared" si="0"/>
        <v>2400.54416636512</v>
      </c>
      <c r="G16" s="11">
        <f t="shared" si="8"/>
        <v>516.94186960578054</v>
      </c>
      <c r="H16" s="11">
        <f t="shared" si="5"/>
        <v>1961.2732796849243</v>
      </c>
      <c r="I16" s="11">
        <f t="shared" si="6"/>
        <v>0</v>
      </c>
      <c r="J16" s="11">
        <f>'dpc-covid-19-ita-andamento-naz'!K7</f>
        <v>29</v>
      </c>
      <c r="K16" s="11">
        <f t="shared" si="4"/>
        <v>8</v>
      </c>
      <c r="L16" s="11">
        <f t="shared" si="1"/>
        <v>26.459439609967863</v>
      </c>
      <c r="M16" s="11">
        <f t="shared" si="9"/>
        <v>9.5191965484564278</v>
      </c>
      <c r="N16" s="11">
        <f t="shared" si="2"/>
        <v>135.84265683815167</v>
      </c>
      <c r="O16" s="11">
        <f t="shared" si="3"/>
        <v>0</v>
      </c>
      <c r="P16" s="1"/>
      <c r="Q16" s="29" t="s">
        <v>69</v>
      </c>
      <c r="R16" s="30">
        <f>Kn/(EXP(1)*wn)</f>
        <v>6216.1352550040456</v>
      </c>
    </row>
    <row r="17" spans="2:18" x14ac:dyDescent="0.3">
      <c r="B17" s="20">
        <v>43891</v>
      </c>
      <c r="C17" s="4">
        <v>11</v>
      </c>
      <c r="D17" s="4">
        <f>'dpc-covid-19-ita-andamento-naz'!L8</f>
        <v>1694</v>
      </c>
      <c r="E17" s="4">
        <f t="shared" si="7"/>
        <v>566</v>
      </c>
      <c r="F17" s="11">
        <f t="shared" si="0"/>
        <v>3025.2400457688873</v>
      </c>
      <c r="G17" s="11">
        <f t="shared" si="8"/>
        <v>624.69587940376732</v>
      </c>
      <c r="H17" s="11">
        <f t="shared" si="5"/>
        <v>2069.0272894829113</v>
      </c>
      <c r="I17" s="11">
        <f t="shared" si="6"/>
        <v>0</v>
      </c>
      <c r="J17" s="11">
        <f>'dpc-covid-19-ita-andamento-naz'!K8</f>
        <v>34</v>
      </c>
      <c r="K17" s="11">
        <f t="shared" si="4"/>
        <v>5</v>
      </c>
      <c r="L17" s="11">
        <f t="shared" si="1"/>
        <v>40.289550802233741</v>
      </c>
      <c r="M17" s="11">
        <f t="shared" si="9"/>
        <v>13.830111192265878</v>
      </c>
      <c r="N17" s="11">
        <f t="shared" si="2"/>
        <v>140.15357148196114</v>
      </c>
      <c r="O17" s="11">
        <f t="shared" si="3"/>
        <v>0</v>
      </c>
      <c r="P17" s="1"/>
      <c r="Q17" s="21" t="s">
        <v>57</v>
      </c>
      <c r="R17" s="3"/>
    </row>
    <row r="18" spans="2:18" x14ac:dyDescent="0.3">
      <c r="B18" s="10">
        <v>43892</v>
      </c>
      <c r="C18" s="4">
        <v>12</v>
      </c>
      <c r="D18" s="4">
        <f>'dpc-covid-19-ita-andamento-naz'!L9</f>
        <v>2036</v>
      </c>
      <c r="E18" s="4">
        <f t="shared" si="7"/>
        <v>342</v>
      </c>
      <c r="F18" s="11">
        <f t="shared" si="0"/>
        <v>3771.9406544839035</v>
      </c>
      <c r="G18" s="11">
        <f t="shared" si="8"/>
        <v>746.70060871501619</v>
      </c>
      <c r="H18" s="11">
        <f t="shared" si="5"/>
        <v>2191.0320187941597</v>
      </c>
      <c r="I18" s="11">
        <f t="shared" si="6"/>
        <v>0</v>
      </c>
      <c r="J18" s="11">
        <f>'dpc-covid-19-ita-andamento-naz'!K9</f>
        <v>52</v>
      </c>
      <c r="K18" s="11">
        <f t="shared" si="4"/>
        <v>18</v>
      </c>
      <c r="L18" s="11">
        <f t="shared" si="1"/>
        <v>59.894286383516778</v>
      </c>
      <c r="M18" s="11">
        <f t="shared" si="9"/>
        <v>19.604735581283038</v>
      </c>
      <c r="N18" s="11">
        <f t="shared" si="2"/>
        <v>145.9281958709783</v>
      </c>
      <c r="O18" s="11">
        <f t="shared" si="3"/>
        <v>0</v>
      </c>
      <c r="P18" s="1"/>
      <c r="Q18" s="19" t="s">
        <v>0</v>
      </c>
      <c r="R18" s="5">
        <v>41999</v>
      </c>
    </row>
    <row r="19" spans="2:18" ht="15.6" x14ac:dyDescent="0.35">
      <c r="B19" s="10">
        <v>43893</v>
      </c>
      <c r="C19" s="4">
        <v>13</v>
      </c>
      <c r="D19" s="4">
        <f>'dpc-covid-19-ita-andamento-naz'!L10</f>
        <v>2502</v>
      </c>
      <c r="E19" s="4">
        <f t="shared" si="7"/>
        <v>466</v>
      </c>
      <c r="F19" s="11">
        <f t="shared" si="0"/>
        <v>4655.2127941769422</v>
      </c>
      <c r="G19" s="11">
        <f t="shared" si="8"/>
        <v>883.27213969303875</v>
      </c>
      <c r="H19" s="11">
        <f t="shared" si="5"/>
        <v>2327.6035497721823</v>
      </c>
      <c r="I19" s="11">
        <f t="shared" si="6"/>
        <v>0</v>
      </c>
      <c r="J19" s="11">
        <f>'dpc-covid-19-ita-andamento-naz'!K10</f>
        <v>79</v>
      </c>
      <c r="K19" s="11">
        <f t="shared" si="4"/>
        <v>27</v>
      </c>
      <c r="L19" s="11">
        <f t="shared" si="1"/>
        <v>87.047036453784955</v>
      </c>
      <c r="M19" s="11">
        <f t="shared" si="9"/>
        <v>27.152750070268176</v>
      </c>
      <c r="N19" s="11">
        <f t="shared" si="2"/>
        <v>153.47621035996343</v>
      </c>
      <c r="O19" s="11">
        <f t="shared" si="3"/>
        <v>0</v>
      </c>
      <c r="P19" s="1"/>
      <c r="Q19" s="19" t="s">
        <v>27</v>
      </c>
      <c r="R19" s="5">
        <v>44</v>
      </c>
    </row>
    <row r="20" spans="2:18" x14ac:dyDescent="0.3">
      <c r="B20" s="10">
        <v>43894</v>
      </c>
      <c r="C20" s="4">
        <v>14</v>
      </c>
      <c r="D20" s="4">
        <f>'dpc-covid-19-ita-andamento-naz'!L11</f>
        <v>3089</v>
      </c>
      <c r="E20" s="4">
        <f t="shared" si="7"/>
        <v>587</v>
      </c>
      <c r="F20" s="11">
        <f t="shared" si="0"/>
        <v>5689.6921978688479</v>
      </c>
      <c r="G20" s="11">
        <f t="shared" si="8"/>
        <v>1034.4794036919056</v>
      </c>
      <c r="H20" s="11">
        <f t="shared" si="5"/>
        <v>2478.8108137710497</v>
      </c>
      <c r="I20" s="11">
        <f t="shared" si="6"/>
        <v>0</v>
      </c>
      <c r="J20" s="11">
        <f>'dpc-covid-19-ita-andamento-naz'!K11</f>
        <v>107</v>
      </c>
      <c r="K20" s="11">
        <f t="shared" si="4"/>
        <v>28</v>
      </c>
      <c r="L20" s="11">
        <f t="shared" si="1"/>
        <v>123.83937031217837</v>
      </c>
      <c r="M20" s="11">
        <f t="shared" si="9"/>
        <v>36.79233385839342</v>
      </c>
      <c r="N20" s="11">
        <f t="shared" si="2"/>
        <v>163.11579414808867</v>
      </c>
      <c r="O20" s="11">
        <f t="shared" si="3"/>
        <v>0</v>
      </c>
      <c r="P20" s="1"/>
      <c r="Q20" s="19" t="s">
        <v>1</v>
      </c>
      <c r="R20" s="22">
        <v>17.022222893758595</v>
      </c>
    </row>
    <row r="21" spans="2:18" x14ac:dyDescent="0.3">
      <c r="B21" s="20">
        <v>43895</v>
      </c>
      <c r="C21" s="4">
        <v>15</v>
      </c>
      <c r="D21" s="4">
        <f>'dpc-covid-19-ita-andamento-naz'!L12</f>
        <v>3858</v>
      </c>
      <c r="E21" s="4">
        <f t="shared" si="7"/>
        <v>769</v>
      </c>
      <c r="F21" s="11">
        <f t="shared" si="0"/>
        <v>6889.8212297662494</v>
      </c>
      <c r="G21" s="11">
        <f t="shared" si="8"/>
        <v>1200.1290318974015</v>
      </c>
      <c r="H21" s="11">
        <f t="shared" si="5"/>
        <v>2644.4604419765456</v>
      </c>
      <c r="I21" s="11">
        <f t="shared" si="6"/>
        <v>0</v>
      </c>
      <c r="J21" s="11">
        <f>'dpc-covid-19-ita-andamento-naz'!K12</f>
        <v>148</v>
      </c>
      <c r="K21" s="11">
        <f t="shared" si="4"/>
        <v>41</v>
      </c>
      <c r="L21" s="11">
        <f t="shared" si="1"/>
        <v>172.67448678989564</v>
      </c>
      <c r="M21" s="11">
        <f t="shared" si="9"/>
        <v>48.835116477717264</v>
      </c>
      <c r="N21" s="11">
        <f t="shared" si="2"/>
        <v>175.15857676741251</v>
      </c>
      <c r="O21" s="11">
        <f t="shared" si="3"/>
        <v>0</v>
      </c>
      <c r="P21" s="1"/>
      <c r="Q21" s="2" t="s">
        <v>2</v>
      </c>
      <c r="R21" s="1">
        <f>AVERAGE(K_start:K_end)</f>
        <v>303.1219512195122</v>
      </c>
    </row>
    <row r="22" spans="2:18" x14ac:dyDescent="0.3">
      <c r="B22" s="10">
        <v>43896</v>
      </c>
      <c r="C22" s="4">
        <v>16</v>
      </c>
      <c r="D22" s="4">
        <f>'dpc-covid-19-ita-andamento-naz'!L13</f>
        <v>4636</v>
      </c>
      <c r="E22" s="4">
        <f t="shared" si="7"/>
        <v>778</v>
      </c>
      <c r="F22" s="11">
        <f t="shared" si="0"/>
        <v>8269.5798091132692</v>
      </c>
      <c r="G22" s="11">
        <f t="shared" si="8"/>
        <v>1379.7585793470198</v>
      </c>
      <c r="H22" s="11">
        <f t="shared" si="5"/>
        <v>2824.0899894261638</v>
      </c>
      <c r="I22" s="11">
        <f t="shared" si="6"/>
        <v>0</v>
      </c>
      <c r="J22" s="11">
        <f>'dpc-covid-19-ita-andamento-naz'!K13</f>
        <v>197</v>
      </c>
      <c r="K22" s="11">
        <f t="shared" si="4"/>
        <v>49</v>
      </c>
      <c r="L22" s="11">
        <f t="shared" si="1"/>
        <v>236.24394950636261</v>
      </c>
      <c r="M22" s="11">
        <f t="shared" si="9"/>
        <v>63.569462716466973</v>
      </c>
      <c r="N22" s="11">
        <f t="shared" si="2"/>
        <v>189.89292300616222</v>
      </c>
      <c r="O22" s="11">
        <f t="shared" si="3"/>
        <v>0</v>
      </c>
      <c r="P22" s="1"/>
      <c r="Q22" s="2" t="s">
        <v>3</v>
      </c>
      <c r="R22" s="1">
        <f>COUNT(K_start:K_end)-COUNT(R18:R20)</f>
        <v>38</v>
      </c>
    </row>
    <row r="23" spans="2:18" x14ac:dyDescent="0.3">
      <c r="B23" s="10">
        <v>43897</v>
      </c>
      <c r="C23" s="4">
        <v>17</v>
      </c>
      <c r="D23" s="4">
        <f>'dpc-covid-19-ita-andamento-naz'!L14</f>
        <v>5883</v>
      </c>
      <c r="E23" s="4">
        <f t="shared" si="7"/>
        <v>1247</v>
      </c>
      <c r="F23" s="11">
        <f t="shared" si="0"/>
        <v>9842.2181151206769</v>
      </c>
      <c r="G23" s="11">
        <f t="shared" si="8"/>
        <v>1572.6383060074077</v>
      </c>
      <c r="H23" s="11">
        <f t="shared" si="5"/>
        <v>3016.9697160865517</v>
      </c>
      <c r="I23" s="11">
        <f t="shared" si="6"/>
        <v>128.30689592826388</v>
      </c>
      <c r="J23" s="11">
        <f>'dpc-covid-19-ita-andamento-naz'!K14</f>
        <v>233</v>
      </c>
      <c r="K23" s="11">
        <f t="shared" si="4"/>
        <v>36</v>
      </c>
      <c r="L23" s="11">
        <f t="shared" si="1"/>
        <v>317.48722120605208</v>
      </c>
      <c r="M23" s="11">
        <f t="shared" si="9"/>
        <v>81.243271699689473</v>
      </c>
      <c r="N23" s="11">
        <f t="shared" si="2"/>
        <v>207.56673198938472</v>
      </c>
      <c r="O23" s="11">
        <f t="shared" si="3"/>
        <v>0</v>
      </c>
      <c r="P23" s="1"/>
      <c r="Q23" s="2" t="s">
        <v>4</v>
      </c>
      <c r="R23" s="7" cm="1">
        <f t="array" ref="R23">SQRT(SUM((K_start:K_end-M_start:M_end)^2)/dfd)</f>
        <v>62.400624612346178</v>
      </c>
    </row>
    <row r="24" spans="2:18" ht="16.2" x14ac:dyDescent="0.3">
      <c r="B24" s="20">
        <v>43898</v>
      </c>
      <c r="C24" s="4">
        <v>18</v>
      </c>
      <c r="D24" s="4">
        <f>'dpc-covid-19-ita-andamento-naz'!L15</f>
        <v>7375</v>
      </c>
      <c r="E24" s="4">
        <f t="shared" si="7"/>
        <v>1492</v>
      </c>
      <c r="F24" s="11">
        <f t="shared" si="0"/>
        <v>11619.999394935365</v>
      </c>
      <c r="G24" s="11">
        <f t="shared" si="8"/>
        <v>1777.7812798146879</v>
      </c>
      <c r="H24" s="11">
        <f t="shared" si="5"/>
        <v>3222.1126898938319</v>
      </c>
      <c r="I24" s="11">
        <f t="shared" si="6"/>
        <v>333.4498697355441</v>
      </c>
      <c r="J24" s="11">
        <f>'dpc-covid-19-ita-andamento-naz'!K15</f>
        <v>366</v>
      </c>
      <c r="K24" s="11">
        <f t="shared" si="4"/>
        <v>133</v>
      </c>
      <c r="L24" s="11">
        <f t="shared" si="1"/>
        <v>419.53478884223534</v>
      </c>
      <c r="M24" s="11">
        <f t="shared" si="9"/>
        <v>102.04756763618326</v>
      </c>
      <c r="N24" s="11">
        <f t="shared" si="2"/>
        <v>228.37102792587851</v>
      </c>
      <c r="O24" s="11">
        <f t="shared" si="3"/>
        <v>0</v>
      </c>
      <c r="P24" s="1"/>
      <c r="Q24" s="2" t="s">
        <v>5</v>
      </c>
      <c r="R24" s="8" cm="1">
        <f t="array" ref="R24">1-SUM((K_start:K_end-M_start:M_end)^2)/SUM((K_start:K_end-Mean_of_yd)^2)</f>
        <v>0.96452899002361514</v>
      </c>
    </row>
    <row r="25" spans="2:18" x14ac:dyDescent="0.3">
      <c r="B25" s="10">
        <v>43899</v>
      </c>
      <c r="C25" s="4">
        <v>19</v>
      </c>
      <c r="D25" s="4">
        <f>'dpc-covid-19-ita-andamento-naz'!L16</f>
        <v>9172</v>
      </c>
      <c r="E25" s="4">
        <f t="shared" si="7"/>
        <v>1797</v>
      </c>
      <c r="F25" s="11">
        <f t="shared" si="0"/>
        <v>13613.960584828968</v>
      </c>
      <c r="G25" s="11">
        <f t="shared" si="8"/>
        <v>1993.9611898936037</v>
      </c>
      <c r="H25" s="11">
        <f t="shared" si="5"/>
        <v>3438.2925999727477</v>
      </c>
      <c r="I25" s="11">
        <f t="shared" si="6"/>
        <v>549.62977981445988</v>
      </c>
      <c r="J25" s="11">
        <f>'dpc-covid-19-ita-andamento-naz'!K16</f>
        <v>463</v>
      </c>
      <c r="K25" s="11">
        <f t="shared" si="4"/>
        <v>97</v>
      </c>
      <c r="L25" s="11">
        <f t="shared" si="1"/>
        <v>545.6369094811198</v>
      </c>
      <c r="M25" s="11">
        <f t="shared" si="9"/>
        <v>126.10212063888446</v>
      </c>
      <c r="N25" s="11">
        <f t="shared" si="2"/>
        <v>252.42558092857971</v>
      </c>
      <c r="O25" s="11">
        <f t="shared" si="3"/>
        <v>0</v>
      </c>
      <c r="P25" s="1"/>
      <c r="Q25" s="2" t="s">
        <v>6</v>
      </c>
      <c r="R25" s="8">
        <f>TINV(0.05,dfd)</f>
        <v>2.0243941639119702</v>
      </c>
    </row>
    <row r="26" spans="2:18" x14ac:dyDescent="0.3">
      <c r="B26" s="20">
        <v>43900</v>
      </c>
      <c r="C26" s="4">
        <v>20</v>
      </c>
      <c r="D26" s="4">
        <f>'dpc-covid-19-ita-andamento-naz'!L17</f>
        <v>10149</v>
      </c>
      <c r="E26" s="4">
        <f t="shared" si="7"/>
        <v>977</v>
      </c>
      <c r="F26" s="11">
        <f t="shared" si="0"/>
        <v>15833.69752821353</v>
      </c>
      <c r="G26" s="11">
        <f t="shared" si="8"/>
        <v>2219.7369433845615</v>
      </c>
      <c r="H26" s="11">
        <f t="shared" si="5"/>
        <v>3664.0683534637055</v>
      </c>
      <c r="I26" s="11">
        <f t="shared" si="6"/>
        <v>775.40553330541775</v>
      </c>
      <c r="J26" s="11">
        <f>'dpc-covid-19-ita-andamento-naz'!K17</f>
        <v>631</v>
      </c>
      <c r="K26" s="11">
        <f t="shared" si="4"/>
        <v>168</v>
      </c>
      <c r="L26" s="11">
        <f t="shared" si="1"/>
        <v>699.08108060251891</v>
      </c>
      <c r="M26" s="11">
        <f t="shared" si="9"/>
        <v>153.44417112139911</v>
      </c>
      <c r="N26" s="11">
        <f t="shared" si="2"/>
        <v>279.76763141109438</v>
      </c>
      <c r="O26" s="11">
        <f t="shared" si="3"/>
        <v>27.12071083170386</v>
      </c>
      <c r="P26" s="1"/>
      <c r="Q26" s="2" t="s">
        <v>7</v>
      </c>
      <c r="R26" s="1">
        <f>Critical_td*SE_of_yd</f>
        <v>126.32346028969525</v>
      </c>
    </row>
    <row r="27" spans="2:18" x14ac:dyDescent="0.3">
      <c r="B27" s="10">
        <v>43901</v>
      </c>
      <c r="C27" s="4">
        <v>21</v>
      </c>
      <c r="D27" s="4">
        <f>'dpc-covid-19-ita-andamento-naz'!L18</f>
        <v>12462</v>
      </c>
      <c r="E27" s="4">
        <f t="shared" si="7"/>
        <v>2313</v>
      </c>
      <c r="F27" s="11">
        <f t="shared" si="0"/>
        <v>18287.180407642405</v>
      </c>
      <c r="G27" s="11">
        <f t="shared" si="8"/>
        <v>2453.4828794288751</v>
      </c>
      <c r="H27" s="11">
        <f t="shared" si="5"/>
        <v>3897.8142895080191</v>
      </c>
      <c r="I27" s="11">
        <f t="shared" si="6"/>
        <v>1009.1514693497313</v>
      </c>
      <c r="J27" s="11">
        <f>'dpc-covid-19-ita-andamento-naz'!K18</f>
        <v>827</v>
      </c>
      <c r="K27" s="11">
        <f t="shared" si="4"/>
        <v>196</v>
      </c>
      <c r="L27" s="11">
        <f t="shared" si="1"/>
        <v>883.10214713853202</v>
      </c>
      <c r="M27" s="11">
        <f t="shared" si="9"/>
        <v>184.02106653601311</v>
      </c>
      <c r="N27" s="11">
        <f t="shared" si="2"/>
        <v>310.34452682570839</v>
      </c>
      <c r="O27" s="11">
        <f t="shared" si="3"/>
        <v>57.697606246317861</v>
      </c>
      <c r="P27" s="1"/>
      <c r="Q27" s="27" t="s">
        <v>69</v>
      </c>
      <c r="R27" s="28">
        <f>Kd/(EXP(1)*wd)</f>
        <v>907.67044622735762</v>
      </c>
    </row>
    <row r="28" spans="2:18" x14ac:dyDescent="0.3">
      <c r="B28" s="20">
        <v>43902</v>
      </c>
      <c r="C28" s="4">
        <v>22</v>
      </c>
      <c r="D28" s="4">
        <f>'dpc-covid-19-ita-andamento-naz'!L19</f>
        <v>15113</v>
      </c>
      <c r="E28" s="4">
        <f t="shared" si="7"/>
        <v>2651</v>
      </c>
      <c r="F28" s="11">
        <f t="shared" si="0"/>
        <v>20980.603682696645</v>
      </c>
      <c r="G28" s="11">
        <f t="shared" si="8"/>
        <v>2693.4232750542396</v>
      </c>
      <c r="H28" s="11">
        <f t="shared" si="5"/>
        <v>4137.7546851333836</v>
      </c>
      <c r="I28" s="11">
        <f t="shared" si="6"/>
        <v>1249.0918649750959</v>
      </c>
      <c r="J28" s="11">
        <f>'dpc-covid-19-ita-andamento-naz'!K19</f>
        <v>1016</v>
      </c>
      <c r="K28" s="11">
        <f t="shared" si="4"/>
        <v>189</v>
      </c>
      <c r="L28" s="11">
        <f t="shared" si="1"/>
        <v>1100.7894380743396</v>
      </c>
      <c r="M28" s="11">
        <f t="shared" si="9"/>
        <v>217.6872909358076</v>
      </c>
      <c r="N28" s="11">
        <f t="shared" si="2"/>
        <v>344.01075122550287</v>
      </c>
      <c r="O28" s="11">
        <f t="shared" si="3"/>
        <v>91.363830646112348</v>
      </c>
      <c r="P28" s="1"/>
      <c r="Q28" s="6"/>
    </row>
    <row r="29" spans="2:18" x14ac:dyDescent="0.3">
      <c r="B29" s="10">
        <v>43903</v>
      </c>
      <c r="C29" s="4">
        <v>23</v>
      </c>
      <c r="D29" s="4">
        <f>'dpc-covid-19-ita-andamento-naz'!L20</f>
        <v>17660</v>
      </c>
      <c r="E29" s="4">
        <f t="shared" si="7"/>
        <v>2547</v>
      </c>
      <c r="F29" s="11">
        <f t="shared" si="0"/>
        <v>23918.273422545801</v>
      </c>
      <c r="G29" s="11">
        <f t="shared" si="8"/>
        <v>2937.669739849156</v>
      </c>
      <c r="H29" s="11">
        <f t="shared" si="5"/>
        <v>4382.0011499283</v>
      </c>
      <c r="I29" s="11">
        <f t="shared" si="6"/>
        <v>1493.3383297700123</v>
      </c>
      <c r="J29" s="11">
        <f>'dpc-covid-19-ita-andamento-naz'!K20</f>
        <v>1266</v>
      </c>
      <c r="K29" s="11">
        <f t="shared" si="4"/>
        <v>250</v>
      </c>
      <c r="L29" s="11">
        <f t="shared" si="1"/>
        <v>1354.9954543162758</v>
      </c>
      <c r="M29" s="11">
        <f t="shared" si="9"/>
        <v>254.20601624193614</v>
      </c>
      <c r="N29" s="11">
        <f t="shared" si="2"/>
        <v>380.52947653163142</v>
      </c>
      <c r="O29" s="11">
        <f t="shared" si="3"/>
        <v>127.88255595224089</v>
      </c>
      <c r="P29" s="1"/>
    </row>
    <row r="30" spans="2:18" x14ac:dyDescent="0.3">
      <c r="B30" s="10">
        <v>43904</v>
      </c>
      <c r="C30" s="4">
        <v>24</v>
      </c>
      <c r="D30" s="4">
        <f>'dpc-covid-19-ita-andamento-naz'!L21</f>
        <v>21157</v>
      </c>
      <c r="E30" s="4">
        <f t="shared" si="7"/>
        <v>3497</v>
      </c>
      <c r="F30" s="11">
        <f t="shared" si="0"/>
        <v>27102.533516574356</v>
      </c>
      <c r="G30" s="11">
        <f t="shared" si="8"/>
        <v>3184.2600940285556</v>
      </c>
      <c r="H30" s="11">
        <f t="shared" si="5"/>
        <v>4628.5915041076996</v>
      </c>
      <c r="I30" s="11">
        <f t="shared" si="6"/>
        <v>1739.9286839494118</v>
      </c>
      <c r="J30" s="11">
        <f>'dpc-covid-19-ita-andamento-naz'!K21</f>
        <v>1441</v>
      </c>
      <c r="K30" s="11">
        <f t="shared" si="4"/>
        <v>175</v>
      </c>
      <c r="L30" s="11">
        <f t="shared" si="1"/>
        <v>1648.2504216975713</v>
      </c>
      <c r="M30" s="11">
        <f t="shared" si="9"/>
        <v>293.2549673812955</v>
      </c>
      <c r="N30" s="11">
        <f t="shared" si="2"/>
        <v>419.57842767099078</v>
      </c>
      <c r="O30" s="11">
        <f t="shared" si="3"/>
        <v>166.93150709160025</v>
      </c>
      <c r="P30" s="1"/>
    </row>
    <row r="31" spans="2:18" x14ac:dyDescent="0.3">
      <c r="B31" s="10">
        <v>43905</v>
      </c>
      <c r="C31" s="4">
        <v>25</v>
      </c>
      <c r="D31" s="4">
        <f>'dpc-covid-19-ita-andamento-naz'!L22</f>
        <v>24747</v>
      </c>
      <c r="E31" s="4">
        <f t="shared" si="7"/>
        <v>3590</v>
      </c>
      <c r="F31" s="11">
        <f t="shared" si="0"/>
        <v>30533.730904927175</v>
      </c>
      <c r="G31" s="11">
        <f t="shared" si="8"/>
        <v>3431.197388352819</v>
      </c>
      <c r="H31" s="11">
        <f t="shared" si="5"/>
        <v>4875.528798431963</v>
      </c>
      <c r="I31" s="11">
        <f t="shared" si="6"/>
        <v>1986.8659782736752</v>
      </c>
      <c r="J31" s="11">
        <f>'dpc-covid-19-ita-andamento-naz'!K22</f>
        <v>1809</v>
      </c>
      <c r="K31" s="11">
        <f t="shared" si="4"/>
        <v>368</v>
      </c>
      <c r="L31" s="11">
        <f t="shared" si="1"/>
        <v>1982.686524861309</v>
      </c>
      <c r="M31" s="11">
        <f t="shared" si="9"/>
        <v>334.4361031637377</v>
      </c>
      <c r="N31" s="11">
        <f t="shared" si="2"/>
        <v>460.75956345343297</v>
      </c>
      <c r="O31" s="11">
        <f t="shared" si="3"/>
        <v>208.11264287404245</v>
      </c>
      <c r="P31" s="1"/>
    </row>
    <row r="32" spans="2:18" x14ac:dyDescent="0.3">
      <c r="B32" s="10">
        <v>43906</v>
      </c>
      <c r="C32" s="4">
        <v>26</v>
      </c>
      <c r="D32" s="4">
        <f>'dpc-covid-19-ita-andamento-naz'!L23</f>
        <v>27980</v>
      </c>
      <c r="E32" s="4">
        <f t="shared" si="7"/>
        <v>3233</v>
      </c>
      <c r="F32" s="11">
        <f t="shared" si="0"/>
        <v>34210.218747204002</v>
      </c>
      <c r="G32" s="11">
        <f t="shared" si="8"/>
        <v>3676.487842276827</v>
      </c>
      <c r="H32" s="11">
        <f t="shared" si="5"/>
        <v>5120.819252355971</v>
      </c>
      <c r="I32" s="11">
        <f t="shared" si="6"/>
        <v>2232.156432197683</v>
      </c>
      <c r="J32" s="11">
        <f>'dpc-covid-19-ita-andamento-naz'!K23</f>
        <v>2158</v>
      </c>
      <c r="K32" s="11">
        <f t="shared" si="4"/>
        <v>349</v>
      </c>
      <c r="L32" s="11">
        <f t="shared" si="1"/>
        <v>2359.9749177532217</v>
      </c>
      <c r="M32" s="11">
        <f t="shared" si="9"/>
        <v>377.28839289191274</v>
      </c>
      <c r="N32" s="11">
        <f t="shared" si="2"/>
        <v>503.61185318160801</v>
      </c>
      <c r="O32" s="11">
        <f t="shared" si="3"/>
        <v>250.96493260221749</v>
      </c>
      <c r="P32" s="1"/>
    </row>
    <row r="33" spans="2:21" x14ac:dyDescent="0.3">
      <c r="B33" s="10">
        <v>43907</v>
      </c>
      <c r="C33" s="4">
        <v>27</v>
      </c>
      <c r="D33" s="4">
        <f>'dpc-covid-19-ita-andamento-naz'!L24</f>
        <v>31506</v>
      </c>
      <c r="E33" s="4">
        <f t="shared" si="7"/>
        <v>3526</v>
      </c>
      <c r="F33" s="11">
        <f t="shared" si="0"/>
        <v>38128.395382381037</v>
      </c>
      <c r="G33" s="11">
        <f t="shared" si="8"/>
        <v>3918.1766351770348</v>
      </c>
      <c r="H33" s="11">
        <f t="shared" si="5"/>
        <v>5362.5080452561788</v>
      </c>
      <c r="I33" s="11">
        <f t="shared" si="6"/>
        <v>2473.8452250978908</v>
      </c>
      <c r="J33" s="11">
        <f>'dpc-covid-19-ita-andamento-naz'!K24</f>
        <v>2503</v>
      </c>
      <c r="K33" s="11">
        <f t="shared" si="4"/>
        <v>345</v>
      </c>
      <c r="L33" s="11">
        <f t="shared" si="1"/>
        <v>2781.2777444419589</v>
      </c>
      <c r="M33" s="11">
        <f t="shared" si="9"/>
        <v>421.30282668873724</v>
      </c>
      <c r="N33" s="11">
        <f t="shared" si="2"/>
        <v>547.62628697843252</v>
      </c>
      <c r="O33" s="11">
        <f t="shared" si="3"/>
        <v>294.97936639904196</v>
      </c>
      <c r="P33" s="1"/>
    </row>
    <row r="34" spans="2:21" x14ac:dyDescent="0.3">
      <c r="B34" s="10">
        <v>43908</v>
      </c>
      <c r="C34" s="4">
        <v>28</v>
      </c>
      <c r="D34" s="4">
        <f>'dpc-covid-19-ita-andamento-naz'!L25</f>
        <v>35713</v>
      </c>
      <c r="E34" s="4">
        <f t="shared" si="7"/>
        <v>4207</v>
      </c>
      <c r="F34" s="11">
        <f t="shared" si="0"/>
        <v>42282.776053195317</v>
      </c>
      <c r="G34" s="11">
        <f t="shared" si="8"/>
        <v>4154.3806708142802</v>
      </c>
      <c r="H34" s="11">
        <f t="shared" si="5"/>
        <v>5598.7120808934242</v>
      </c>
      <c r="I34" s="11">
        <f t="shared" si="6"/>
        <v>2710.0492607351362</v>
      </c>
      <c r="J34" s="11">
        <f>'dpc-covid-19-ita-andamento-naz'!K25</f>
        <v>2978</v>
      </c>
      <c r="K34" s="11">
        <f t="shared" si="4"/>
        <v>475</v>
      </c>
      <c r="L34" s="11">
        <f t="shared" si="1"/>
        <v>3247.2164812987471</v>
      </c>
      <c r="M34" s="11">
        <f t="shared" si="9"/>
        <v>465.93873685678818</v>
      </c>
      <c r="N34" s="11">
        <f t="shared" si="2"/>
        <v>592.26219714648346</v>
      </c>
      <c r="O34" s="11">
        <f t="shared" si="3"/>
        <v>339.61527656709291</v>
      </c>
      <c r="U34" s="1"/>
    </row>
    <row r="35" spans="2:21" x14ac:dyDescent="0.3">
      <c r="B35" s="10">
        <v>43909</v>
      </c>
      <c r="C35" s="4">
        <v>29</v>
      </c>
      <c r="D35" s="4">
        <f>'dpc-covid-19-ita-andamento-naz'!L26</f>
        <v>41035</v>
      </c>
      <c r="E35" s="4">
        <f t="shared" si="7"/>
        <v>5322</v>
      </c>
      <c r="F35" s="11">
        <f t="shared" si="0"/>
        <v>46666.09368749729</v>
      </c>
      <c r="G35" s="11">
        <f t="shared" si="8"/>
        <v>4383.3176343019732</v>
      </c>
      <c r="H35" s="11">
        <f t="shared" si="5"/>
        <v>5827.6490443811172</v>
      </c>
      <c r="I35" s="11">
        <f t="shared" si="6"/>
        <v>2938.9862242228292</v>
      </c>
      <c r="J35" s="11">
        <f>'dpc-covid-19-ita-andamento-naz'!K26</f>
        <v>3405</v>
      </c>
      <c r="K35" s="11">
        <f t="shared" si="4"/>
        <v>427</v>
      </c>
      <c r="L35" s="11">
        <f t="shared" si="1"/>
        <v>3757.8570027597784</v>
      </c>
      <c r="M35" s="11">
        <f t="shared" si="9"/>
        <v>510.64052146103131</v>
      </c>
      <c r="N35" s="11">
        <f t="shared" si="2"/>
        <v>636.96398175072659</v>
      </c>
      <c r="O35" s="11">
        <f t="shared" si="3"/>
        <v>384.31706117133604</v>
      </c>
    </row>
    <row r="36" spans="2:21" x14ac:dyDescent="0.3">
      <c r="B36" s="10">
        <v>43910</v>
      </c>
      <c r="C36" s="4">
        <v>30</v>
      </c>
      <c r="D36" s="4">
        <f>'dpc-covid-19-ita-andamento-naz'!L27</f>
        <v>47021</v>
      </c>
      <c r="E36" s="4">
        <f t="shared" si="7"/>
        <v>5986</v>
      </c>
      <c r="F36" s="11">
        <f t="shared" si="0"/>
        <v>51269.424549637108</v>
      </c>
      <c r="G36" s="11">
        <f t="shared" si="8"/>
        <v>4603.3308621398173</v>
      </c>
      <c r="H36" s="11">
        <f t="shared" si="5"/>
        <v>6047.6622722189613</v>
      </c>
      <c r="I36" s="11">
        <f t="shared" si="6"/>
        <v>3158.9994520606733</v>
      </c>
      <c r="J36" s="11">
        <f>'dpc-covid-19-ita-andamento-naz'!K27</f>
        <v>4032</v>
      </c>
      <c r="K36" s="11">
        <f t="shared" si="4"/>
        <v>627</v>
      </c>
      <c r="L36" s="11">
        <f t="shared" si="1"/>
        <v>4312.7109398257226</v>
      </c>
      <c r="M36" s="11">
        <f t="shared" si="9"/>
        <v>554.85393706594414</v>
      </c>
      <c r="N36" s="11">
        <f t="shared" si="2"/>
        <v>681.17739735563941</v>
      </c>
      <c r="O36" s="11">
        <f t="shared" si="3"/>
        <v>428.53047677624886</v>
      </c>
    </row>
    <row r="37" spans="2:21" x14ac:dyDescent="0.3">
      <c r="B37" s="10">
        <v>43911</v>
      </c>
      <c r="C37" s="4">
        <v>31</v>
      </c>
      <c r="D37" s="4">
        <f>'dpc-covid-19-ita-andamento-naz'!L28</f>
        <v>53578</v>
      </c>
      <c r="E37" s="4">
        <f t="shared" si="7"/>
        <v>6557</v>
      </c>
      <c r="F37" s="11">
        <f t="shared" si="0"/>
        <v>56082.334289210208</v>
      </c>
      <c r="G37" s="11">
        <f t="shared" si="8"/>
        <v>4812.9097395731005</v>
      </c>
      <c r="H37" s="11">
        <f t="shared" si="5"/>
        <v>6257.2411496522445</v>
      </c>
      <c r="I37" s="11">
        <f t="shared" si="6"/>
        <v>3368.5783294939565</v>
      </c>
      <c r="J37" s="11">
        <f>'dpc-covid-19-ita-andamento-naz'!K28</f>
        <v>4825</v>
      </c>
      <c r="K37" s="11">
        <f t="shared" si="4"/>
        <v>793</v>
      </c>
      <c r="L37" s="11">
        <f t="shared" si="1"/>
        <v>4910.7521889373493</v>
      </c>
      <c r="M37" s="11">
        <f t="shared" si="9"/>
        <v>598.04124911162671</v>
      </c>
      <c r="N37" s="11">
        <f t="shared" si="2"/>
        <v>724.36470940132199</v>
      </c>
      <c r="O37" s="11">
        <f t="shared" si="3"/>
        <v>471.71778882193144</v>
      </c>
    </row>
    <row r="38" spans="2:21" x14ac:dyDescent="0.3">
      <c r="B38" s="10">
        <v>43912</v>
      </c>
      <c r="C38" s="4">
        <v>32</v>
      </c>
      <c r="D38" s="4">
        <f>'dpc-covid-19-ita-andamento-naz'!L29</f>
        <v>59138</v>
      </c>
      <c r="E38" s="4">
        <f t="shared" si="7"/>
        <v>5560</v>
      </c>
      <c r="F38" s="11">
        <f t="shared" si="0"/>
        <v>61093.039807175606</v>
      </c>
      <c r="G38" s="11">
        <f t="shared" si="8"/>
        <v>5010.705517965398</v>
      </c>
      <c r="H38" s="11">
        <f t="shared" si="5"/>
        <v>6455.036928044542</v>
      </c>
      <c r="I38" s="11">
        <f t="shared" si="6"/>
        <v>3566.374107886254</v>
      </c>
      <c r="J38" s="11">
        <f>'dpc-covid-19-ita-andamento-naz'!K29</f>
        <v>5476</v>
      </c>
      <c r="K38" s="11">
        <f t="shared" si="4"/>
        <v>651</v>
      </c>
      <c r="L38" s="11">
        <f t="shared" si="1"/>
        <v>5550.4468676449969</v>
      </c>
      <c r="M38" s="11">
        <f t="shared" si="9"/>
        <v>639.69467870764765</v>
      </c>
      <c r="N38" s="11">
        <f t="shared" si="2"/>
        <v>766.01813899734293</v>
      </c>
      <c r="O38" s="11">
        <f t="shared" si="3"/>
        <v>513.37121841795238</v>
      </c>
    </row>
    <row r="39" spans="2:21" x14ac:dyDescent="0.3">
      <c r="B39" s="20">
        <v>43913</v>
      </c>
      <c r="C39" s="4">
        <v>33</v>
      </c>
      <c r="D39" s="4">
        <f>'dpc-covid-19-ita-andamento-naz'!L30</f>
        <v>63927</v>
      </c>
      <c r="E39" s="4">
        <f t="shared" si="7"/>
        <v>4789</v>
      </c>
      <c r="F39" s="11">
        <f t="shared" ref="F39:F70" si="10">Kn*EXP(-EXP(-($C39-t0n)/wn))</f>
        <v>66288.582409677954</v>
      </c>
      <c r="G39" s="11">
        <f t="shared" si="8"/>
        <v>5195.542602502348</v>
      </c>
      <c r="H39" s="11">
        <f t="shared" si="5"/>
        <v>6639.874012581492</v>
      </c>
      <c r="I39" s="11">
        <f t="shared" si="6"/>
        <v>3751.211192423204</v>
      </c>
      <c r="J39" s="11">
        <f>'dpc-covid-19-ita-andamento-naz'!K30</f>
        <v>6077</v>
      </c>
      <c r="K39" s="11">
        <f t="shared" si="4"/>
        <v>601</v>
      </c>
      <c r="L39" s="11">
        <f t="shared" ref="L39:L70" si="11">Kd*EXP(-EXP(-($C39-t0d)/wd))</f>
        <v>6229.7946151040487</v>
      </c>
      <c r="M39" s="11">
        <f t="shared" si="9"/>
        <v>679.34774745905179</v>
      </c>
      <c r="N39" s="11">
        <f t="shared" si="2"/>
        <v>805.67120774874707</v>
      </c>
      <c r="O39" s="11">
        <f t="shared" si="3"/>
        <v>553.02428716935651</v>
      </c>
    </row>
    <row r="40" spans="2:21" x14ac:dyDescent="0.3">
      <c r="B40" s="10">
        <v>43914</v>
      </c>
      <c r="C40" s="4">
        <v>34</v>
      </c>
      <c r="D40" s="4">
        <f>'dpc-covid-19-ita-andamento-naz'!L31</f>
        <v>69176</v>
      </c>
      <c r="E40" s="4">
        <f t="shared" si="7"/>
        <v>5249</v>
      </c>
      <c r="F40" s="11">
        <f t="shared" si="10"/>
        <v>71655.007903548554</v>
      </c>
      <c r="G40" s="11">
        <f t="shared" si="8"/>
        <v>5366.4254938705999</v>
      </c>
      <c r="H40" s="11">
        <f t="shared" si="5"/>
        <v>6810.7569039497439</v>
      </c>
      <c r="I40" s="11">
        <f t="shared" si="6"/>
        <v>3922.0940837914559</v>
      </c>
      <c r="J40" s="11">
        <f>'dpc-covid-19-ita-andamento-naz'!K31</f>
        <v>6820</v>
      </c>
      <c r="K40" s="11">
        <f t="shared" si="4"/>
        <v>743</v>
      </c>
      <c r="L40" s="11">
        <f t="shared" si="11"/>
        <v>6946.3788984432094</v>
      </c>
      <c r="M40" s="11">
        <f t="shared" si="9"/>
        <v>716.58428333916072</v>
      </c>
      <c r="N40" s="11">
        <f t="shared" si="2"/>
        <v>842.907743628856</v>
      </c>
      <c r="O40" s="11">
        <f t="shared" si="3"/>
        <v>590.26082304946544</v>
      </c>
    </row>
    <row r="41" spans="2:21" x14ac:dyDescent="0.3">
      <c r="B41" s="10">
        <v>43915</v>
      </c>
      <c r="C41" s="4">
        <v>35</v>
      </c>
      <c r="D41" s="4">
        <f>'dpc-covid-19-ita-andamento-naz'!L32</f>
        <v>74386</v>
      </c>
      <c r="E41" s="4">
        <f t="shared" si="7"/>
        <v>5210</v>
      </c>
      <c r="F41" s="11">
        <f t="shared" si="10"/>
        <v>77177.54957846606</v>
      </c>
      <c r="G41" s="11">
        <f t="shared" si="8"/>
        <v>5522.5416749175056</v>
      </c>
      <c r="H41" s="11">
        <f t="shared" si="5"/>
        <v>6966.8730849966496</v>
      </c>
      <c r="I41" s="11">
        <f t="shared" si="6"/>
        <v>4078.2102648383616</v>
      </c>
      <c r="J41" s="11">
        <f>'dpc-covid-19-ita-andamento-naz'!K32</f>
        <v>7503</v>
      </c>
      <c r="K41" s="11">
        <f t="shared" si="4"/>
        <v>683</v>
      </c>
      <c r="L41" s="11">
        <f t="shared" si="11"/>
        <v>7697.4238980596438</v>
      </c>
      <c r="M41" s="11">
        <f t="shared" si="9"/>
        <v>751.04499961643432</v>
      </c>
      <c r="N41" s="11">
        <f t="shared" si="2"/>
        <v>877.3684599061296</v>
      </c>
      <c r="O41" s="11">
        <f t="shared" si="3"/>
        <v>624.72153932673905</v>
      </c>
    </row>
    <row r="42" spans="2:21" x14ac:dyDescent="0.3">
      <c r="B42" s="10">
        <v>43916</v>
      </c>
      <c r="C42" s="4">
        <v>36</v>
      </c>
      <c r="D42" s="4">
        <f>'dpc-covid-19-ita-andamento-naz'!L33</f>
        <v>80539</v>
      </c>
      <c r="E42" s="4">
        <f t="shared" si="7"/>
        <v>6153</v>
      </c>
      <c r="F42" s="11">
        <f t="shared" si="10"/>
        <v>82840.810393038802</v>
      </c>
      <c r="G42" s="11">
        <f t="shared" si="8"/>
        <v>5663.2608145727427</v>
      </c>
      <c r="H42" s="11">
        <f t="shared" si="5"/>
        <v>7107.5922246518867</v>
      </c>
      <c r="I42" s="11">
        <f t="shared" si="6"/>
        <v>4218.9294044935987</v>
      </c>
      <c r="J42" s="11">
        <f>'dpc-covid-19-ita-andamento-naz'!K33</f>
        <v>8165</v>
      </c>
      <c r="K42" s="11">
        <f t="shared" si="4"/>
        <v>662</v>
      </c>
      <c r="L42" s="11">
        <f t="shared" si="11"/>
        <v>8479.8555858050931</v>
      </c>
      <c r="M42" s="11">
        <f t="shared" si="9"/>
        <v>782.43168774544938</v>
      </c>
      <c r="N42" s="11">
        <f t="shared" si="2"/>
        <v>908.75514803514466</v>
      </c>
      <c r="O42" s="11">
        <f t="shared" si="3"/>
        <v>656.1082274557541</v>
      </c>
    </row>
    <row r="43" spans="2:21" x14ac:dyDescent="0.3">
      <c r="B43" s="10">
        <v>43917</v>
      </c>
      <c r="C43" s="4">
        <v>37</v>
      </c>
      <c r="D43" s="4">
        <f>'dpc-covid-19-ita-andamento-naz'!L34</f>
        <v>86498</v>
      </c>
      <c r="E43" s="4">
        <f t="shared" si="7"/>
        <v>5959</v>
      </c>
      <c r="F43" s="11">
        <f t="shared" si="10"/>
        <v>88628.941110664106</v>
      </c>
      <c r="G43" s="11">
        <f t="shared" si="8"/>
        <v>5788.1307176253031</v>
      </c>
      <c r="H43" s="11">
        <f t="shared" si="5"/>
        <v>7232.4621277044471</v>
      </c>
      <c r="I43" s="11">
        <f t="shared" si="6"/>
        <v>4343.7993075461591</v>
      </c>
      <c r="J43" s="11">
        <f>'dpc-covid-19-ita-andamento-naz'!K34</f>
        <v>9134</v>
      </c>
      <c r="K43" s="11">
        <f t="shared" si="4"/>
        <v>969</v>
      </c>
      <c r="L43" s="11">
        <f t="shared" si="11"/>
        <v>9290.3647552444381</v>
      </c>
      <c r="M43" s="11">
        <f t="shared" si="9"/>
        <v>810.50916943934499</v>
      </c>
      <c r="N43" s="11">
        <f t="shared" si="2"/>
        <v>936.83262972904026</v>
      </c>
      <c r="O43" s="11">
        <f t="shared" si="3"/>
        <v>684.18570914964971</v>
      </c>
    </row>
    <row r="44" spans="2:21" x14ac:dyDescent="0.3">
      <c r="B44" s="10">
        <v>43918</v>
      </c>
      <c r="C44" s="4">
        <v>38</v>
      </c>
      <c r="D44" s="4">
        <f>'dpc-covid-19-ita-andamento-naz'!L35</f>
        <v>92472</v>
      </c>
      <c r="E44" s="4">
        <f t="shared" si="7"/>
        <v>5974</v>
      </c>
      <c r="F44" s="11">
        <f t="shared" si="10"/>
        <v>94525.811593015867</v>
      </c>
      <c r="G44" s="11">
        <f t="shared" si="8"/>
        <v>5896.8704823517619</v>
      </c>
      <c r="H44" s="11">
        <f t="shared" si="5"/>
        <v>7341.2018924309059</v>
      </c>
      <c r="I44" s="11">
        <f t="shared" si="6"/>
        <v>4452.5390722726179</v>
      </c>
      <c r="J44" s="11">
        <f>'dpc-covid-19-ita-andamento-naz'!K35</f>
        <v>10023</v>
      </c>
      <c r="K44" s="11">
        <f t="shared" si="4"/>
        <v>889</v>
      </c>
      <c r="L44" s="11">
        <f t="shared" si="11"/>
        <v>10125.46998638703</v>
      </c>
      <c r="M44" s="11">
        <f t="shared" si="9"/>
        <v>835.10523114259195</v>
      </c>
      <c r="N44" s="11">
        <f t="shared" si="2"/>
        <v>961.42869143228722</v>
      </c>
      <c r="O44" s="11">
        <f t="shared" si="3"/>
        <v>708.78177085289667</v>
      </c>
    </row>
    <row r="45" spans="2:21" x14ac:dyDescent="0.3">
      <c r="B45" s="10">
        <v>43919</v>
      </c>
      <c r="C45" s="4">
        <v>39</v>
      </c>
      <c r="D45" s="4">
        <f>'dpc-covid-19-ita-andamento-naz'!L36</f>
        <v>97689</v>
      </c>
      <c r="E45" s="4">
        <f t="shared" si="7"/>
        <v>5217</v>
      </c>
      <c r="F45" s="11">
        <f t="shared" si="10"/>
        <v>100515.17293417665</v>
      </c>
      <c r="G45" s="11">
        <f t="shared" si="8"/>
        <v>5989.3613411607803</v>
      </c>
      <c r="H45" s="11">
        <f>G45+CIn</f>
        <v>7433.6927512399243</v>
      </c>
      <c r="I45" s="11">
        <f>MAX(G45-CIn,0)</f>
        <v>4545.0299310816363</v>
      </c>
      <c r="J45" s="11">
        <f>'dpc-covid-19-ita-andamento-naz'!K36</f>
        <v>10779</v>
      </c>
      <c r="K45" s="11">
        <f t="shared" si="4"/>
        <v>756</v>
      </c>
      <c r="L45" s="11">
        <f t="shared" si="11"/>
        <v>10981.578802747565</v>
      </c>
      <c r="M45" s="11">
        <f t="shared" si="9"/>
        <v>856.10881636053455</v>
      </c>
      <c r="N45" s="11">
        <f t="shared" si="2"/>
        <v>982.43227665022982</v>
      </c>
      <c r="O45" s="11">
        <f t="shared" si="3"/>
        <v>729.78535607083927</v>
      </c>
    </row>
    <row r="46" spans="2:21" x14ac:dyDescent="0.3">
      <c r="B46" s="10">
        <v>43920</v>
      </c>
      <c r="C46" s="4">
        <v>40</v>
      </c>
      <c r="D46" s="4">
        <f>'dpc-covid-19-ita-andamento-naz'!L37</f>
        <v>101739</v>
      </c>
      <c r="E46" s="4">
        <f t="shared" si="7"/>
        <v>4050</v>
      </c>
      <c r="F46" s="11">
        <f t="shared" si="10"/>
        <v>106580.80858957353</v>
      </c>
      <c r="G46" s="11">
        <f t="shared" si="8"/>
        <v>6065.6356553968799</v>
      </c>
      <c r="H46" s="11">
        <f>G46+CIn</f>
        <v>7509.9670654760239</v>
      </c>
      <c r="I46" s="11">
        <f>MAX(G46-CIn,0)</f>
        <v>4621.3042453177359</v>
      </c>
      <c r="J46" s="11">
        <f>'dpc-covid-19-ita-andamento-naz'!K37</f>
        <v>11591</v>
      </c>
      <c r="K46" s="11">
        <f t="shared" si="4"/>
        <v>812</v>
      </c>
      <c r="L46" s="11">
        <f t="shared" si="11"/>
        <v>11855.045582721268</v>
      </c>
      <c r="M46" s="11">
        <f t="shared" si="9"/>
        <v>873.46677997370352</v>
      </c>
      <c r="N46" s="11">
        <f t="shared" si="2"/>
        <v>999.7902402633988</v>
      </c>
      <c r="O46" s="11">
        <f t="shared" si="3"/>
        <v>747.14331968400825</v>
      </c>
    </row>
    <row r="47" spans="2:21" x14ac:dyDescent="0.3">
      <c r="B47" s="10">
        <v>43921</v>
      </c>
      <c r="C47" s="4">
        <v>41</v>
      </c>
      <c r="D47" s="4">
        <f>'dpc-covid-19-ita-andamento-naz'!L38</f>
        <v>105792</v>
      </c>
      <c r="E47" s="4">
        <f t="shared" si="7"/>
        <v>4053</v>
      </c>
      <c r="F47" s="11">
        <f t="shared" si="10"/>
        <v>112706.6731069938</v>
      </c>
      <c r="G47" s="11">
        <f t="shared" si="8"/>
        <v>6125.8645174202684</v>
      </c>
      <c r="H47" s="11">
        <f>G47+CIn</f>
        <v>7570.1959274994124</v>
      </c>
      <c r="I47" s="11">
        <f>MAX(G47-CIn,0)</f>
        <v>4681.5331073411244</v>
      </c>
      <c r="J47" s="11">
        <f>'dpc-covid-19-ita-andamento-naz'!K38</f>
        <v>12428</v>
      </c>
      <c r="K47" s="11">
        <f t="shared" si="4"/>
        <v>837</v>
      </c>
      <c r="L47" s="11">
        <f t="shared" si="11"/>
        <v>12742.225099762416</v>
      </c>
      <c r="M47" s="11">
        <f t="shared" si="9"/>
        <v>887.17951704114785</v>
      </c>
      <c r="N47" s="11">
        <f>M47+CId</f>
        <v>1013.5029773308431</v>
      </c>
      <c r="O47" s="11">
        <f>MAX(M47-CId,0)</f>
        <v>760.85605675145257</v>
      </c>
    </row>
    <row r="48" spans="2:21" x14ac:dyDescent="0.3">
      <c r="B48" s="10">
        <v>43922</v>
      </c>
      <c r="C48" s="4">
        <v>42</v>
      </c>
      <c r="E48" s="4"/>
      <c r="F48" s="11">
        <f t="shared" si="10"/>
        <v>118877.01749117984</v>
      </c>
      <c r="G48" s="11">
        <f t="shared" si="8"/>
        <v>6170.3443841860426</v>
      </c>
      <c r="K48" s="11"/>
      <c r="L48" s="11">
        <f t="shared" si="11"/>
        <v>13639.520870271164</v>
      </c>
      <c r="M48" s="11">
        <f t="shared" si="9"/>
        <v>897.29577050874832</v>
      </c>
    </row>
    <row r="49" spans="2:13" x14ac:dyDescent="0.3">
      <c r="B49" s="10">
        <v>43923</v>
      </c>
      <c r="C49" s="4">
        <v>43</v>
      </c>
      <c r="E49" s="4"/>
      <c r="F49" s="11">
        <f t="shared" si="10"/>
        <v>125076.50062092816</v>
      </c>
      <c r="G49" s="11">
        <f t="shared" si="8"/>
        <v>6199.4831297483179</v>
      </c>
      <c r="K49" s="11"/>
      <c r="L49" s="11">
        <f t="shared" si="11"/>
        <v>14543.427771926978</v>
      </c>
      <c r="M49" s="11">
        <f t="shared" si="9"/>
        <v>903.90690165581327</v>
      </c>
    </row>
    <row r="50" spans="2:13" x14ac:dyDescent="0.3">
      <c r="B50" s="10">
        <v>43924</v>
      </c>
      <c r="C50" s="4">
        <v>44</v>
      </c>
      <c r="E50" s="4"/>
      <c r="F50" s="11">
        <f t="shared" si="10"/>
        <v>131290.28648302902</v>
      </c>
      <c r="G50" s="11">
        <f t="shared" si="8"/>
        <v>6213.7858621008636</v>
      </c>
      <c r="K50" s="11"/>
      <c r="L50" s="11">
        <f t="shared" si="11"/>
        <v>15450.568649759407</v>
      </c>
      <c r="M50" s="11">
        <f t="shared" si="9"/>
        <v>907.1408778324294</v>
      </c>
    </row>
    <row r="51" spans="2:13" x14ac:dyDescent="0.3">
      <c r="B51" s="10">
        <v>43925</v>
      </c>
      <c r="C51" s="4">
        <v>45</v>
      </c>
      <c r="E51" s="4"/>
      <c r="F51" s="11">
        <f t="shared" si="10"/>
        <v>137504.1272879173</v>
      </c>
      <c r="G51" s="11">
        <f t="shared" si="8"/>
        <v>6213.8408048882848</v>
      </c>
      <c r="K51" s="11"/>
      <c r="L51" s="11">
        <f t="shared" si="11"/>
        <v>16357.7248472263</v>
      </c>
      <c r="M51" s="11">
        <f t="shared" si="9"/>
        <v>907.15619746689299</v>
      </c>
    </row>
    <row r="52" spans="2:13" x14ac:dyDescent="0.3">
      <c r="B52" s="10">
        <v>43926</v>
      </c>
      <c r="C52" s="4">
        <v>46</v>
      </c>
      <c r="E52" s="4"/>
      <c r="F52" s="11">
        <f t="shared" si="10"/>
        <v>143704.43278668672</v>
      </c>
      <c r="G52" s="11">
        <f t="shared" si="8"/>
        <v>6200.3054987694195</v>
      </c>
      <c r="K52" s="11"/>
      <c r="L52" s="11">
        <f t="shared" si="11"/>
        <v>17261.860782577198</v>
      </c>
      <c r="M52" s="11">
        <f t="shared" si="9"/>
        <v>904.13593535089785</v>
      </c>
    </row>
    <row r="53" spans="2:13" x14ac:dyDescent="0.3">
      <c r="B53" s="10">
        <v>43927</v>
      </c>
      <c r="C53" s="4">
        <v>47</v>
      </c>
      <c r="E53" s="4"/>
      <c r="F53" s="11">
        <f t="shared" si="10"/>
        <v>149878.32631889323</v>
      </c>
      <c r="G53" s="11">
        <f t="shared" si="8"/>
        <v>6173.8935322065081</v>
      </c>
      <c r="K53" s="11"/>
      <c r="L53" s="11">
        <f t="shared" si="11"/>
        <v>18160.142836743147</v>
      </c>
      <c r="M53" s="11">
        <f t="shared" si="9"/>
        <v>898.28205416594938</v>
      </c>
    </row>
    <row r="54" spans="2:13" x14ac:dyDescent="0.3">
      <c r="B54" s="10">
        <v>43928</v>
      </c>
      <c r="C54" s="4">
        <v>48</v>
      </c>
      <c r="E54" s="4"/>
      <c r="F54" s="11">
        <f t="shared" si="10"/>
        <v>156013.68828735189</v>
      </c>
      <c r="G54" s="11">
        <f t="shared" si="8"/>
        <v>6135.3619684586592</v>
      </c>
      <c r="K54" s="11"/>
      <c r="L54" s="11">
        <f t="shared" si="11"/>
        <v>19049.952929604475</v>
      </c>
      <c r="M54" s="11">
        <f t="shared" si="9"/>
        <v>889.81009286132758</v>
      </c>
    </row>
    <row r="55" spans="2:13" x14ac:dyDescent="0.3">
      <c r="B55" s="10">
        <v>43929</v>
      </c>
      <c r="C55" s="4">
        <v>49</v>
      </c>
      <c r="E55" s="4"/>
      <c r="F55" s="11">
        <f t="shared" si="10"/>
        <v>162099.18788285714</v>
      </c>
      <c r="G55" s="11">
        <f t="shared" si="8"/>
        <v>6085.4995955052436</v>
      </c>
      <c r="K55" s="11"/>
      <c r="L55" s="11">
        <f t="shared" si="11"/>
        <v>19928.897239677557</v>
      </c>
      <c r="M55" s="11">
        <f t="shared" si="9"/>
        <v>878.94431007308231</v>
      </c>
    </row>
    <row r="56" spans="2:13" x14ac:dyDescent="0.3">
      <c r="B56" s="10">
        <v>43930</v>
      </c>
      <c r="C56" s="4">
        <v>50</v>
      </c>
      <c r="E56" s="4"/>
      <c r="F56" s="11">
        <f t="shared" si="10"/>
        <v>168124.30397202566</v>
      </c>
      <c r="G56" s="11">
        <f t="shared" si="8"/>
        <v>6025.1160891685286</v>
      </c>
      <c r="K56" s="11"/>
      <c r="L56" s="11">
        <f t="shared" si="11"/>
        <v>20794.810571745777</v>
      </c>
      <c r="M56" s="11">
        <f t="shared" si="9"/>
        <v>865.91333206821946</v>
      </c>
    </row>
    <row r="57" spans="2:13" x14ac:dyDescent="0.3">
      <c r="B57" s="10">
        <v>43931</v>
      </c>
      <c r="C57" s="4">
        <v>51</v>
      </c>
      <c r="E57" s="4"/>
      <c r="F57" s="11">
        <f t="shared" si="10"/>
        <v>174079.3361192451</v>
      </c>
      <c r="G57" s="11">
        <f t="shared" si="8"/>
        <v>5955.0321472194337</v>
      </c>
      <c r="K57" s="11"/>
      <c r="L57" s="11">
        <f t="shared" si="11"/>
        <v>21645.756901856515</v>
      </c>
      <c r="M57" s="11">
        <f t="shared" si="9"/>
        <v>850.94633011073893</v>
      </c>
    </row>
    <row r="58" spans="2:13" x14ac:dyDescent="0.3">
      <c r="B58" s="10">
        <v>43932</v>
      </c>
      <c r="C58" s="4">
        <v>52</v>
      </c>
      <c r="E58" s="4"/>
      <c r="F58" s="11">
        <f t="shared" si="10"/>
        <v>179955.40674317675</v>
      </c>
      <c r="G58" s="11">
        <f t="shared" si="8"/>
        <v>5876.0706239316496</v>
      </c>
      <c r="K58" s="11"/>
      <c r="L58" s="11">
        <f t="shared" si="11"/>
        <v>22480.026633633901</v>
      </c>
      <c r="M58" s="11">
        <f t="shared" si="9"/>
        <v>834.26973177738546</v>
      </c>
    </row>
    <row r="59" spans="2:13" x14ac:dyDescent="0.3">
      <c r="B59" s="10">
        <v>43933</v>
      </c>
      <c r="C59" s="4">
        <v>53</v>
      </c>
      <c r="E59" s="4"/>
      <c r="F59" s="11">
        <f t="shared" si="10"/>
        <v>185744.45541356318</v>
      </c>
      <c r="G59" s="11">
        <f t="shared" si="8"/>
        <v>5789.0486703864299</v>
      </c>
      <c r="K59" s="11"/>
      <c r="L59" s="11">
        <f t="shared" si="11"/>
        <v>23296.131088106718</v>
      </c>
      <c r="M59" s="11">
        <f t="shared" si="9"/>
        <v>816.10445447281745</v>
      </c>
    </row>
    <row r="60" spans="2:13" x14ac:dyDescent="0.3">
      <c r="B60" s="10">
        <v>43934</v>
      </c>
      <c r="C60" s="4">
        <v>54</v>
      </c>
      <c r="E60" s="4"/>
      <c r="F60" s="11">
        <f t="shared" si="10"/>
        <v>191439.22627927014</v>
      </c>
      <c r="G60" s="11">
        <f t="shared" si="8"/>
        <v>5694.7708657069597</v>
      </c>
      <c r="K60" s="11"/>
      <c r="L60" s="11">
        <f t="shared" si="11"/>
        <v>24092.79472502834</v>
      </c>
      <c r="M60" s="11">
        <f t="shared" si="9"/>
        <v>796.66363692162122</v>
      </c>
    </row>
    <row r="61" spans="2:13" x14ac:dyDescent="0.3">
      <c r="B61" s="10">
        <v>43935</v>
      </c>
      <c r="C61" s="4">
        <v>55</v>
      </c>
      <c r="E61" s="4"/>
      <c r="F61" s="11">
        <f t="shared" si="10"/>
        <v>197033.24958735675</v>
      </c>
      <c r="G61" s="11">
        <f t="shared" si="8"/>
        <v>5594.0233080866165</v>
      </c>
      <c r="K61" s="11"/>
      <c r="L61" s="11">
        <f t="shared" si="11"/>
        <v>24868.945560388045</v>
      </c>
      <c r="M61" s="11">
        <f t="shared" si="9"/>
        <v>776.15083535970552</v>
      </c>
    </row>
    <row r="62" spans="2:13" x14ac:dyDescent="0.3">
      <c r="B62" s="10">
        <v>43936</v>
      </c>
      <c r="C62" s="4">
        <v>56</v>
      </c>
      <c r="E62" s="4"/>
      <c r="F62" s="11">
        <f t="shared" si="10"/>
        <v>202520.81820902694</v>
      </c>
      <c r="G62" s="11">
        <f t="shared" si="8"/>
        <v>5487.568621670187</v>
      </c>
      <c r="K62" s="11"/>
      <c r="L62" s="11">
        <f t="shared" si="11"/>
        <v>25623.704205456055</v>
      </c>
      <c r="M62" s="11">
        <f t="shared" si="9"/>
        <v>754.75864506801008</v>
      </c>
    </row>
    <row r="63" spans="2:13" x14ac:dyDescent="0.3">
      <c r="B63" s="10">
        <v>43937</v>
      </c>
      <c r="C63" s="4">
        <v>57</v>
      </c>
      <c r="E63" s="4"/>
      <c r="F63" s="11">
        <f t="shared" si="10"/>
        <v>207896.96003474697</v>
      </c>
      <c r="G63" s="11">
        <f t="shared" si="8"/>
        <v>5376.1418257200276</v>
      </c>
      <c r="K63" s="11"/>
      <c r="L63" s="11">
        <f t="shared" si="11"/>
        <v>26356.371909782461</v>
      </c>
      <c r="M63" s="11">
        <f t="shared" si="9"/>
        <v>732.66770432640624</v>
      </c>
    </row>
    <row r="64" spans="2:13" x14ac:dyDescent="0.3">
      <c r="B64" s="10">
        <v>43938</v>
      </c>
      <c r="C64" s="4">
        <v>58</v>
      </c>
      <c r="E64" s="4"/>
      <c r="F64" s="11">
        <f t="shared" si="10"/>
        <v>213157.40704042182</v>
      </c>
      <c r="G64" s="11">
        <f t="shared" si="8"/>
        <v>5260.4470056748542</v>
      </c>
      <c r="K64" s="11"/>
      <c r="L64" s="11">
        <f t="shared" si="11"/>
        <v>27066.417946147118</v>
      </c>
      <c r="M64" s="11">
        <f t="shared" si="9"/>
        <v>710.04603636465617</v>
      </c>
    </row>
    <row r="65" spans="2:13" x14ac:dyDescent="0.3">
      <c r="B65" s="10">
        <v>43939</v>
      </c>
      <c r="C65" s="4">
        <v>59</v>
      </c>
      <c r="E65" s="4"/>
      <c r="F65" s="11">
        <f t="shared" si="10"/>
        <v>218298.56176175605</v>
      </c>
      <c r="G65" s="11">
        <f t="shared" si="8"/>
        <v>5141.1547213342274</v>
      </c>
      <c r="K65" s="11"/>
      <c r="L65" s="11">
        <f t="shared" si="11"/>
        <v>27753.466631172978</v>
      </c>
      <c r="M65" s="11">
        <f t="shared" si="9"/>
        <v>687.04868502586032</v>
      </c>
    </row>
    <row r="66" spans="2:13" x14ac:dyDescent="0.3">
      <c r="B66" s="10">
        <v>43940</v>
      </c>
      <c r="C66" s="4">
        <v>60</v>
      </c>
      <c r="E66" s="4"/>
      <c r="F66" s="11">
        <f t="shared" si="10"/>
        <v>223317.46184685995</v>
      </c>
      <c r="G66" s="11">
        <f t="shared" si="8"/>
        <v>5018.9000851039018</v>
      </c>
      <c r="K66" s="11"/>
      <c r="L66" s="11">
        <f t="shared" si="11"/>
        <v>28417.284232426799</v>
      </c>
      <c r="M66" s="11">
        <f t="shared" si="9"/>
        <v>663.81760125382061</v>
      </c>
    </row>
    <row r="67" spans="2:13" x14ac:dyDescent="0.3">
      <c r="B67" s="10">
        <v>43941</v>
      </c>
      <c r="C67" s="4">
        <v>61</v>
      </c>
      <c r="E67" s="4"/>
      <c r="F67" s="11">
        <f t="shared" si="10"/>
        <v>228211.74328954041</v>
      </c>
      <c r="G67" s="11">
        <f t="shared" si="8"/>
        <v>4894.2814426804543</v>
      </c>
      <c r="K67" s="11"/>
      <c r="L67" s="11">
        <f t="shared" si="11"/>
        <v>29057.765972258374</v>
      </c>
      <c r="M67" s="11">
        <f t="shared" si="9"/>
        <v>640.4817398315754</v>
      </c>
    </row>
    <row r="68" spans="2:13" x14ac:dyDescent="0.3">
      <c r="B68" s="10">
        <v>43942</v>
      </c>
      <c r="C68" s="4">
        <v>62</v>
      </c>
      <c r="E68" s="4"/>
      <c r="F68" s="11">
        <f t="shared" si="10"/>
        <v>232979.60287895624</v>
      </c>
      <c r="G68" s="11">
        <f t="shared" si="8"/>
        <v>4767.8595894158352</v>
      </c>
      <c r="K68" s="11"/>
      <c r="L68" s="11">
        <f t="shared" si="11"/>
        <v>29674.923301004546</v>
      </c>
      <c r="M68" s="11">
        <f t="shared" si="9"/>
        <v>617.15732874617242</v>
      </c>
    </row>
    <row r="69" spans="2:13" x14ac:dyDescent="0.3">
      <c r="B69" s="10">
        <v>43943</v>
      </c>
      <c r="C69" s="4">
        <v>63</v>
      </c>
      <c r="E69" s="4"/>
      <c r="F69" s="11">
        <f t="shared" si="10"/>
        <v>237619.76033655321</v>
      </c>
      <c r="G69" s="11">
        <f t="shared" si="8"/>
        <v>4640.1574575969717</v>
      </c>
      <c r="K69" s="11"/>
      <c r="L69" s="11">
        <f t="shared" si="11"/>
        <v>30268.87157790003</v>
      </c>
      <c r="M69" s="11">
        <f t="shared" si="9"/>
        <v>593.94827689548401</v>
      </c>
    </row>
    <row r="70" spans="2:13" x14ac:dyDescent="0.3">
      <c r="B70" s="10">
        <v>43944</v>
      </c>
      <c r="C70" s="4">
        <v>64</v>
      </c>
      <c r="E70" s="4"/>
      <c r="F70" s="11">
        <f t="shared" si="10"/>
        <v>242131.42054928624</v>
      </c>
      <c r="G70" s="11">
        <f t="shared" si="8"/>
        <v>4511.6602127330261</v>
      </c>
      <c r="K70" s="11"/>
      <c r="L70" s="11">
        <f t="shared" si="11"/>
        <v>30839.818267290917</v>
      </c>
      <c r="M70" s="11">
        <f t="shared" si="9"/>
        <v>570.9466893908866</v>
      </c>
    </row>
    <row r="71" spans="2:13" x14ac:dyDescent="0.3">
      <c r="B71" s="10">
        <v>43945</v>
      </c>
      <c r="C71" s="4">
        <v>65</v>
      </c>
      <c r="E71" s="4"/>
      <c r="F71" s="11">
        <f t="shared" ref="F71:F102" si="12">Kn*EXP(-EXP(-($C71-t0n)/wn))</f>
        <v>246514.23624973863</v>
      </c>
      <c r="G71" s="11">
        <f t="shared" si="8"/>
        <v>4382.8157004523964</v>
      </c>
    </row>
    <row r="72" spans="2:13" x14ac:dyDescent="0.3">
      <c r="B72" s="10">
        <v>43946</v>
      </c>
      <c r="C72" s="4">
        <v>66</v>
      </c>
      <c r="E72" s="4"/>
      <c r="F72" s="11">
        <f t="shared" si="12"/>
        <v>250768.27143929192</v>
      </c>
      <c r="G72" s="11">
        <f t="shared" si="8"/>
        <v>4254.0351895532804</v>
      </c>
    </row>
    <row r="73" spans="2:13" x14ac:dyDescent="0.3">
      <c r="B73" s="10">
        <v>43947</v>
      </c>
      <c r="C73" s="4">
        <v>67</v>
      </c>
      <c r="E73" s="4"/>
      <c r="F73" s="11">
        <f t="shared" si="12"/>
        <v>254893.96580027364</v>
      </c>
      <c r="G73" s="11">
        <f t="shared" si="8"/>
        <v>4125.6943609817245</v>
      </c>
    </row>
    <row r="74" spans="2:13" x14ac:dyDescent="0.3">
      <c r="B74" s="10">
        <v>43948</v>
      </c>
      <c r="C74" s="4">
        <v>68</v>
      </c>
      <c r="E74" s="4"/>
      <c r="F74" s="11">
        <f t="shared" si="12"/>
        <v>258892.10029714325</v>
      </c>
      <c r="G74" s="11">
        <f t="shared" si="8"/>
        <v>3998.1344968696067</v>
      </c>
    </row>
    <row r="75" spans="2:13" x14ac:dyDescent="0.3">
      <c r="B75" s="10">
        <v>43949</v>
      </c>
      <c r="C75" s="4">
        <v>69</v>
      </c>
      <c r="E75" s="4"/>
      <c r="F75" s="11">
        <f t="shared" si="12"/>
        <v>262763.76412529737</v>
      </c>
      <c r="G75" s="11">
        <f t="shared" si="8"/>
        <v>3871.6638281541236</v>
      </c>
    </row>
    <row r="76" spans="2:13" x14ac:dyDescent="0.3">
      <c r="B76" s="10">
        <v>43950</v>
      </c>
      <c r="C76" s="4">
        <v>70</v>
      </c>
      <c r="E76" s="4"/>
      <c r="F76" s="11">
        <f t="shared" si="12"/>
        <v>266510.32312891213</v>
      </c>
      <c r="G76" s="11">
        <f t="shared" si="8"/>
        <v>3746.5590036147623</v>
      </c>
    </row>
    <row r="77" spans="2:13" x14ac:dyDescent="0.3">
      <c r="B77" s="10">
        <v>43951</v>
      </c>
      <c r="C77" s="4">
        <v>71</v>
      </c>
      <c r="E77" s="4"/>
      <c r="F77" s="11">
        <f t="shared" si="12"/>
        <v>270133.38977625902</v>
      </c>
      <c r="G77" s="11">
        <f t="shared" ref="G77:G130" si="13">F77-F76</f>
        <v>3623.0666473468882</v>
      </c>
    </row>
    <row r="78" spans="2:13" x14ac:dyDescent="0.3">
      <c r="B78" s="10">
        <v>43952</v>
      </c>
      <c r="C78" s="4">
        <v>72</v>
      </c>
      <c r="E78" s="4"/>
      <c r="F78" s="11">
        <f t="shared" si="12"/>
        <v>273634.79475193197</v>
      </c>
      <c r="G78" s="11">
        <f t="shared" si="13"/>
        <v>3501.404975672951</v>
      </c>
    </row>
    <row r="79" spans="2:13" x14ac:dyDescent="0.3">
      <c r="B79" s="10">
        <v>43953</v>
      </c>
      <c r="C79" s="4">
        <v>73</v>
      </c>
      <c r="E79" s="4"/>
      <c r="F79" s="11">
        <f t="shared" si="12"/>
        <v>277016.5602001854</v>
      </c>
      <c r="G79" s="11">
        <f t="shared" si="13"/>
        <v>3381.7654482534272</v>
      </c>
    </row>
    <row r="80" spans="2:13" x14ac:dyDescent="0.3">
      <c r="B80" s="10">
        <v>43954</v>
      </c>
      <c r="C80" s="4">
        <v>74</v>
      </c>
      <c r="E80" s="4"/>
      <c r="F80" s="11">
        <f t="shared" si="12"/>
        <v>280280.87463183887</v>
      </c>
      <c r="G80" s="11">
        <f t="shared" si="13"/>
        <v>3264.3144316534745</v>
      </c>
    </row>
    <row r="81" spans="2:7" x14ac:dyDescent="0.3">
      <c r="B81" s="10">
        <v>43955</v>
      </c>
      <c r="C81" s="4">
        <v>75</v>
      </c>
      <c r="E81" s="4"/>
      <c r="F81" s="11">
        <f t="shared" si="12"/>
        <v>283430.06948869565</v>
      </c>
      <c r="G81" s="11">
        <f t="shared" si="13"/>
        <v>3149.194856856775</v>
      </c>
    </row>
    <row r="82" spans="2:7" x14ac:dyDescent="0.3">
      <c r="B82" s="10">
        <v>43956</v>
      </c>
      <c r="C82" s="4">
        <v>76</v>
      </c>
      <c r="E82" s="4"/>
      <c r="F82" s="11">
        <f t="shared" si="12"/>
        <v>286466.59734385513</v>
      </c>
      <c r="G82" s="11">
        <f t="shared" si="13"/>
        <v>3036.527855159482</v>
      </c>
    </row>
    <row r="83" spans="2:7" x14ac:dyDescent="0.3">
      <c r="B83" s="10">
        <v>43957</v>
      </c>
      <c r="C83" s="4">
        <v>77</v>
      </c>
      <c r="E83" s="4"/>
      <c r="F83" s="11">
        <f t="shared" si="12"/>
        <v>289393.01170341705</v>
      </c>
      <c r="G83" s="11">
        <f t="shared" si="13"/>
        <v>2926.4143595619244</v>
      </c>
    </row>
    <row r="84" spans="2:7" x14ac:dyDescent="0.3">
      <c r="B84" s="10">
        <v>43958</v>
      </c>
      <c r="C84" s="4">
        <v>78</v>
      </c>
      <c r="E84" s="4"/>
      <c r="F84" s="11">
        <f t="shared" si="12"/>
        <v>292211.94836458476</v>
      </c>
      <c r="G84" s="11">
        <f t="shared" si="13"/>
        <v>2818.9366611677106</v>
      </c>
    </row>
    <row r="85" spans="2:7" x14ac:dyDescent="0.3">
      <c r="B85" s="10">
        <v>43959</v>
      </c>
      <c r="C85" s="4">
        <v>79</v>
      </c>
      <c r="E85" s="4"/>
      <c r="F85" s="11">
        <f t="shared" si="12"/>
        <v>294926.10827683238</v>
      </c>
      <c r="G85" s="11">
        <f t="shared" si="13"/>
        <v>2714.1599122476182</v>
      </c>
    </row>
    <row r="86" spans="2:7" x14ac:dyDescent="0.3">
      <c r="B86" s="10">
        <v>43960</v>
      </c>
      <c r="C86" s="4">
        <v>80</v>
      </c>
      <c r="E86" s="4"/>
      <c r="F86" s="11">
        <f t="shared" si="12"/>
        <v>297538.24184635119</v>
      </c>
      <c r="G86" s="11">
        <f t="shared" si="13"/>
        <v>2612.1335695188027</v>
      </c>
    </row>
    <row r="87" spans="2:7" x14ac:dyDescent="0.3">
      <c r="B87" s="10">
        <v>43961</v>
      </c>
      <c r="C87" s="4">
        <v>81</v>
      </c>
      <c r="E87" s="4"/>
      <c r="F87" s="11">
        <f t="shared" si="12"/>
        <v>300051.13461919839</v>
      </c>
      <c r="G87" s="11">
        <f t="shared" si="13"/>
        <v>2512.8927728472045</v>
      </c>
    </row>
    <row r="88" spans="2:7" x14ac:dyDescent="0.3">
      <c r="B88" s="10">
        <v>43962</v>
      </c>
      <c r="C88" s="4">
        <v>82</v>
      </c>
      <c r="E88" s="4"/>
      <c r="F88" s="11">
        <f t="shared" si="12"/>
        <v>302467.59427522676</v>
      </c>
      <c r="G88" s="11">
        <f t="shared" si="13"/>
        <v>2416.459656028368</v>
      </c>
    </row>
    <row r="89" spans="2:7" x14ac:dyDescent="0.3">
      <c r="B89" s="10">
        <v>43963</v>
      </c>
      <c r="C89" s="4">
        <v>83</v>
      </c>
      <c r="E89" s="4"/>
      <c r="F89" s="11">
        <f t="shared" si="12"/>
        <v>304790.43886277417</v>
      </c>
      <c r="G89" s="11">
        <f t="shared" si="13"/>
        <v>2322.8445875474135</v>
      </c>
    </row>
    <row r="90" spans="2:7" x14ac:dyDescent="0.3">
      <c r="B90" s="10">
        <v>43964</v>
      </c>
      <c r="C90" s="4">
        <v>84</v>
      </c>
      <c r="E90" s="4"/>
      <c r="F90" s="11">
        <f t="shared" si="12"/>
        <v>307022.48620305397</v>
      </c>
      <c r="G90" s="11">
        <f t="shared" si="13"/>
        <v>2232.0473402797943</v>
      </c>
    </row>
    <row r="91" spans="2:7" x14ac:dyDescent="0.3">
      <c r="B91" s="10">
        <v>43965</v>
      </c>
      <c r="C91" s="4">
        <v>85</v>
      </c>
      <c r="E91" s="4"/>
      <c r="F91" s="11">
        <f t="shared" si="12"/>
        <v>309166.54439304938</v>
      </c>
      <c r="G91" s="11">
        <f t="shared" si="13"/>
        <v>2144.0581899954122</v>
      </c>
    </row>
    <row r="92" spans="2:7" x14ac:dyDescent="0.3">
      <c r="B92" s="10">
        <v>43966</v>
      </c>
      <c r="C92" s="4">
        <v>86</v>
      </c>
      <c r="E92" s="4"/>
      <c r="F92" s="11">
        <f t="shared" si="12"/>
        <v>311225.40333632706</v>
      </c>
      <c r="G92" s="11">
        <f t="shared" si="13"/>
        <v>2058.8589432776789</v>
      </c>
    </row>
    <row r="93" spans="2:7" x14ac:dyDescent="0.3">
      <c r="B93" s="10">
        <v>43967</v>
      </c>
      <c r="C93" s="4">
        <v>87</v>
      </c>
      <c r="E93" s="4"/>
      <c r="F93" s="11">
        <f t="shared" si="12"/>
        <v>313201.82723241829</v>
      </c>
      <c r="G93" s="11">
        <f t="shared" si="13"/>
        <v>1976.4238960912335</v>
      </c>
    </row>
    <row r="94" spans="2:7" x14ac:dyDescent="0.3">
      <c r="B94" s="10">
        <v>43968</v>
      </c>
      <c r="C94" s="4">
        <v>88</v>
      </c>
      <c r="E94" s="4"/>
      <c r="F94" s="11">
        <f t="shared" si="12"/>
        <v>315098.54795714404</v>
      </c>
      <c r="G94" s="11">
        <f t="shared" si="13"/>
        <v>1896.7207247257465</v>
      </c>
    </row>
    <row r="95" spans="2:7" x14ac:dyDescent="0.3">
      <c r="B95" s="10">
        <v>43969</v>
      </c>
      <c r="C95" s="4">
        <v>89</v>
      </c>
      <c r="E95" s="4"/>
      <c r="F95" s="11">
        <f t="shared" si="12"/>
        <v>316918.2592683949</v>
      </c>
      <c r="G95" s="11">
        <f t="shared" si="13"/>
        <v>1819.7113112508669</v>
      </c>
    </row>
    <row r="96" spans="2:7" x14ac:dyDescent="0.3">
      <c r="B96" s="10">
        <v>43970</v>
      </c>
      <c r="C96" s="4">
        <v>90</v>
      </c>
      <c r="E96" s="4"/>
      <c r="F96" s="11">
        <f t="shared" si="12"/>
        <v>318663.61177431192</v>
      </c>
      <c r="G96" s="11">
        <f t="shared" si="13"/>
        <v>1745.3525059170206</v>
      </c>
    </row>
    <row r="97" spans="2:7" x14ac:dyDescent="0.3">
      <c r="B97" s="10">
        <v>43971</v>
      </c>
      <c r="C97" s="4">
        <v>91</v>
      </c>
      <c r="E97" s="4"/>
      <c r="F97" s="11">
        <f t="shared" si="12"/>
        <v>320337.20860348392</v>
      </c>
      <c r="G97" s="11">
        <f t="shared" si="13"/>
        <v>1673.596829171991</v>
      </c>
    </row>
    <row r="98" spans="2:7" x14ac:dyDescent="0.3">
      <c r="B98" s="10">
        <v>43972</v>
      </c>
      <c r="C98" s="4">
        <v>92</v>
      </c>
      <c r="E98" s="4"/>
      <c r="F98" s="11">
        <f t="shared" si="12"/>
        <v>321941.60171960504</v>
      </c>
      <c r="G98" s="11">
        <f t="shared" si="13"/>
        <v>1604.3931161211221</v>
      </c>
    </row>
    <row r="99" spans="2:7" x14ac:dyDescent="0.3">
      <c r="B99" s="10">
        <v>43973</v>
      </c>
      <c r="C99" s="4">
        <v>93</v>
      </c>
      <c r="E99" s="4"/>
      <c r="F99" s="11">
        <f t="shared" si="12"/>
        <v>323479.288825973</v>
      </c>
      <c r="G99" s="11">
        <f t="shared" si="13"/>
        <v>1537.6871063679573</v>
      </c>
    </row>
    <row r="100" spans="2:7" x14ac:dyDescent="0.3">
      <c r="B100" s="10">
        <v>43974</v>
      </c>
      <c r="C100" s="4">
        <v>94</v>
      </c>
      <c r="E100" s="4"/>
      <c r="F100" s="11">
        <f t="shared" si="12"/>
        <v>324952.71080819616</v>
      </c>
      <c r="G100" s="11">
        <f t="shared" si="13"/>
        <v>1473.421982223168</v>
      </c>
    </row>
    <row r="101" spans="2:7" x14ac:dyDescent="0.3">
      <c r="B101" s="10">
        <v>43975</v>
      </c>
      <c r="C101" s="4">
        <v>95</v>
      </c>
      <c r="E101" s="4"/>
      <c r="F101" s="11">
        <f t="shared" si="12"/>
        <v>326364.24966648483</v>
      </c>
      <c r="G101" s="11">
        <f t="shared" si="13"/>
        <v>1411.5388582886662</v>
      </c>
    </row>
    <row r="102" spans="2:7" x14ac:dyDescent="0.3">
      <c r="B102" s="10">
        <v>43976</v>
      </c>
      <c r="C102" s="4">
        <v>96</v>
      </c>
      <c r="E102" s="4"/>
      <c r="F102" s="11">
        <f t="shared" si="12"/>
        <v>327716.22689188656</v>
      </c>
      <c r="G102" s="11">
        <f t="shared" si="13"/>
        <v>1351.9772254017298</v>
      </c>
    </row>
    <row r="103" spans="2:7" x14ac:dyDescent="0.3">
      <c r="B103" s="10">
        <v>43977</v>
      </c>
      <c r="C103" s="4">
        <v>97</v>
      </c>
      <c r="E103" s="4"/>
      <c r="F103" s="11">
        <f t="shared" ref="F103:F130" si="14">Kn*EXP(-EXP(-($C103-t0n)/wn))</f>
        <v>329010.90224376507</v>
      </c>
      <c r="G103" s="11">
        <f t="shared" si="13"/>
        <v>1294.6753518785117</v>
      </c>
    </row>
    <row r="104" spans="2:7" x14ac:dyDescent="0.3">
      <c r="B104" s="10">
        <v>43978</v>
      </c>
      <c r="C104" s="4">
        <v>98</v>
      </c>
      <c r="E104" s="4"/>
      <c r="F104" s="11">
        <f t="shared" si="14"/>
        <v>330250.47288869153</v>
      </c>
      <c r="G104" s="11">
        <f t="shared" si="13"/>
        <v>1239.5706449264544</v>
      </c>
    </row>
    <row r="105" spans="2:7" x14ac:dyDescent="0.3">
      <c r="B105" s="10">
        <v>43979</v>
      </c>
      <c r="C105" s="4">
        <v>99</v>
      </c>
      <c r="E105" s="4"/>
      <c r="F105" s="11">
        <f t="shared" si="14"/>
        <v>331437.07286370028</v>
      </c>
      <c r="G105" s="11">
        <f t="shared" si="13"/>
        <v>1186.5999750087503</v>
      </c>
    </row>
    <row r="106" spans="2:7" x14ac:dyDescent="0.3">
      <c r="B106" s="10">
        <v>43980</v>
      </c>
      <c r="C106" s="4">
        <v>100</v>
      </c>
      <c r="E106" s="4"/>
      <c r="F106" s="11">
        <f t="shared" si="14"/>
        <v>332572.77282954287</v>
      </c>
      <c r="G106" s="11">
        <f t="shared" si="13"/>
        <v>1135.6999658425921</v>
      </c>
    </row>
    <row r="107" spans="2:7" x14ac:dyDescent="0.3">
      <c r="B107" s="10">
        <v>43981</v>
      </c>
      <c r="C107" s="4">
        <v>101</v>
      </c>
      <c r="E107" s="4"/>
      <c r="F107" s="11">
        <f t="shared" si="14"/>
        <v>333659.58008214505</v>
      </c>
      <c r="G107" s="11">
        <f t="shared" si="13"/>
        <v>1086.8072526021861</v>
      </c>
    </row>
    <row r="108" spans="2:7" x14ac:dyDescent="0.3">
      <c r="B108" s="10">
        <v>43982</v>
      </c>
      <c r="C108" s="4">
        <v>102</v>
      </c>
      <c r="E108" s="4"/>
      <c r="F108" s="11">
        <f t="shared" si="14"/>
        <v>334699.43879292597</v>
      </c>
      <c r="G108" s="11">
        <f t="shared" si="13"/>
        <v>1039.8587107809144</v>
      </c>
    </row>
    <row r="109" spans="2:7" x14ac:dyDescent="0.3">
      <c r="B109" s="10">
        <v>43983</v>
      </c>
      <c r="C109" s="4">
        <v>103</v>
      </c>
      <c r="E109" s="4"/>
      <c r="F109" s="11">
        <f t="shared" si="14"/>
        <v>335694.23045096872</v>
      </c>
      <c r="G109" s="11">
        <f t="shared" si="13"/>
        <v>994.79165804275544</v>
      </c>
    </row>
    <row r="110" spans="2:7" x14ac:dyDescent="0.3">
      <c r="B110" s="10">
        <v>43984</v>
      </c>
      <c r="C110" s="4">
        <v>104</v>
      </c>
      <c r="E110" s="4"/>
      <c r="F110" s="11">
        <f t="shared" si="14"/>
        <v>336645.77448223851</v>
      </c>
      <c r="G110" s="11">
        <f t="shared" si="13"/>
        <v>951.54403126979014</v>
      </c>
    </row>
    <row r="111" spans="2:7" x14ac:dyDescent="0.3">
      <c r="B111" s="10">
        <v>43985</v>
      </c>
      <c r="C111" s="4">
        <v>105</v>
      </c>
      <c r="E111" s="4"/>
      <c r="F111" s="11">
        <f t="shared" si="14"/>
        <v>337555.82902312378</v>
      </c>
      <c r="G111" s="11">
        <f t="shared" si="13"/>
        <v>910.05454088526312</v>
      </c>
    </row>
    <row r="112" spans="2:7" x14ac:dyDescent="0.3">
      <c r="B112" s="10">
        <v>43986</v>
      </c>
      <c r="C112" s="4">
        <v>106</v>
      </c>
      <c r="E112" s="4"/>
      <c r="F112" s="11">
        <f t="shared" si="14"/>
        <v>338426.09182753292</v>
      </c>
      <c r="G112" s="11">
        <f t="shared" si="13"/>
        <v>870.26280440913979</v>
      </c>
    </row>
    <row r="113" spans="2:7" x14ac:dyDescent="0.3">
      <c r="B113" s="10">
        <v>43987</v>
      </c>
      <c r="C113" s="4">
        <v>107</v>
      </c>
      <c r="E113" s="4"/>
      <c r="F113" s="11">
        <f t="shared" si="14"/>
        <v>339258.20128860988</v>
      </c>
      <c r="G113" s="11">
        <f t="shared" si="13"/>
        <v>832.10946107696509</v>
      </c>
    </row>
    <row r="114" spans="2:7" x14ac:dyDescent="0.3">
      <c r="B114" s="10">
        <v>43988</v>
      </c>
      <c r="C114" s="4">
        <v>108</v>
      </c>
      <c r="E114" s="4"/>
      <c r="F114" s="11">
        <f t="shared" si="14"/>
        <v>340053.73755784659</v>
      </c>
      <c r="G114" s="11">
        <f t="shared" si="13"/>
        <v>795.53626923670527</v>
      </c>
    </row>
    <row r="115" spans="2:7" x14ac:dyDescent="0.3">
      <c r="B115" s="10">
        <v>43989</v>
      </c>
      <c r="C115" s="4">
        <v>109</v>
      </c>
      <c r="E115" s="4"/>
      <c r="F115" s="11">
        <f t="shared" si="14"/>
        <v>340814.22374596423</v>
      </c>
      <c r="G115" s="11">
        <f t="shared" si="13"/>
        <v>760.48618811764754</v>
      </c>
    </row>
    <row r="116" spans="2:7" x14ac:dyDescent="0.3">
      <c r="B116" s="10">
        <v>43990</v>
      </c>
      <c r="C116" s="4">
        <v>110</v>
      </c>
      <c r="E116" s="4"/>
      <c r="F116" s="11">
        <f t="shared" si="14"/>
        <v>341541.12719142198</v>
      </c>
      <c r="G116" s="11">
        <f t="shared" si="13"/>
        <v>726.9034454577486</v>
      </c>
    </row>
    <row r="117" spans="2:7" x14ac:dyDescent="0.3">
      <c r="B117" s="10">
        <v>43991</v>
      </c>
      <c r="C117" s="4">
        <v>111</v>
      </c>
      <c r="E117" s="4"/>
      <c r="F117" s="11">
        <f t="shared" si="14"/>
        <v>342235.86078378523</v>
      </c>
      <c r="G117" s="11">
        <f t="shared" si="13"/>
        <v>694.73359236324904</v>
      </c>
    </row>
    <row r="118" spans="2:7" x14ac:dyDescent="0.3">
      <c r="B118" s="10">
        <v>43992</v>
      </c>
      <c r="C118" s="4">
        <v>112</v>
      </c>
      <c r="E118" s="4"/>
      <c r="F118" s="11">
        <f t="shared" si="14"/>
        <v>342899.78433046275</v>
      </c>
      <c r="G118" s="11">
        <f t="shared" si="13"/>
        <v>663.92354667751351</v>
      </c>
    </row>
    <row r="119" spans="2:7" x14ac:dyDescent="0.3">
      <c r="B119" s="10">
        <v>43993</v>
      </c>
      <c r="C119" s="4">
        <v>113</v>
      </c>
      <c r="E119" s="4"/>
      <c r="F119" s="11">
        <f t="shared" si="14"/>
        <v>343534.20595649531</v>
      </c>
      <c r="G119" s="11">
        <f t="shared" si="13"/>
        <v>634.42162603256293</v>
      </c>
    </row>
    <row r="120" spans="2:7" x14ac:dyDescent="0.3">
      <c r="B120" s="10">
        <v>43994</v>
      </c>
      <c r="C120" s="4">
        <v>114</v>
      </c>
      <c r="E120" s="4"/>
      <c r="F120" s="11">
        <f t="shared" si="14"/>
        <v>344140.38352816505</v>
      </c>
      <c r="G120" s="11">
        <f t="shared" si="13"/>
        <v>606.17757166974479</v>
      </c>
    </row>
    <row r="121" spans="2:7" x14ac:dyDescent="0.3">
      <c r="B121" s="10">
        <v>43995</v>
      </c>
      <c r="C121" s="4">
        <v>115</v>
      </c>
      <c r="E121" s="4"/>
      <c r="F121" s="11">
        <f t="shared" si="14"/>
        <v>344719.52609219024</v>
      </c>
      <c r="G121" s="11">
        <f t="shared" si="13"/>
        <v>579.14256402518367</v>
      </c>
    </row>
    <row r="122" spans="2:7" x14ac:dyDescent="0.3">
      <c r="B122" s="10">
        <v>43996</v>
      </c>
      <c r="C122" s="4">
        <v>116</v>
      </c>
      <c r="E122" s="4"/>
      <c r="F122" s="11">
        <f t="shared" si="14"/>
        <v>345272.79532318551</v>
      </c>
      <c r="G122" s="11">
        <f t="shared" si="13"/>
        <v>553.26923099526903</v>
      </c>
    </row>
    <row r="123" spans="2:7" x14ac:dyDescent="0.3">
      <c r="B123" s="10">
        <v>43997</v>
      </c>
      <c r="C123" s="4">
        <v>117</v>
      </c>
      <c r="E123" s="4"/>
      <c r="F123" s="11">
        <f t="shared" si="14"/>
        <v>345801.30697290716</v>
      </c>
      <c r="G123" s="11">
        <f t="shared" si="13"/>
        <v>528.51164972165134</v>
      </c>
    </row>
    <row r="124" spans="2:7" x14ac:dyDescent="0.3">
      <c r="B124" s="10">
        <v>43998</v>
      </c>
      <c r="C124" s="4">
        <v>118</v>
      </c>
      <c r="E124" s="4"/>
      <c r="F124" s="11">
        <f t="shared" si="14"/>
        <v>346306.13231556781</v>
      </c>
      <c r="G124" s="11">
        <f t="shared" si="13"/>
        <v>504.8253426606534</v>
      </c>
    </row>
    <row r="125" spans="2:7" x14ac:dyDescent="0.3">
      <c r="B125" s="10">
        <v>43999</v>
      </c>
      <c r="C125" s="4">
        <v>119</v>
      </c>
      <c r="E125" s="4"/>
      <c r="F125" s="11">
        <f t="shared" si="14"/>
        <v>346788.29958420544</v>
      </c>
      <c r="G125" s="11">
        <f t="shared" si="13"/>
        <v>482.16726863762597</v>
      </c>
    </row>
    <row r="126" spans="2:7" x14ac:dyDescent="0.3">
      <c r="B126" s="10">
        <v>44000</v>
      </c>
      <c r="C126" s="4">
        <v>120</v>
      </c>
      <c r="E126" s="4"/>
      <c r="F126" s="11">
        <f t="shared" si="14"/>
        <v>347248.79539372865</v>
      </c>
      <c r="G126" s="11">
        <f t="shared" si="13"/>
        <v>460.49580952321412</v>
      </c>
    </row>
    <row r="127" spans="2:7" x14ac:dyDescent="0.3">
      <c r="B127" s="10">
        <v>44001</v>
      </c>
      <c r="C127" s="4">
        <v>121</v>
      </c>
      <c r="E127" s="4"/>
      <c r="F127" s="11">
        <f t="shared" si="14"/>
        <v>347688.56614683906</v>
      </c>
      <c r="G127" s="11">
        <f t="shared" si="13"/>
        <v>439.77075311040971</v>
      </c>
    </row>
    <row r="128" spans="2:7" x14ac:dyDescent="0.3">
      <c r="B128" s="10">
        <v>44002</v>
      </c>
      <c r="C128" s="4">
        <v>122</v>
      </c>
      <c r="E128" s="4"/>
      <c r="F128" s="11">
        <f t="shared" si="14"/>
        <v>348108.51941955724</v>
      </c>
      <c r="G128" s="11">
        <f t="shared" si="13"/>
        <v>419.95327271817951</v>
      </c>
    </row>
    <row r="129" spans="2:7" x14ac:dyDescent="0.3">
      <c r="B129" s="10">
        <v>44003</v>
      </c>
      <c r="C129" s="4">
        <v>123</v>
      </c>
      <c r="E129" s="4"/>
      <c r="F129" s="11">
        <f t="shared" si="14"/>
        <v>348509.52532355493</v>
      </c>
      <c r="G129" s="11">
        <f t="shared" si="13"/>
        <v>401.00590399769135</v>
      </c>
    </row>
    <row r="130" spans="2:7" x14ac:dyDescent="0.3">
      <c r="B130" s="10">
        <v>44004</v>
      </c>
      <c r="C130" s="4">
        <v>124</v>
      </c>
      <c r="E130" s="4"/>
      <c r="F130" s="11">
        <f t="shared" si="14"/>
        <v>348892.41784292535</v>
      </c>
      <c r="G130" s="11">
        <f t="shared" si="13"/>
        <v>382.8925193704199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48</vt:i4>
      </vt:variant>
    </vt:vector>
  </HeadingPairs>
  <TitlesOfParts>
    <vt:vector size="51" baseType="lpstr">
      <vt:lpstr>dpc-covid-19-ita-andamento-naz</vt:lpstr>
      <vt:lpstr>Cumul_ confirmed - Gompertz fit</vt:lpstr>
      <vt:lpstr>New_ confirmed - Gompertz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D_End</vt:lpstr>
      <vt:lpstr>D_Start</vt:lpstr>
      <vt:lpstr>df</vt:lpstr>
      <vt:lpstr>dfd</vt:lpstr>
      <vt:lpstr>dfh</vt:lpstr>
      <vt:lpstr>dfn</vt:lpstr>
      <vt:lpstr>E_End</vt:lpstr>
      <vt:lpstr>E_Start</vt:lpstr>
      <vt:lpstr>H_End</vt:lpstr>
      <vt:lpstr>H_Start</vt:lpstr>
      <vt:lpstr>I_End</vt:lpstr>
      <vt:lpstr>I_Start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2020-03-31T21:02:25Z</dcterms:modified>
</cp:coreProperties>
</file>