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COVID-19\"/>
    </mc:Choice>
  </mc:AlternateContent>
  <xr:revisionPtr revIDLastSave="0" documentId="13_ncr:1_{1B7EB451-9EE5-40F6-9D95-EDAC151120D4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dpc-covid19-ita-andamento-naz" sheetId="18" r:id="rId1"/>
    <sheet name="Cumul_confirmed - Power law fit" sheetId="12" r:id="rId2"/>
    <sheet name="New_confirmed - Power law fit" sheetId="19" r:id="rId3"/>
  </sheets>
  <definedNames>
    <definedName name="_xlcn.WorksheetConnection_COVID19ItalycasestrendBfit.xlsxdpc_covid19_ita_andamento_nazionale" hidden="1">dpc_covid19_ita_andamento_nazionale</definedName>
    <definedName name="CI">'Cumul_confirmed - Power law fit'!$N$15</definedName>
    <definedName name="CId">'New_confirmed - Power law fit'!$R$26</definedName>
    <definedName name="CIh">'Cumul_confirmed - Power law fit'!$N$26</definedName>
    <definedName name="CIn">'New_confirmed - Power law fit'!$R$15</definedName>
    <definedName name="Critical_t">'Cumul_confirmed - Power law fit'!$N$14</definedName>
    <definedName name="Critical_td">'New_confirmed - Power law fit'!$R$25</definedName>
    <definedName name="Critical_th">'Cumul_confirmed - Power law fit'!$N$25</definedName>
    <definedName name="Critical_tn">'New_confirmed - Power law fit'!$R$14</definedName>
    <definedName name="DatiEsterni_1" localSheetId="0" hidden="1">'dpc-covid19-ita-andamento-naz'!$A$1:$O$38</definedName>
    <definedName name="DatiEsterni_2" localSheetId="0" hidden="1">'dpc-covid19-ita-andamento-naz'!#REF!</definedName>
    <definedName name="df">'Cumul_confirmed - Power law fit'!$N$11</definedName>
    <definedName name="dfd">'New_confirmed - Power law fit'!$R$22</definedName>
    <definedName name="dfh">'Cumul_confirmed - Power law fit'!$N$22</definedName>
    <definedName name="dfn">'New_confirmed - Power law fit'!$R$11</definedName>
    <definedName name="dpc_covid19_ita_andamento_nazionale_1" localSheetId="1" hidden="1">'Cumul_confirmed - Power law fit'!#REF!</definedName>
    <definedName name="K">'Cumul_confirmed - Power law fit'!$N$7</definedName>
    <definedName name="K_end">'New_confirmed - Power law fit'!$Q$47</definedName>
    <definedName name="K_start">'New_confirmed - Power law fit'!$Q$7</definedName>
    <definedName name="Kd">'New_confirmed - Power law fit'!$R$18</definedName>
    <definedName name="Kh">'Cumul_confirmed - Power law fit'!$N$18</definedName>
    <definedName name="Kn">'New_confirmed - Power law fit'!$R$7</definedName>
    <definedName name="M_end">'New_confirmed - Power law fit'!$S$47</definedName>
    <definedName name="M_start">'New_confirmed - Power law fit'!$S$7</definedName>
    <definedName name="Mean_of_y">'Cumul_confirmed - Power law fit'!$N$10</definedName>
    <definedName name="Mean_of_yd">'New_confirmed - Power law fit'!$R$21</definedName>
    <definedName name="Mean_of_yh">'Cumul_confirmed - Power law fit'!$N$21</definedName>
    <definedName name="Mean_of_yn">'New_confirmed - Power law fit'!$R$10</definedName>
    <definedName name="RSQ">'Cumul_confirmed - Power law fit'!$N$13</definedName>
    <definedName name="RSQd">'New_confirmed - Power law fit'!$R$24</definedName>
    <definedName name="RSQh">'Cumul_confirmed - Power law fit'!$N$24</definedName>
    <definedName name="RSQn">'New_confirmed - Power law fit'!$R$13</definedName>
    <definedName name="SE_of_y">'Cumul_confirmed - Power law fit'!$N$12</definedName>
    <definedName name="SE_of_yd">'New_confirmed - Power law fit'!$R$23</definedName>
    <definedName name="SE_of_yh">'Cumul_confirmed - Power law fit'!$N$23</definedName>
    <definedName name="SE_of_yn">'New_confirmed - Power law fit'!$R$12</definedName>
    <definedName name="solver_adj" localSheetId="1" hidden="1">'Cumul_confirmed - Power law fit'!$N$18,'Cumul_confirmed - Power law fit'!$N$19,'Cumul_confirmed - Power law fit'!$N$20</definedName>
    <definedName name="solver_adj" localSheetId="2" hidden="1">'New_confirmed - Power law fit'!$R$18,'New_confirmed - Power law fit'!$R$19,'New_confirmed - Power law fit'!$R$20</definedName>
    <definedName name="solver_cvg" localSheetId="1" hidden="1">0.0001</definedName>
    <definedName name="solver_cvg" localSheetId="2" hidden="1">0.0001</definedName>
    <definedName name="solver_drv" localSheetId="1" hidden="1">2</definedName>
    <definedName name="solver_drv" localSheetId="2" hidden="1">1</definedName>
    <definedName name="solver_eng" localSheetId="1" hidden="1">1</definedName>
    <definedName name="solver_eng" localSheetId="2" hidden="1">1</definedName>
    <definedName name="solver_est" localSheetId="1" hidden="1">1</definedName>
    <definedName name="solver_est" localSheetId="2" hidden="1">1</definedName>
    <definedName name="solver_itr" localSheetId="1" hidden="1">2147483647</definedName>
    <definedName name="solver_itr" localSheetId="2" hidden="1">2147483647</definedName>
    <definedName name="solver_lhs1" localSheetId="1" hidden="1">'Cumul_confirmed - Power law fit'!$N$8</definedName>
    <definedName name="solver_lhs1" localSheetId="2" hidden="1">'New_confirmed - Power law fit'!$R$8</definedName>
    <definedName name="solver_lhs2" localSheetId="1" hidden="1">'Cumul_confirmed - Power law fit'!$N$8</definedName>
    <definedName name="solver_lhs2" localSheetId="2" hidden="1">'New_confirmed - Power law fit'!$R$8</definedName>
    <definedName name="solver_lhs3" localSheetId="1" hidden="1">'Cumul_confirmed - Power law fit'!$N$9</definedName>
    <definedName name="solver_mip" localSheetId="1" hidden="1">2147483647</definedName>
    <definedName name="solver_mip" localSheetId="2" hidden="1">2147483647</definedName>
    <definedName name="solver_mni" localSheetId="1" hidden="1">30</definedName>
    <definedName name="solver_mni" localSheetId="2" hidden="1">30</definedName>
    <definedName name="solver_mrt" localSheetId="1" hidden="1">0.075</definedName>
    <definedName name="solver_mrt" localSheetId="2" hidden="1">0.075</definedName>
    <definedName name="solver_msl" localSheetId="1" hidden="1">2</definedName>
    <definedName name="solver_msl" localSheetId="2" hidden="1">2</definedName>
    <definedName name="solver_neg" localSheetId="1" hidden="1">1</definedName>
    <definedName name="solver_neg" localSheetId="2" hidden="1">1</definedName>
    <definedName name="solver_nod" localSheetId="1" hidden="1">2147483647</definedName>
    <definedName name="solver_nod" localSheetId="2" hidden="1">2147483647</definedName>
    <definedName name="solver_num" localSheetId="1" hidden="1">0</definedName>
    <definedName name="solver_num" localSheetId="2" hidden="1">0</definedName>
    <definedName name="solver_nwt" localSheetId="1" hidden="1">1</definedName>
    <definedName name="solver_nwt" localSheetId="2" hidden="1">1</definedName>
    <definedName name="solver_opt" localSheetId="1" hidden="1">'Cumul_confirmed - Power law fit'!$N$24</definedName>
    <definedName name="solver_opt" localSheetId="2" hidden="1">'New_confirmed - Power law fit'!$R$24</definedName>
    <definedName name="solver_pre" localSheetId="1" hidden="1">0.000001</definedName>
    <definedName name="solver_pre" localSheetId="2" hidden="1">0.000001</definedName>
    <definedName name="solver_rbv" localSheetId="1" hidden="1">2</definedName>
    <definedName name="solver_rbv" localSheetId="2" hidden="1">1</definedName>
    <definedName name="solver_rel1" localSheetId="1" hidden="1">4</definedName>
    <definedName name="solver_rel1" localSheetId="2" hidden="1">4</definedName>
    <definedName name="solver_rel2" localSheetId="1" hidden="1">4</definedName>
    <definedName name="solver_rel2" localSheetId="2" hidden="1">4</definedName>
    <definedName name="solver_rel3" localSheetId="1" hidden="1">4</definedName>
    <definedName name="solver_rhs1" localSheetId="1" hidden="1">intero</definedName>
    <definedName name="solver_rhs1" localSheetId="2" hidden="1">intero</definedName>
    <definedName name="solver_rhs2" localSheetId="1" hidden="1">intero</definedName>
    <definedName name="solver_rhs2" localSheetId="2" hidden="1">intero</definedName>
    <definedName name="solver_rhs3" localSheetId="1" hidden="1">intero</definedName>
    <definedName name="solver_rlx" localSheetId="1" hidden="1">2</definedName>
    <definedName name="solver_rlx" localSheetId="2" hidden="1">2</definedName>
    <definedName name="solver_rsd" localSheetId="1" hidden="1">0</definedName>
    <definedName name="solver_rsd" localSheetId="2" hidden="1">0</definedName>
    <definedName name="solver_scl" localSheetId="1" hidden="1">2</definedName>
    <definedName name="solver_scl" localSheetId="2" hidden="1">1</definedName>
    <definedName name="solver_sho" localSheetId="1" hidden="1">2</definedName>
    <definedName name="solver_sho" localSheetId="2" hidden="1">2</definedName>
    <definedName name="solver_ssz" localSheetId="1" hidden="1">100</definedName>
    <definedName name="solver_ssz" localSheetId="2" hidden="1">100</definedName>
    <definedName name="solver_tim" localSheetId="1" hidden="1">2147483647</definedName>
    <definedName name="solver_tim" localSheetId="2" hidden="1">2147483647</definedName>
    <definedName name="solver_tol" localSheetId="1" hidden="1">0</definedName>
    <definedName name="solver_tol" localSheetId="2" hidden="1">0</definedName>
    <definedName name="solver_typ" localSheetId="1" hidden="1">1</definedName>
    <definedName name="solver_typ" localSheetId="2" hidden="1">1</definedName>
    <definedName name="solver_val" localSheetId="1" hidden="1">0</definedName>
    <definedName name="solver_val" localSheetId="2" hidden="1">0</definedName>
    <definedName name="solver_ver" localSheetId="1" hidden="1">3</definedName>
    <definedName name="solver_ver" localSheetId="2" hidden="1">3</definedName>
    <definedName name="t0">'Cumul_confirmed - Power law fit'!$N$8</definedName>
    <definedName name="t0d">'New_confirmed - Power law fit'!$R$19</definedName>
    <definedName name="t0h">'Cumul_confirmed - Power law fit'!$N$19</definedName>
    <definedName name="t0n">'New_confirmed - Power law fit'!$R$8</definedName>
    <definedName name="w">'Cumul_confirmed - Power law fit'!$N$9</definedName>
    <definedName name="wd">'New_confirmed - Power law fit'!$R$20</definedName>
    <definedName name="wh">'Cumul_confirmed - Power law fit'!$N$20</definedName>
    <definedName name="wn">'New_confirmed - Power law fit'!$R$9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pc_covid19_ita_andamento_nazionale" name="dpc_covid19_ita_andamento_nazionale" connection="WorksheetConnection_COVID-19 Italy cases trend - B fit.xlsx!dpc_covid19_ita_andamento_nazionale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22" i="19" l="1"/>
  <c r="R25" i="19" s="1"/>
  <c r="R21" i="19"/>
  <c r="R11" i="19"/>
  <c r="R10" i="19"/>
  <c r="M8" i="19"/>
  <c r="M9" i="19"/>
  <c r="M10" i="19"/>
  <c r="M11" i="19"/>
  <c r="M12" i="19"/>
  <c r="M13" i="19"/>
  <c r="M14" i="19"/>
  <c r="M15" i="19"/>
  <c r="M16" i="19"/>
  <c r="M17" i="19"/>
  <c r="M18" i="19"/>
  <c r="M19" i="19"/>
  <c r="M20" i="19"/>
  <c r="M21" i="19"/>
  <c r="M22" i="19"/>
  <c r="M23" i="19"/>
  <c r="M24" i="19"/>
  <c r="M25" i="19"/>
  <c r="M26" i="19"/>
  <c r="M27" i="19"/>
  <c r="M28" i="19"/>
  <c r="M29" i="19"/>
  <c r="M30" i="19"/>
  <c r="M31" i="19"/>
  <c r="M32" i="19"/>
  <c r="M33" i="19"/>
  <c r="M34" i="19"/>
  <c r="M35" i="19"/>
  <c r="M36" i="19"/>
  <c r="M37" i="19"/>
  <c r="M38" i="19"/>
  <c r="M39" i="19"/>
  <c r="M40" i="19"/>
  <c r="M41" i="19"/>
  <c r="M42" i="19"/>
  <c r="M43" i="19"/>
  <c r="M44" i="19"/>
  <c r="M45" i="19"/>
  <c r="M46" i="19"/>
  <c r="M47" i="19"/>
  <c r="M48" i="19"/>
  <c r="M49" i="19"/>
  <c r="M50" i="19"/>
  <c r="M51" i="19"/>
  <c r="M52" i="19"/>
  <c r="M53" i="19"/>
  <c r="M54" i="19"/>
  <c r="M55" i="19"/>
  <c r="M56" i="19"/>
  <c r="M57" i="19"/>
  <c r="M58" i="19"/>
  <c r="M59" i="19"/>
  <c r="M60" i="19"/>
  <c r="M61" i="19"/>
  <c r="M62" i="19"/>
  <c r="M63" i="19"/>
  <c r="M64" i="19"/>
  <c r="M65" i="19"/>
  <c r="M66" i="19"/>
  <c r="M67" i="19"/>
  <c r="M68" i="19"/>
  <c r="M69" i="19"/>
  <c r="M70" i="19"/>
  <c r="L8" i="19"/>
  <c r="L9" i="19"/>
  <c r="L10" i="19"/>
  <c r="L11" i="19"/>
  <c r="L12" i="19"/>
  <c r="L13" i="19"/>
  <c r="L14" i="19"/>
  <c r="L15" i="19"/>
  <c r="L16" i="19"/>
  <c r="L17" i="19"/>
  <c r="L18" i="19"/>
  <c r="L19" i="19"/>
  <c r="L20" i="19"/>
  <c r="L21" i="19"/>
  <c r="L22" i="19"/>
  <c r="L23" i="19"/>
  <c r="L24" i="19"/>
  <c r="L25" i="19"/>
  <c r="L26" i="19"/>
  <c r="L27" i="19"/>
  <c r="L28" i="19"/>
  <c r="L29" i="19"/>
  <c r="L30" i="19"/>
  <c r="L31" i="19"/>
  <c r="L32" i="19"/>
  <c r="L33" i="19"/>
  <c r="L34" i="19"/>
  <c r="L35" i="19"/>
  <c r="L36" i="19"/>
  <c r="L37" i="19"/>
  <c r="L38" i="19"/>
  <c r="L39" i="19"/>
  <c r="L40" i="19"/>
  <c r="L41" i="19"/>
  <c r="L42" i="19"/>
  <c r="L43" i="19"/>
  <c r="L44" i="19"/>
  <c r="L45" i="19"/>
  <c r="L46" i="19"/>
  <c r="L47" i="19"/>
  <c r="L48" i="19"/>
  <c r="L49" i="19"/>
  <c r="L50" i="19"/>
  <c r="L51" i="19"/>
  <c r="L52" i="19"/>
  <c r="L53" i="19"/>
  <c r="L54" i="19"/>
  <c r="L55" i="19"/>
  <c r="L56" i="19"/>
  <c r="L57" i="19"/>
  <c r="L58" i="19"/>
  <c r="L59" i="19"/>
  <c r="L60" i="19"/>
  <c r="L61" i="19"/>
  <c r="L62" i="19"/>
  <c r="L63" i="19"/>
  <c r="L64" i="19"/>
  <c r="L65" i="19"/>
  <c r="L66" i="19"/>
  <c r="L67" i="19"/>
  <c r="L68" i="19"/>
  <c r="L69" i="19"/>
  <c r="L70" i="19"/>
  <c r="M7" i="19"/>
  <c r="L7" i="19"/>
  <c r="J12" i="19"/>
  <c r="K12" i="19" s="1"/>
  <c r="J13" i="19"/>
  <c r="K13" i="19" s="1"/>
  <c r="J14" i="19"/>
  <c r="K14" i="19" s="1"/>
  <c r="J15" i="19"/>
  <c r="K16" i="19" s="1"/>
  <c r="J16" i="19"/>
  <c r="J17" i="19"/>
  <c r="J18" i="19"/>
  <c r="K18" i="19" s="1"/>
  <c r="J19" i="19"/>
  <c r="J20" i="19"/>
  <c r="K20" i="19" s="1"/>
  <c r="J21" i="19"/>
  <c r="K22" i="19" s="1"/>
  <c r="J22" i="19"/>
  <c r="J23" i="19"/>
  <c r="J24" i="19"/>
  <c r="K24" i="19" s="1"/>
  <c r="J25" i="19"/>
  <c r="K25" i="19" s="1"/>
  <c r="J26" i="19"/>
  <c r="K26" i="19" s="1"/>
  <c r="J27" i="19"/>
  <c r="K28" i="19" s="1"/>
  <c r="J28" i="19"/>
  <c r="J29" i="19"/>
  <c r="J30" i="19"/>
  <c r="K30" i="19" s="1"/>
  <c r="J31" i="19"/>
  <c r="J32" i="19"/>
  <c r="K32" i="19" s="1"/>
  <c r="J33" i="19"/>
  <c r="K33" i="19" s="1"/>
  <c r="J34" i="19"/>
  <c r="K34" i="19" s="1"/>
  <c r="J35" i="19"/>
  <c r="J36" i="19"/>
  <c r="K36" i="19" s="1"/>
  <c r="J37" i="19"/>
  <c r="K37" i="19" s="1"/>
  <c r="J38" i="19"/>
  <c r="K38" i="19" s="1"/>
  <c r="J39" i="19"/>
  <c r="K40" i="19" s="1"/>
  <c r="J40" i="19"/>
  <c r="J41" i="19"/>
  <c r="J42" i="19"/>
  <c r="K42" i="19" s="1"/>
  <c r="J43" i="19"/>
  <c r="J44" i="19"/>
  <c r="K44" i="19" s="1"/>
  <c r="J45" i="19"/>
  <c r="K45" i="19" s="1"/>
  <c r="J46" i="19"/>
  <c r="K46" i="19" s="1"/>
  <c r="J47" i="19"/>
  <c r="J11" i="19"/>
  <c r="K47" i="19"/>
  <c r="K43" i="19"/>
  <c r="K41" i="19"/>
  <c r="K35" i="19"/>
  <c r="K31" i="19"/>
  <c r="K29" i="19"/>
  <c r="K23" i="19"/>
  <c r="K19" i="19"/>
  <c r="K17" i="19"/>
  <c r="K11" i="19"/>
  <c r="K10" i="19"/>
  <c r="K9" i="19"/>
  <c r="K8" i="19"/>
  <c r="K7" i="19"/>
  <c r="D12" i="19"/>
  <c r="D13" i="19"/>
  <c r="D14" i="19"/>
  <c r="D15" i="19"/>
  <c r="D16" i="19"/>
  <c r="D17" i="19"/>
  <c r="D18" i="19"/>
  <c r="D19" i="19"/>
  <c r="D20" i="19"/>
  <c r="D21" i="19"/>
  <c r="D22" i="19"/>
  <c r="D23" i="19"/>
  <c r="D24" i="19"/>
  <c r="D25" i="19"/>
  <c r="D26" i="19"/>
  <c r="D27" i="19"/>
  <c r="D28" i="19"/>
  <c r="D29" i="19"/>
  <c r="D30" i="19"/>
  <c r="D31" i="19"/>
  <c r="D32" i="19"/>
  <c r="D33" i="19"/>
  <c r="D34" i="19"/>
  <c r="D35" i="19"/>
  <c r="D36" i="19"/>
  <c r="D37" i="19"/>
  <c r="D38" i="19"/>
  <c r="D39" i="19"/>
  <c r="D40" i="19"/>
  <c r="D41" i="19"/>
  <c r="D42" i="19"/>
  <c r="D43" i="19"/>
  <c r="D44" i="19"/>
  <c r="D45" i="19"/>
  <c r="E45" i="19" s="1"/>
  <c r="D46" i="19"/>
  <c r="E46" i="19" s="1"/>
  <c r="D47" i="19"/>
  <c r="E47" i="19" s="1"/>
  <c r="D11" i="19"/>
  <c r="N22" i="12"/>
  <c r="N21" i="12"/>
  <c r="N11" i="12"/>
  <c r="N10" i="12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33" i="12"/>
  <c r="I34" i="12"/>
  <c r="I35" i="12"/>
  <c r="I36" i="12"/>
  <c r="I37" i="12"/>
  <c r="I38" i="12"/>
  <c r="I39" i="12"/>
  <c r="I40" i="12"/>
  <c r="I41" i="12"/>
  <c r="I42" i="12"/>
  <c r="I43" i="12"/>
  <c r="I44" i="12"/>
  <c r="I45" i="12"/>
  <c r="I46" i="12"/>
  <c r="I47" i="12"/>
  <c r="I48" i="12"/>
  <c r="I49" i="12"/>
  <c r="I50" i="12"/>
  <c r="I51" i="12"/>
  <c r="I52" i="12"/>
  <c r="I53" i="12"/>
  <c r="I54" i="12"/>
  <c r="I55" i="12"/>
  <c r="I56" i="12"/>
  <c r="I57" i="12"/>
  <c r="I58" i="12"/>
  <c r="I59" i="12"/>
  <c r="I60" i="12"/>
  <c r="I61" i="12"/>
  <c r="I62" i="12"/>
  <c r="I63" i="12"/>
  <c r="I64" i="12"/>
  <c r="I65" i="12"/>
  <c r="I66" i="12"/>
  <c r="I67" i="12"/>
  <c r="I68" i="12"/>
  <c r="I69" i="12"/>
  <c r="I70" i="12"/>
  <c r="I7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D46" i="12"/>
  <c r="D11" i="12"/>
  <c r="R24" i="19" l="1" a="1"/>
  <c r="R24" i="19" s="1"/>
  <c r="R23" i="19" a="1"/>
  <c r="R23" i="19" s="1"/>
  <c r="R26" i="19" s="1"/>
  <c r="K15" i="19"/>
  <c r="K27" i="19"/>
  <c r="K39" i="19"/>
  <c r="K21" i="19"/>
  <c r="N24" i="12" a="1"/>
  <c r="N24" i="12" s="1"/>
  <c r="O20" i="19" l="1"/>
  <c r="O22" i="19"/>
  <c r="O7" i="19"/>
  <c r="N39" i="19"/>
  <c r="O9" i="19"/>
  <c r="O33" i="19"/>
  <c r="O45" i="19"/>
  <c r="N30" i="19"/>
  <c r="O34" i="19"/>
  <c r="N19" i="19"/>
  <c r="N31" i="19"/>
  <c r="N15" i="19"/>
  <c r="O11" i="19"/>
  <c r="O23" i="19"/>
  <c r="O35" i="19"/>
  <c r="N8" i="19"/>
  <c r="N20" i="19"/>
  <c r="N32" i="19"/>
  <c r="N44" i="19"/>
  <c r="O12" i="19"/>
  <c r="O24" i="19"/>
  <c r="O36" i="19"/>
  <c r="N9" i="19"/>
  <c r="N21" i="19"/>
  <c r="N33" i="19"/>
  <c r="N45" i="19"/>
  <c r="N27" i="19"/>
  <c r="O13" i="19"/>
  <c r="O25" i="19"/>
  <c r="O37" i="19"/>
  <c r="N10" i="19"/>
  <c r="N22" i="19"/>
  <c r="N34" i="19"/>
  <c r="N7" i="19"/>
  <c r="O15" i="19"/>
  <c r="O27" i="19"/>
  <c r="O39" i="19"/>
  <c r="N12" i="19"/>
  <c r="N24" i="19"/>
  <c r="N36" i="19"/>
  <c r="O16" i="19"/>
  <c r="O40" i="19"/>
  <c r="N13" i="19"/>
  <c r="N25" i="19"/>
  <c r="N37" i="19"/>
  <c r="O17" i="19"/>
  <c r="N14" i="19"/>
  <c r="O18" i="19"/>
  <c r="O14" i="19"/>
  <c r="O26" i="19"/>
  <c r="O38" i="19"/>
  <c r="N11" i="19"/>
  <c r="N23" i="19"/>
  <c r="N35" i="19"/>
  <c r="O28" i="19"/>
  <c r="O29" i="19"/>
  <c r="O41" i="19"/>
  <c r="N26" i="19"/>
  <c r="N38" i="19"/>
  <c r="O30" i="19"/>
  <c r="O19" i="19"/>
  <c r="O31" i="19"/>
  <c r="O43" i="19"/>
  <c r="N16" i="19"/>
  <c r="N28" i="19"/>
  <c r="N40" i="19"/>
  <c r="O8" i="19"/>
  <c r="O32" i="19"/>
  <c r="O44" i="19"/>
  <c r="N17" i="19"/>
  <c r="N29" i="19"/>
  <c r="N41" i="19"/>
  <c r="O21" i="19"/>
  <c r="N18" i="19"/>
  <c r="N42" i="19"/>
  <c r="O10" i="19"/>
  <c r="N43" i="19"/>
  <c r="O42" i="19"/>
  <c r="E8" i="12" l="1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59" i="12"/>
  <c r="E60" i="12"/>
  <c r="E61" i="12"/>
  <c r="E62" i="12"/>
  <c r="E63" i="12"/>
  <c r="E64" i="12"/>
  <c r="E65" i="12"/>
  <c r="E66" i="12"/>
  <c r="E67" i="12"/>
  <c r="E68" i="12"/>
  <c r="E69" i="12"/>
  <c r="E70" i="12"/>
  <c r="E7" i="12"/>
  <c r="F8" i="19"/>
  <c r="F7" i="19"/>
  <c r="F11" i="19"/>
  <c r="F12" i="19"/>
  <c r="F13" i="19"/>
  <c r="F14" i="19"/>
  <c r="F15" i="19"/>
  <c r="F16" i="19"/>
  <c r="F17" i="19"/>
  <c r="F18" i="19"/>
  <c r="F19" i="19"/>
  <c r="F20" i="19"/>
  <c r="F21" i="19"/>
  <c r="F22" i="19"/>
  <c r="F23" i="19"/>
  <c r="F24" i="19"/>
  <c r="F25" i="19"/>
  <c r="F26" i="19"/>
  <c r="F27" i="19"/>
  <c r="F28" i="19"/>
  <c r="F29" i="19"/>
  <c r="F30" i="19"/>
  <c r="F31" i="19"/>
  <c r="F32" i="19"/>
  <c r="F33" i="19"/>
  <c r="F34" i="19"/>
  <c r="F35" i="19"/>
  <c r="F36" i="19"/>
  <c r="F37" i="19"/>
  <c r="F38" i="19"/>
  <c r="F39" i="19"/>
  <c r="F40" i="19"/>
  <c r="F41" i="19"/>
  <c r="F42" i="19"/>
  <c r="F43" i="19"/>
  <c r="F44" i="19"/>
  <c r="F45" i="19"/>
  <c r="F46" i="19"/>
  <c r="F47" i="19"/>
  <c r="F48" i="19"/>
  <c r="F49" i="19"/>
  <c r="F50" i="19"/>
  <c r="F51" i="19"/>
  <c r="F52" i="19"/>
  <c r="F53" i="19"/>
  <c r="F54" i="19"/>
  <c r="F55" i="19"/>
  <c r="F56" i="19"/>
  <c r="F57" i="19"/>
  <c r="F58" i="19"/>
  <c r="F59" i="19"/>
  <c r="F60" i="19"/>
  <c r="F61" i="19"/>
  <c r="F62" i="19"/>
  <c r="F63" i="19"/>
  <c r="F64" i="19"/>
  <c r="F65" i="19"/>
  <c r="F66" i="19"/>
  <c r="F67" i="19"/>
  <c r="F68" i="19"/>
  <c r="F69" i="19"/>
  <c r="F70" i="19"/>
  <c r="F9" i="19"/>
  <c r="F10" i="19"/>
  <c r="G8" i="19"/>
  <c r="G9" i="19"/>
  <c r="G10" i="19"/>
  <c r="G11" i="19"/>
  <c r="G12" i="19"/>
  <c r="G13" i="19"/>
  <c r="G14" i="19"/>
  <c r="G15" i="19"/>
  <c r="G16" i="19"/>
  <c r="G17" i="19"/>
  <c r="G18" i="19"/>
  <c r="G19" i="19"/>
  <c r="G20" i="19"/>
  <c r="G21" i="19"/>
  <c r="G22" i="19"/>
  <c r="G23" i="19"/>
  <c r="G24" i="19"/>
  <c r="G25" i="19"/>
  <c r="G26" i="19"/>
  <c r="G27" i="19"/>
  <c r="G28" i="19"/>
  <c r="G29" i="19"/>
  <c r="G30" i="19"/>
  <c r="G31" i="19"/>
  <c r="G32" i="19"/>
  <c r="G33" i="19"/>
  <c r="G34" i="19"/>
  <c r="G35" i="19"/>
  <c r="G36" i="19"/>
  <c r="G37" i="19"/>
  <c r="G38" i="19"/>
  <c r="G39" i="19"/>
  <c r="G40" i="19"/>
  <c r="G41" i="19"/>
  <c r="G42" i="19"/>
  <c r="G43" i="19"/>
  <c r="G44" i="19"/>
  <c r="G45" i="19"/>
  <c r="G46" i="19"/>
  <c r="G47" i="19"/>
  <c r="G48" i="19"/>
  <c r="G49" i="19"/>
  <c r="G50" i="19"/>
  <c r="G51" i="19"/>
  <c r="G52" i="19"/>
  <c r="G53" i="19"/>
  <c r="G54" i="19"/>
  <c r="G55" i="19"/>
  <c r="G56" i="19"/>
  <c r="G57" i="19"/>
  <c r="G58" i="19"/>
  <c r="G59" i="19"/>
  <c r="G60" i="19"/>
  <c r="G61" i="19"/>
  <c r="G62" i="19"/>
  <c r="G63" i="19"/>
  <c r="G64" i="19"/>
  <c r="G65" i="19"/>
  <c r="G66" i="19"/>
  <c r="G67" i="19"/>
  <c r="G68" i="19"/>
  <c r="G69" i="19"/>
  <c r="G70" i="19"/>
  <c r="G7" i="19"/>
  <c r="E7" i="19"/>
  <c r="E8" i="19"/>
  <c r="E9" i="19"/>
  <c r="E10" i="19"/>
  <c r="R12" i="19" l="1" a="1"/>
  <c r="R12" i="19" s="1"/>
  <c r="R13" i="19" a="1"/>
  <c r="R13" i="19" s="1"/>
  <c r="N13" i="12" a="1"/>
  <c r="N13" i="12" s="1"/>
  <c r="N12" i="12" a="1"/>
  <c r="N12" i="12" s="1"/>
  <c r="E44" i="19" l="1"/>
  <c r="E24" i="19"/>
  <c r="E25" i="19"/>
  <c r="E36" i="19"/>
  <c r="E37" i="19"/>
  <c r="E43" i="19"/>
  <c r="E11" i="19"/>
  <c r="E26" i="19" l="1"/>
  <c r="E14" i="19"/>
  <c r="N25" i="12"/>
  <c r="N23" i="12" a="1"/>
  <c r="N23" i="12" s="1"/>
  <c r="E32" i="19"/>
  <c r="E20" i="19"/>
  <c r="E33" i="19"/>
  <c r="E21" i="19"/>
  <c r="E13" i="19"/>
  <c r="E38" i="19"/>
  <c r="E31" i="19"/>
  <c r="E19" i="19"/>
  <c r="E39" i="19"/>
  <c r="E27" i="19"/>
  <c r="E34" i="19"/>
  <c r="E22" i="19"/>
  <c r="E41" i="19"/>
  <c r="E29" i="19"/>
  <c r="E17" i="19"/>
  <c r="E15" i="19"/>
  <c r="E40" i="19"/>
  <c r="E28" i="19"/>
  <c r="E16" i="19"/>
  <c r="E35" i="19"/>
  <c r="E23" i="19"/>
  <c r="E18" i="19"/>
  <c r="E42" i="19"/>
  <c r="E30" i="19"/>
  <c r="N26" i="12" l="1"/>
  <c r="E12" i="19"/>
  <c r="K14" i="12" l="1"/>
  <c r="J10" i="12"/>
  <c r="J11" i="12"/>
  <c r="K28" i="12"/>
  <c r="K17" i="12"/>
  <c r="J25" i="12"/>
  <c r="K30" i="12"/>
  <c r="K19" i="12"/>
  <c r="J39" i="12"/>
  <c r="K7" i="12"/>
  <c r="K20" i="12"/>
  <c r="K32" i="12"/>
  <c r="K44" i="12"/>
  <c r="J16" i="12"/>
  <c r="J28" i="12"/>
  <c r="J40" i="12"/>
  <c r="K8" i="12"/>
  <c r="K21" i="12"/>
  <c r="K33" i="12"/>
  <c r="K45" i="12"/>
  <c r="J17" i="12"/>
  <c r="J29" i="12"/>
  <c r="J41" i="12"/>
  <c r="K9" i="12"/>
  <c r="K22" i="12"/>
  <c r="K34" i="12"/>
  <c r="K46" i="12"/>
  <c r="J18" i="12"/>
  <c r="J30" i="12"/>
  <c r="J42" i="12"/>
  <c r="K10" i="12"/>
  <c r="K23" i="12"/>
  <c r="K35" i="12"/>
  <c r="K11" i="12"/>
  <c r="J31" i="12"/>
  <c r="J43" i="12"/>
  <c r="K12" i="12"/>
  <c r="K24" i="12"/>
  <c r="K36" i="12"/>
  <c r="J20" i="12"/>
  <c r="J32" i="12"/>
  <c r="K16" i="12"/>
  <c r="J24" i="12"/>
  <c r="K29" i="12"/>
  <c r="J14" i="12"/>
  <c r="K31" i="12"/>
  <c r="J19" i="12"/>
  <c r="J7" i="12"/>
  <c r="J44" i="12"/>
  <c r="K40" i="12"/>
  <c r="J13" i="12"/>
  <c r="K42" i="12"/>
  <c r="J38" i="12"/>
  <c r="K43" i="12"/>
  <c r="J27" i="12"/>
  <c r="K13" i="12"/>
  <c r="K25" i="12"/>
  <c r="K37" i="12"/>
  <c r="J8" i="12"/>
  <c r="J21" i="12"/>
  <c r="J33" i="12"/>
  <c r="J45" i="12"/>
  <c r="K26" i="12"/>
  <c r="K38" i="12"/>
  <c r="J9" i="12"/>
  <c r="J22" i="12"/>
  <c r="J34" i="12"/>
  <c r="J46" i="12"/>
  <c r="K15" i="12"/>
  <c r="K27" i="12"/>
  <c r="K39" i="12"/>
  <c r="J23" i="12"/>
  <c r="J35" i="12"/>
  <c r="J12" i="12"/>
  <c r="J36" i="12"/>
  <c r="K41" i="12"/>
  <c r="J37" i="12"/>
  <c r="K18" i="12"/>
  <c r="J26" i="12"/>
  <c r="J15" i="12"/>
  <c r="R14" i="19" l="1"/>
  <c r="R15" i="19" s="1"/>
  <c r="H46" i="19" l="1"/>
  <c r="H47" i="19"/>
  <c r="I47" i="19"/>
  <c r="I46" i="19"/>
  <c r="I7" i="19"/>
  <c r="H7" i="19"/>
  <c r="I8" i="19"/>
  <c r="I10" i="19"/>
  <c r="H8" i="19"/>
  <c r="H9" i="19"/>
  <c r="I9" i="19"/>
  <c r="H10" i="19"/>
  <c r="I44" i="19"/>
  <c r="H45" i="19"/>
  <c r="I45" i="19"/>
  <c r="H44" i="19"/>
  <c r="I22" i="19"/>
  <c r="H27" i="19"/>
  <c r="I36" i="19"/>
  <c r="I37" i="19"/>
  <c r="H41" i="19"/>
  <c r="H18" i="19"/>
  <c r="I15" i="19"/>
  <c r="I27" i="19"/>
  <c r="I39" i="19"/>
  <c r="H19" i="19"/>
  <c r="H31" i="19"/>
  <c r="H43" i="19"/>
  <c r="I16" i="19"/>
  <c r="I28" i="19"/>
  <c r="I40" i="19"/>
  <c r="H20" i="19"/>
  <c r="H32" i="19"/>
  <c r="H11" i="19"/>
  <c r="I17" i="19"/>
  <c r="I29" i="19"/>
  <c r="I41" i="19"/>
  <c r="H21" i="19"/>
  <c r="H33" i="19"/>
  <c r="I18" i="19"/>
  <c r="I30" i="19"/>
  <c r="I42" i="19"/>
  <c r="H22" i="19"/>
  <c r="H34" i="19"/>
  <c r="I19" i="19"/>
  <c r="I31" i="19"/>
  <c r="I43" i="19"/>
  <c r="H35" i="19"/>
  <c r="I20" i="19"/>
  <c r="I32" i="19"/>
  <c r="H12" i="19"/>
  <c r="H24" i="19"/>
  <c r="I24" i="19"/>
  <c r="H40" i="19"/>
  <c r="H17" i="19"/>
  <c r="H29" i="19"/>
  <c r="I26" i="19"/>
  <c r="H42" i="19"/>
  <c r="H23" i="19"/>
  <c r="H36" i="19"/>
  <c r="H16" i="19"/>
  <c r="I13" i="19"/>
  <c r="I14" i="19"/>
  <c r="I21" i="19"/>
  <c r="I33" i="19"/>
  <c r="H13" i="19"/>
  <c r="H25" i="19"/>
  <c r="H37" i="19"/>
  <c r="I34" i="19"/>
  <c r="H14" i="19"/>
  <c r="H26" i="19"/>
  <c r="H38" i="19"/>
  <c r="I23" i="19"/>
  <c r="I35" i="19"/>
  <c r="H15" i="19"/>
  <c r="H39" i="19"/>
  <c r="I12" i="19"/>
  <c r="H28" i="19"/>
  <c r="I25" i="19"/>
  <c r="I38" i="19"/>
  <c r="H30" i="19"/>
  <c r="I11" i="19"/>
  <c r="N14" i="12" l="1"/>
  <c r="N15" i="12" l="1"/>
  <c r="F46" i="12" l="1"/>
  <c r="G46" i="12"/>
  <c r="G10" i="12"/>
  <c r="F7" i="12"/>
  <c r="F8" i="12"/>
  <c r="F9" i="12"/>
  <c r="F10" i="12"/>
  <c r="G7" i="12"/>
  <c r="G9" i="12"/>
  <c r="G8" i="12"/>
  <c r="F45" i="12"/>
  <c r="G45" i="12"/>
  <c r="F44" i="12"/>
  <c r="G44" i="12"/>
  <c r="G43" i="12"/>
  <c r="F43" i="12"/>
  <c r="G42" i="12"/>
  <c r="F42" i="12"/>
  <c r="F41" i="12"/>
  <c r="G41" i="12"/>
  <c r="G40" i="12"/>
  <c r="F40" i="12"/>
  <c r="F39" i="12"/>
  <c r="G39" i="12"/>
  <c r="G37" i="12"/>
  <c r="F38" i="12"/>
  <c r="G38" i="12"/>
  <c r="G29" i="12"/>
  <c r="G14" i="12"/>
  <c r="G19" i="12"/>
  <c r="G35" i="12"/>
  <c r="G24" i="12"/>
  <c r="G17" i="12"/>
  <c r="G26" i="12"/>
  <c r="G18" i="12"/>
  <c r="G23" i="12"/>
  <c r="G30" i="12"/>
  <c r="G13" i="12"/>
  <c r="G32" i="12"/>
  <c r="G12" i="12"/>
  <c r="G11" i="12"/>
  <c r="G25" i="12"/>
  <c r="G34" i="12"/>
  <c r="G15" i="12"/>
  <c r="G31" i="12"/>
  <c r="G27" i="12"/>
  <c r="G21" i="12"/>
  <c r="G22" i="12"/>
  <c r="G16" i="12"/>
  <c r="G20" i="12"/>
  <c r="G36" i="12"/>
  <c r="G28" i="12"/>
  <c r="G33" i="12"/>
  <c r="F37" i="12"/>
  <c r="F36" i="12"/>
  <c r="F19" i="12"/>
  <c r="F15" i="12"/>
  <c r="F21" i="12"/>
  <c r="F28" i="12"/>
  <c r="F17" i="12"/>
  <c r="F34" i="12"/>
  <c r="F13" i="12"/>
  <c r="F26" i="12"/>
  <c r="F11" i="12"/>
  <c r="F33" i="12"/>
  <c r="F31" i="12"/>
  <c r="F27" i="12"/>
  <c r="F29" i="12"/>
  <c r="F30" i="12"/>
  <c r="F32" i="12"/>
  <c r="F35" i="12"/>
  <c r="F14" i="12"/>
  <c r="F22" i="12"/>
  <c r="F24" i="12"/>
  <c r="F25" i="12"/>
  <c r="F23" i="12"/>
  <c r="F16" i="12"/>
  <c r="F20" i="12"/>
  <c r="F18" i="12"/>
  <c r="F12" i="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tc={6AE41525-C545-4B83-8686-2D973E356B51}</author>
    <author>tc={D1C5CD7B-740D-43CC-A2B1-661E9701F950}</author>
    <author>tc={D6513010-1C40-479E-8D93-3E5E664A5DD3}</author>
    <author>tc={D716A400-1BA0-4A74-B84E-CB03860A1D57}</author>
    <author>tc={7162E970-0C82-40C0-9D82-4DB3CD06F48A}</author>
    <author>tc={ABA66A1D-C810-456B-991F-51AB6F2F5F4A}</author>
    <author>tc={8DD349DE-7478-43D5-9443-337E52D93429}</author>
  </authors>
  <commentList>
    <comment ref="B11" authorId="0" shapeId="0" xr:uid="{6AE41525-C545-4B83-8686-2D973E356B51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red zone</t>
      </text>
    </comment>
    <comment ref="B17" authorId="1" shapeId="0" xr:uid="{D1C5CD7B-740D-43CC-A2B1-661E9701F950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(north)</t>
      </text>
    </comment>
    <comment ref="B21" authorId="2" shapeId="0" xr:uid="{D6513010-1C40-479E-8D93-3E5E664A5DD3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school closure (Italy)</t>
      </text>
    </comment>
    <comment ref="B24" authorId="3" shapeId="0" xr:uid="{D716A400-1BA0-4A74-B84E-CB03860A1D57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(north)</t>
      </text>
    </comment>
    <comment ref="B26" authorId="4" shapeId="0" xr:uid="{7162E970-0C82-40C0-9D82-4DB3CD06F48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(Italy)</t>
      </text>
    </comment>
    <comment ref="B28" authorId="5" shapeId="0" xr:uid="{ABA66A1D-C810-456B-991F-51AB6F2F5F4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(Italy)</t>
      </text>
    </comment>
    <comment ref="B39" authorId="6" shapeId="0" xr:uid="{8DD349DE-7478-43D5-9443-337E52D93429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reinforced lockdown (Italy)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tc={5FD8839A-74E9-44C2-B5F2-F977D0EA3D98}</author>
    <author>tc={95B83D2D-5EDB-4C8F-91A8-36D622D74B5B}</author>
    <author>tc={FB6547ED-429A-49D7-8367-DE2107BFB931}</author>
    <author>tc={18DCC697-BA7F-479A-8641-1D7FCDC0672D}</author>
    <author>tc={5FB23112-C2D9-44D1-9DAD-0448A5341B10}</author>
    <author>tc={90A59D2F-F1E2-4415-85BD-E03CA55CB6FA}</author>
    <author>tc={0E1A0D26-B3B0-42D1-A5BA-750B79DBB49F}</author>
  </authors>
  <commentList>
    <comment ref="B11" authorId="0" shapeId="0" xr:uid="{5FD8839A-74E9-44C2-B5F2-F977D0EA3D98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red zone</t>
      </text>
    </comment>
    <comment ref="B17" authorId="1" shapeId="0" xr:uid="{95B83D2D-5EDB-4C8F-91A8-36D622D74B5B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(north)</t>
      </text>
    </comment>
    <comment ref="B21" authorId="2" shapeId="0" xr:uid="{FB6547ED-429A-49D7-8367-DE2107BFB931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school closure (Italy)</t>
      </text>
    </comment>
    <comment ref="B24" authorId="3" shapeId="0" xr:uid="{18DCC697-BA7F-479A-8641-1D7FCDC0672D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(north)</t>
      </text>
    </comment>
    <comment ref="B26" authorId="4" shapeId="0" xr:uid="{5FB23112-C2D9-44D1-9DAD-0448A5341B10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(Italy)</t>
      </text>
    </comment>
    <comment ref="B28" authorId="5" shapeId="0" xr:uid="{90A59D2F-F1E2-4415-85BD-E03CA55CB6F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(Italy)</t>
      </text>
    </comment>
    <comment ref="B39" authorId="6" shapeId="0" xr:uid="{0E1A0D26-B3B0-42D1-A5BA-750B79DBB49F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reinforced lockdown (Italy)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97CD08-FC61-4FE4-AB7F-5BD4BDD5E72A}" keepAlive="1" name="Query - dpc-covid19-ita-andamento-nazionale" description="Connessione alla query 'dpc-covid19-ita-andamento-nazionale' nella cartella di lavoro." type="5" refreshedVersion="6" background="1" saveData="1">
    <dbPr connection="Provider=Microsoft.Mashup.OleDb.1;Data Source=$Workbook$;Location=dpc-covid19-ita-andamento-nazionale;Extended Properties=&quot;&quot;" command="SELECT * FROM [dpc-covid19-ita-andamento-nazionale]"/>
  </connection>
  <connection id="2" xr16:uid="{600A235F-1026-4113-A353-F496C5298061}" keepAlive="1" name="Query - dpc-covid19-ita-andamento-nazionale (2)" description="Connessione alla query 'dpc-covid19-ita-andamento-nazionale (2)' nella cartella di lavoro." type="5" refreshedVersion="6" background="1" saveData="1">
    <dbPr connection="Provider=Microsoft.Mashup.OleDb.1;Data Source=$Workbook$;Location=&quot;dpc-covid19-ita-andamento-nazionale (2)&quot;;Extended Properties=&quot;&quot;" command="SELECT * FROM [dpc-covid19-ita-andamento-nazionale (2)]"/>
  </connection>
  <connection id="3" xr16:uid="{34ADFF1E-043C-4677-B979-DBE7398C19BF}" keepAlive="1" name="Query - dpc-covid19-ita-andamento-nazionale (3)" description="Connessione alla query 'dpc-covid19-ita-andamento-nazionale (3)' nella cartella di lavoro." type="5" refreshedVersion="6" background="1" saveData="1">
    <dbPr connection="Provider=Microsoft.Mashup.OleDb.1;Data Source=$Workbook$;Location=&quot;dpc-covid19-ita-andamento-nazionale (3)&quot;;Extended Properties=&quot;&quot;" command="SELECT * FROM [dpc-covid19-ita-andamento-nazionale (3)]"/>
  </connection>
  <connection id="4" xr16:uid="{0A0BBF4F-D2A7-4A62-A8DD-1FCF29187A2E}" keepAlive="1" name="Query - dpc-covid19-ita-andamento-nazionale (4)" description="Connessione alla query 'dpc-covid19-ita-andamento-nazionale (4)' nella cartella di lavoro." type="5" refreshedVersion="6" background="1" saveData="1">
    <dbPr connection="Provider=Microsoft.Mashup.OleDb.1;Data Source=$Workbook$;Location=&quot;dpc-covid19-ita-andamento-nazionale (4)&quot;;Extended Properties=&quot;&quot;" command="SELECT * FROM [dpc-covid19-ita-andamento-nazionale (4)]"/>
  </connection>
  <connection id="5" xr16:uid="{5817D752-AE5E-4436-BE45-4BF93E72AC28}" keepAlive="1" name="Query - dpc-covid19-ita-andamento-nazionale (5)" description="Connessione alla query 'dpc-covid19-ita-andamento-nazionale (5)' nella cartella di lavoro." type="5" refreshedVersion="6" background="1" saveData="1">
    <dbPr connection="Provider=Microsoft.Mashup.OleDb.1;Data Source=$Workbook$;Location=&quot;dpc-covid19-ita-andamento-nazionale (5)&quot;;Extended Properties=&quot;&quot;" command="SELECT * FROM [dpc-covid19-ita-andamento-nazionale (5)]"/>
  </connection>
  <connection id="6" xr16:uid="{308F29F2-CB57-4591-A919-F3C0D66F6FC5}" keepAlive="1" name="Query - dpc-covid19-ita-andamento-nazionale (6)" description="Connessione alla query 'dpc-covid19-ita-andamento-nazionale (6)' nella cartella di lavoro." type="5" refreshedVersion="6" background="1" saveData="1">
    <dbPr connection="Provider=Microsoft.Mashup.OleDb.1;Data Source=$Workbook$;Location=&quot;dpc-covid19-ita-andamento-nazionale (6)&quot;;Extended Properties=&quot;&quot;" command="SELECT * FROM [dpc-covid19-ita-andamento-nazionale (6)]"/>
  </connection>
  <connection id="7" xr16:uid="{DDE20D76-1372-414F-B394-222B3F5DAC9C}" keepAlive="1" name="Query - dpc-covid19-ita-andamento-nazionale (7)" description="Connessione alla query 'dpc-covid19-ita-andamento-nazionale (7)' nella cartella di lavoro." type="5" refreshedVersion="6" background="1" saveData="1">
    <dbPr connection="Provider=Microsoft.Mashup.OleDb.1;Data Source=$Workbook$;Location=&quot;dpc-covid19-ita-andamento-nazionale (7)&quot;;Extended Properties=&quot;&quot;" command="SELECT * FROM [dpc-covid19-ita-andamento-nazionale (7)]"/>
  </connection>
  <connection id="8" xr16:uid="{FEE30F67-BB06-4262-8312-A07884C3129D}" keepAlive="1" name="Query - dpc-covid19-ita-andamento-nazionale (8)" description="Connessione alla query 'dpc-covid19-ita-andamento-nazionale (8)' nella cartella di lavoro." type="5" refreshedVersion="6" background="1" saveData="1">
    <dbPr connection="Provider=Microsoft.Mashup.OleDb.1;Data Source=$Workbook$;Location=&quot;dpc-covid19-ita-andamento-nazionale (8)&quot;;Extended Properties=&quot;&quot;" command="SELECT * FROM [dpc-covid19-ita-andamento-nazionale (8)]"/>
  </connection>
  <connection id="9" xr16:uid="{35EC220A-A28A-4804-A7E9-6B59E3FB97E2}" keepAlive="1" name="Query - Tabella1" description="Connessione alla query 'Tabella1' nella cartella di lavoro." type="5" refreshedVersion="6" background="1" saveData="1">
    <dbPr connection="Provider=Microsoft.Mashup.OleDb.1;Data Source=$Workbook$;Location=Tabella1;Extended Properties=&quot;&quot;" command="SELECT * FROM [Tabella1]"/>
  </connection>
  <connection id="10" xr16:uid="{32D9E78D-2352-4A60-B92C-007831B03845}" keepAlive="1" name="ThisWorkbookDataModel" description="Modello di dati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11" xr16:uid="{D40C31B4-445A-4A48-8814-96FBC01F01BB}" name="WorksheetConnection_COVID-19 Italy cases trend - B fit.xlsx!dpc_covid19_ita_andamento_nazionale" type="102" refreshedVersion="6" minRefreshableVersion="5">
    <extLst>
      <ext xmlns:x15="http://schemas.microsoft.com/office/spreadsheetml/2010/11/main" uri="{DE250136-89BD-433C-8126-D09CA5730AF9}">
        <x15:connection id="dpc_covid19_ita_andamento_nazionale" autoDelete="1">
          <x15:rangePr sourceName="_xlcn.WorksheetConnection_COVID19ItalycasestrendBfit.xlsxdpc_covid19_ita_andamento_nazionale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<sst xmlns="http://schemas.openxmlformats.org/spreadsheetml/2006/main" count="208" uniqueCount="70">
  <si>
    <t>K=</t>
  </si>
  <si>
    <t>w=</t>
  </si>
  <si>
    <t>Mean_of_y</t>
  </si>
  <si>
    <t>df</t>
  </si>
  <si>
    <t>SE_of_y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</si>
  <si>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</si>
  <si>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Critical_t</t>
  </si>
  <si>
    <t>CI</t>
  </si>
  <si>
    <t>Date</t>
  </si>
  <si>
    <t>Day</t>
  </si>
  <si>
    <t>Confirmed cases</t>
  </si>
  <si>
    <t>Iterative non-linear least squares regression</t>
  </si>
  <si>
    <t>data</t>
  </si>
  <si>
    <t>stato</t>
  </si>
  <si>
    <t>ricoverati_con_sintomi</t>
  </si>
  <si>
    <t>terapia_intensiva</t>
  </si>
  <si>
    <t>totale_ospedalizzati</t>
  </si>
  <si>
    <t>isolamento_domiciliare</t>
  </si>
  <si>
    <t>dimessi_guariti</t>
  </si>
  <si>
    <t>deceduti</t>
  </si>
  <si>
    <t>totale_casi</t>
  </si>
  <si>
    <t>tamponi</t>
  </si>
  <si>
    <t>ITA</t>
  </si>
  <si>
    <r>
      <t>t</t>
    </r>
    <r>
      <rPr>
        <i/>
        <vertAlign val="subscript"/>
        <sz val="14"/>
        <color theme="1"/>
        <rFont val="Calibri"/>
        <family val="2"/>
        <scheme val="minor"/>
      </rPr>
      <t>0</t>
    </r>
    <r>
      <rPr>
        <i/>
        <sz val="14"/>
        <color theme="1"/>
        <rFont val="Calibri"/>
        <family val="2"/>
        <scheme val="minor"/>
      </rPr>
      <t>=</t>
    </r>
  </si>
  <si>
    <r>
      <t>t</t>
    </r>
    <r>
      <rPr>
        <i/>
        <vertAlign val="subscript"/>
        <sz val="11"/>
        <color theme="1"/>
        <rFont val="Calibri"/>
        <family val="2"/>
        <scheme val="minor"/>
      </rPr>
      <t>0</t>
    </r>
    <r>
      <rPr>
        <i/>
        <sz val="11"/>
        <color theme="1"/>
        <rFont val="Calibri"/>
        <family val="2"/>
        <scheme val="minor"/>
      </rPr>
      <t>=</t>
    </r>
  </si>
  <si>
    <t>Cum_confirmed</t>
  </si>
  <si>
    <t>New cases</t>
  </si>
  <si>
    <t>note_it</t>
  </si>
  <si>
    <t>note_en</t>
  </si>
  <si>
    <t/>
  </si>
  <si>
    <t>pd-IT-0003</t>
  </si>
  <si>
    <t>pd-EN-0003</t>
  </si>
  <si>
    <t>pd-IT-0005</t>
  </si>
  <si>
    <t>pd-EN-0005</t>
  </si>
  <si>
    <t>nd-IT-0002</t>
  </si>
  <si>
    <t>nd-EN-0002</t>
  </si>
  <si>
    <t>nd-IT-0004;nd-IT-0006</t>
  </si>
  <si>
    <t>nd-EN-0004;nd-EN-0006</t>
  </si>
  <si>
    <t>nd-IT-0009</t>
  </si>
  <si>
    <t>nd-EN-0009</t>
  </si>
  <si>
    <t>nd-IT-0012;nd-IT-0014</t>
  </si>
  <si>
    <t>nd-EN-0012;nd-EN-0014</t>
  </si>
  <si>
    <t>pd-IT-0007</t>
  </si>
  <si>
    <t>pd-EN-0007</t>
  </si>
  <si>
    <t>C. Upper CI</t>
  </si>
  <si>
    <t>C. Lower CI</t>
  </si>
  <si>
    <t>Confirmed</t>
  </si>
  <si>
    <t>pd-IT-0009</t>
  </si>
  <si>
    <t>pd-EN-0009</t>
  </si>
  <si>
    <t>Modeling function: Power law with exponential cut-off</t>
  </si>
  <si>
    <t>totale_positivi</t>
  </si>
  <si>
    <t>variazione_totale_positivi</t>
  </si>
  <si>
    <t>nuovi_positivi</t>
  </si>
  <si>
    <t>Deaths</t>
  </si>
  <si>
    <t>Confirmed fit</t>
  </si>
  <si>
    <t>Deaths fit</t>
  </si>
  <si>
    <t>D. Upper CI</t>
  </si>
  <si>
    <t>D. Lower CI</t>
  </si>
  <si>
    <t>Solver method: GRG non linear engine - option: default</t>
  </si>
  <si>
    <t>Cum_fit</t>
  </si>
  <si>
    <t>New_fit</t>
  </si>
  <si>
    <t>C_Upper CI</t>
  </si>
  <si>
    <t>C_Lower CI</t>
  </si>
  <si>
    <t>Cum_deaths</t>
  </si>
  <si>
    <t>New deaths</t>
  </si>
  <si>
    <t>Cum_D_fit</t>
  </si>
  <si>
    <t>New_D_fit</t>
  </si>
  <si>
    <t>ND_Upper CI</t>
  </si>
  <si>
    <t>ND_Lower CI</t>
  </si>
  <si>
    <t>fitting 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</si>
</sst>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000"/>
  </numFmts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vertAlign val="subscript"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5" fillId="3" borderId="1" applyNumberFormat="0" applyFont="0" applyAlignment="0" applyProtection="0"/>
  </cellStyleXfs>
  <cellXfs count="37">
    <xf numFmtId="0" fontId="0" fillId="0" borderId="0" xfId="0"/>
    <xf numFmtId="1" fontId="0" fillId="0" borderId="0" xfId="0" applyNumberFormat="1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Fill="1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wrapText="1"/>
    </xf>
    <xf numFmtId="16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Border="1"/>
    <xf numFmtId="0" fontId="0" fillId="0" borderId="0" xfId="0" applyBorder="1"/>
    <xf numFmtId="0" fontId="1" fillId="0" borderId="0" xfId="0" applyFont="1" applyBorder="1"/>
    <xf numFmtId="0" fontId="3" fillId="0" borderId="0" xfId="0" applyFont="1" applyBorder="1"/>
    <xf numFmtId="0" fontId="0" fillId="0" borderId="0" xfId="0" applyAlignment="1">
      <alignment horizontal="left" vertical="center"/>
    </xf>
    <xf numFmtId="0" fontId="0" fillId="0" borderId="0" xfId="0" applyNumberFormat="1"/>
    <xf numFmtId="22" fontId="0" fillId="0" borderId="0" xfId="0" applyNumberFormat="1"/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2" borderId="0" xfId="0" applyFont="1" applyFill="1"/>
    <xf numFmtId="16" fontId="0" fillId="3" borderId="1" xfId="1" applyNumberFormat="1" applyFont="1" applyAlignment="1">
      <alignment horizontal="center"/>
    </xf>
    <xf numFmtId="0" fontId="10" fillId="0" borderId="0" xfId="0" applyFont="1" applyAlignment="1">
      <alignment horizontal="center" wrapText="1"/>
    </xf>
    <xf numFmtId="164" fontId="0" fillId="2" borderId="0" xfId="0" applyNumberFormat="1" applyFill="1"/>
    <xf numFmtId="165" fontId="0" fillId="0" borderId="0" xfId="0" applyNumberFormat="1" applyAlignment="1">
      <alignment horizontal="center"/>
    </xf>
    <xf numFmtId="16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3" fillId="0" borderId="0" xfId="0" applyFont="1"/>
    <xf numFmtId="0" fontId="11" fillId="0" borderId="0" xfId="0" applyFont="1" applyAlignment="1">
      <alignment horizontal="center" wrapText="1"/>
    </xf>
    <xf numFmtId="2" fontId="0" fillId="2" borderId="0" xfId="0" applyNumberFormat="1" applyFill="1"/>
    <xf numFmtId="0" fontId="10" fillId="0" borderId="0" xfId="0" applyFont="1"/>
    <xf numFmtId="1" fontId="10" fillId="0" borderId="0" xfId="0" applyNumberFormat="1" applyFont="1"/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1" fontId="12" fillId="0" borderId="0" xfId="0" applyNumberFormat="1" applyFont="1" applyAlignment="1">
      <alignment horizontal="center"/>
    </xf>
  </cellXfs>
  <cellStyles count="2">
    <cellStyle name="Normale" xfId="0" builtinId="0"/>
    <cellStyle name="Nota" xfId="1" builtinId="1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alcChain" Target="calcChain.xml"/><Relationship Id="rId5" Type="http://schemas.openxmlformats.org/officeDocument/2006/relationships/connections" Target="connections.xml"/><Relationship Id="rId10" Type="http://schemas.microsoft.com/office/2017/10/relationships/person" Target="persons/person.xml"/><Relationship Id="rId4" Type="http://schemas.openxmlformats.org/officeDocument/2006/relationships/theme" Target="theme/theme1.xml"/><Relationship Id="rId9" Type="http://schemas.openxmlformats.org/officeDocument/2006/relationships/powerPivotData" Target="model/item.data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COVID-19 Italy Confirmed Cases</a:t>
            </a:r>
          </a:p>
          <a:p>
            <a:pPr>
              <a:defRPr/>
            </a:pPr>
            <a:r>
              <a:rPr lang="it-IT"/>
              <a:t>Cumulative Cases and Deaths - Power</a:t>
            </a:r>
            <a:r>
              <a:rPr lang="it-IT" baseline="0"/>
              <a:t> law w/ Exp. cut-off model fit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'Cumul_confirmed - Power law fit'!$D$6</c:f>
              <c:strCache>
                <c:ptCount val="1"/>
                <c:pt idx="0">
                  <c:v>Confirmed cases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'Cumul_confirmed - Power law fit'!$C$7:$C$70</c:f>
              <c:numCache>
                <c:formatCode>General</c:formatCod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numCache>
            </c:numRef>
          </c:xVal>
          <c:yVal>
            <c:numRef>
              <c:f>'Cumul_confirmed - Power law fit'!$D$7:$D$70</c:f>
              <c:numCache>
                <c:formatCode>0</c:formatCode>
                <c:ptCount val="64"/>
                <c:pt idx="0">
                  <c:v>3</c:v>
                </c:pt>
                <c:pt idx="1">
                  <c:v>20</c:v>
                </c:pt>
                <c:pt idx="2">
                  <c:v>62</c:v>
                </c:pt>
                <c:pt idx="3">
                  <c:v>155</c:v>
                </c:pt>
                <c:pt idx="4">
                  <c:v>229</c:v>
                </c:pt>
                <c:pt idx="5">
                  <c:v>322</c:v>
                </c:pt>
                <c:pt idx="6">
                  <c:v>400</c:v>
                </c:pt>
                <c:pt idx="7">
                  <c:v>650</c:v>
                </c:pt>
                <c:pt idx="8">
                  <c:v>888</c:v>
                </c:pt>
                <c:pt idx="9">
                  <c:v>1128</c:v>
                </c:pt>
                <c:pt idx="10">
                  <c:v>1694</c:v>
                </c:pt>
                <c:pt idx="11">
                  <c:v>2036</c:v>
                </c:pt>
                <c:pt idx="12">
                  <c:v>2502</c:v>
                </c:pt>
                <c:pt idx="13">
                  <c:v>3089</c:v>
                </c:pt>
                <c:pt idx="14">
                  <c:v>3858</c:v>
                </c:pt>
                <c:pt idx="15">
                  <c:v>4636</c:v>
                </c:pt>
                <c:pt idx="16">
                  <c:v>5883</c:v>
                </c:pt>
                <c:pt idx="17">
                  <c:v>7375</c:v>
                </c:pt>
                <c:pt idx="18">
                  <c:v>9172</c:v>
                </c:pt>
                <c:pt idx="19">
                  <c:v>10149</c:v>
                </c:pt>
                <c:pt idx="20">
                  <c:v>12462</c:v>
                </c:pt>
                <c:pt idx="21">
                  <c:v>15113</c:v>
                </c:pt>
                <c:pt idx="22">
                  <c:v>17660</c:v>
                </c:pt>
                <c:pt idx="23">
                  <c:v>21157</c:v>
                </c:pt>
                <c:pt idx="24">
                  <c:v>24747</c:v>
                </c:pt>
                <c:pt idx="25">
                  <c:v>27980</c:v>
                </c:pt>
                <c:pt idx="26">
                  <c:v>31506</c:v>
                </c:pt>
                <c:pt idx="27">
                  <c:v>35713</c:v>
                </c:pt>
                <c:pt idx="28">
                  <c:v>41035</c:v>
                </c:pt>
                <c:pt idx="29">
                  <c:v>47021</c:v>
                </c:pt>
                <c:pt idx="30">
                  <c:v>53578</c:v>
                </c:pt>
                <c:pt idx="31">
                  <c:v>59138</c:v>
                </c:pt>
                <c:pt idx="32">
                  <c:v>63927</c:v>
                </c:pt>
                <c:pt idx="33">
                  <c:v>69176</c:v>
                </c:pt>
                <c:pt idx="34">
                  <c:v>74386</c:v>
                </c:pt>
                <c:pt idx="35">
                  <c:v>80539</c:v>
                </c:pt>
                <c:pt idx="36">
                  <c:v>86498</c:v>
                </c:pt>
                <c:pt idx="37">
                  <c:v>92472</c:v>
                </c:pt>
                <c:pt idx="38">
                  <c:v>97689</c:v>
                </c:pt>
                <c:pt idx="39">
                  <c:v>101739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53-4CB1-96E6-9EE72B263DE7}"/>
            </c:ext>
          </c:extLst>
        </c:ser>
        <c:ser>
          <c:idx val="1"/>
          <c:order val="1"/>
          <c:tx>
            <c:strRef>
              <c:f>'Cumul_confirmed - Power law fit'!$E$6</c:f>
              <c:strCache>
                <c:ptCount val="1"/>
                <c:pt idx="0">
                  <c:v>Confirmed fit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'Cumul_confirmed - Power law fit'!$C$7:$C$70</c:f>
              <c:numCache>
                <c:formatCode>General</c:formatCod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numCache>
            </c:numRef>
          </c:xVal>
          <c:yVal>
            <c:numRef>
              <c:f>'Cumul_confirmed - Power law fit'!$E$7:$E$70</c:f>
              <c:numCache>
                <c:formatCode>General</c:formatCode>
                <c:ptCount val="64"/>
                <c:pt idx="0">
                  <c:v>1.8654266224030447E-4</c:v>
                </c:pt>
                <c:pt idx="1">
                  <c:v>1.7720199467880973E-2</c:v>
                </c:pt>
                <c:pt idx="2">
                  <c:v>0.24093812652103822</c:v>
                </c:pt>
                <c:pt idx="3">
                  <c:v>1.4783206459580431</c:v>
                </c:pt>
                <c:pt idx="4">
                  <c:v>5.865984814687514</c:v>
                </c:pt>
                <c:pt idx="5">
                  <c:v>17.670011504207679</c:v>
                </c:pt>
                <c:pt idx="6">
                  <c:v>44.014154642498461</c:v>
                </c:pt>
                <c:pt idx="7">
                  <c:v>95.406031716527707</c:v>
                </c:pt>
                <c:pt idx="8">
                  <c:v>185.98910736573509</c:v>
                </c:pt>
                <c:pt idx="9">
                  <c:v>333.49758294867723</c:v>
                </c:pt>
                <c:pt idx="10">
                  <c:v>558.9302835082417</c:v>
                </c:pt>
                <c:pt idx="11">
                  <c:v>885.98629993916131</c:v>
                </c:pt>
                <c:pt idx="12">
                  <c:v>1340.3204449258701</c:v>
                </c:pt>
                <c:pt idx="13">
                  <c:v>1948.6825231841995</c:v>
                </c:pt>
                <c:pt idx="14">
                  <c:v>2738.003304556124</c:v>
                </c:pt>
                <c:pt idx="15">
                  <c:v>3734.4841203908659</c:v>
                </c:pt>
                <c:pt idx="16">
                  <c:v>4962.7380761054428</c:v>
                </c:pt>
                <c:pt idx="17">
                  <c:v>6445.0205107730717</c:v>
                </c:pt>
                <c:pt idx="18">
                  <c:v>8200.5756901631667</c:v>
                </c:pt>
                <c:pt idx="19">
                  <c:v>10245.116607730188</c:v>
                </c:pt>
                <c:pt idx="20">
                  <c:v>12590.445718100262</c:v>
                </c:pt>
                <c:pt idx="21">
                  <c:v>15244.216739880787</c:v>
                </c:pt>
                <c:pt idx="22">
                  <c:v>18209.831463756516</c:v>
                </c:pt>
                <c:pt idx="23">
                  <c:v>21486.460784511946</c:v>
                </c:pt>
                <c:pt idx="24">
                  <c:v>25069.175850713968</c:v>
                </c:pt>
                <c:pt idx="25">
                  <c:v>28949.173146900568</c:v>
                </c:pt>
                <c:pt idx="26">
                  <c:v>33114.076313891623</c:v>
                </c:pt>
                <c:pt idx="27">
                  <c:v>37548.29738590966</c:v>
                </c:pt>
                <c:pt idx="28">
                  <c:v>42233.440693814533</c:v>
                </c:pt>
                <c:pt idx="29">
                  <c:v>47148.733778946626</c:v>
                </c:pt>
                <c:pt idx="30">
                  <c:v>52271.471126365686</c:v>
                </c:pt>
                <c:pt idx="31">
                  <c:v>57577.458224726564</c:v>
                </c:pt>
                <c:pt idx="32">
                  <c:v>63041.445279301304</c:v>
                </c:pt>
                <c:pt idx="33">
                  <c:v>68637.541752623962</c:v>
                </c:pt>
                <c:pt idx="34">
                  <c:v>74339.604711711974</c:v>
                </c:pt>
                <c:pt idx="35">
                  <c:v>80121.595667649526</c:v>
                </c:pt>
                <c:pt idx="36">
                  <c:v>85957.902164171624</c:v>
                </c:pt>
                <c:pt idx="37">
                  <c:v>91823.621781912458</c:v>
                </c:pt>
                <c:pt idx="38">
                  <c:v>97694.807460544267</c:v>
                </c:pt>
                <c:pt idx="39">
                  <c:v>103548.67409751573</c:v>
                </c:pt>
                <c:pt idx="40">
                  <c:v>109363.76726195804</c:v>
                </c:pt>
                <c:pt idx="41">
                  <c:v>115120.09557332384</c:v>
                </c:pt>
                <c:pt idx="42">
                  <c:v>120799.22884800915</c:v>
                </c:pt>
                <c:pt idx="43">
                  <c:v>126384.36452766349</c:v>
                </c:pt>
                <c:pt idx="44">
                  <c:v>131860.36518565356</c:v>
                </c:pt>
                <c:pt idx="45">
                  <c:v>137213.77007936398</c:v>
                </c:pt>
                <c:pt idx="46">
                  <c:v>142432.78379181627</c:v>
                </c:pt>
                <c:pt idx="47">
                  <c:v>147507.24500202347</c:v>
                </c:pt>
                <c:pt idx="48">
                  <c:v>152428.57835422142</c:v>
                </c:pt>
                <c:pt idx="49">
                  <c:v>157189.73227516806</c:v>
                </c:pt>
                <c:pt idx="50">
                  <c:v>161785.10542822181</c:v>
                </c:pt>
                <c:pt idx="51">
                  <c:v>166210.46430379033</c:v>
                </c:pt>
                <c:pt idx="52">
                  <c:v>170462.85423735518</c:v>
                </c:pt>
                <c:pt idx="53">
                  <c:v>174540.50592673742</c:v>
                </c:pt>
                <c:pt idx="54">
                  <c:v>178442.7392963357</c:v>
                </c:pt>
                <c:pt idx="55">
                  <c:v>182169.86633332973</c:v>
                </c:pt>
                <c:pt idx="56">
                  <c:v>185723.09430376702</c:v>
                </c:pt>
                <c:pt idx="57">
                  <c:v>189104.43054853796</c:v>
                </c:pt>
                <c:pt idx="58">
                  <c:v>192316.58986310445</c:v>
                </c:pt>
                <c:pt idx="59">
                  <c:v>195362.90528233847</c:v>
                </c:pt>
                <c:pt idx="60">
                  <c:v>198247.24292416271</c:v>
                </c:pt>
                <c:pt idx="61">
                  <c:v>200973.92139351805</c:v>
                </c:pt>
                <c:pt idx="62">
                  <c:v>203547.63611172285</c:v>
                </c:pt>
                <c:pt idx="63">
                  <c:v>205973.38881537435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FF0-4CB3-AB19-55A9226D7056}"/>
            </c:ext>
          </c:extLst>
        </c:ser>
        <c:ser>
          <c:idx val="2"/>
          <c:order val="2"/>
          <c:tx>
            <c:strRef>
              <c:f>'Cumul_confirmed - Power law fit'!$F$6</c:f>
              <c:strCache>
                <c:ptCount val="1"/>
                <c:pt idx="0">
                  <c:v>C. Upper CI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'Cumul_confirmed - Power law fit'!$C$7:$C$70</c:f>
              <c:numCache>
                <c:formatCode>General</c:formatCod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numCache>
            </c:numRef>
          </c:xVal>
          <c:yVal>
            <c:numRef>
              <c:f>'Cumul_confirmed - Power law fit'!$F$7:$F$70</c:f>
              <c:numCache>
                <c:formatCode>0</c:formatCode>
                <c:ptCount val="64"/>
                <c:pt idx="0">
                  <c:v>1824.3464917063702</c:v>
                </c:pt>
                <c:pt idx="1">
                  <c:v>1824.3640253631759</c:v>
                </c:pt>
                <c:pt idx="2">
                  <c:v>1824.587243290229</c:v>
                </c:pt>
                <c:pt idx="3">
                  <c:v>1825.824625809666</c:v>
                </c:pt>
                <c:pt idx="4">
                  <c:v>1830.2122899783953</c:v>
                </c:pt>
                <c:pt idx="5">
                  <c:v>1842.0163166679156</c:v>
                </c:pt>
                <c:pt idx="6">
                  <c:v>1868.3604598062063</c:v>
                </c:pt>
                <c:pt idx="7">
                  <c:v>1919.7523368802356</c:v>
                </c:pt>
                <c:pt idx="8">
                  <c:v>2010.3354125294431</c:v>
                </c:pt>
                <c:pt idx="9">
                  <c:v>2157.8438881123852</c:v>
                </c:pt>
                <c:pt idx="10">
                  <c:v>2383.2765886719499</c:v>
                </c:pt>
                <c:pt idx="11">
                  <c:v>2710.3326051028694</c:v>
                </c:pt>
                <c:pt idx="12">
                  <c:v>3164.6667500895783</c:v>
                </c:pt>
                <c:pt idx="13">
                  <c:v>3773.0288283479076</c:v>
                </c:pt>
                <c:pt idx="14">
                  <c:v>4562.3496097198322</c:v>
                </c:pt>
                <c:pt idx="15">
                  <c:v>5558.8304255545736</c:v>
                </c:pt>
                <c:pt idx="16">
                  <c:v>6787.084381269151</c:v>
                </c:pt>
                <c:pt idx="17">
                  <c:v>8269.3668159367789</c:v>
                </c:pt>
                <c:pt idx="18">
                  <c:v>10024.921995326875</c:v>
                </c:pt>
                <c:pt idx="19">
                  <c:v>12069.462912893896</c:v>
                </c:pt>
                <c:pt idx="20">
                  <c:v>14414.79202326397</c:v>
                </c:pt>
                <c:pt idx="21">
                  <c:v>17068.563045044495</c:v>
                </c:pt>
                <c:pt idx="22">
                  <c:v>20034.177768920224</c:v>
                </c:pt>
                <c:pt idx="23">
                  <c:v>23310.807089675654</c:v>
                </c:pt>
                <c:pt idx="24">
                  <c:v>26893.522155877676</c:v>
                </c:pt>
                <c:pt idx="25">
                  <c:v>30773.519452064276</c:v>
                </c:pt>
                <c:pt idx="26">
                  <c:v>34938.422619055331</c:v>
                </c:pt>
                <c:pt idx="27">
                  <c:v>39372.643691073368</c:v>
                </c:pt>
                <c:pt idx="28">
                  <c:v>44057.786998978241</c:v>
                </c:pt>
                <c:pt idx="29">
                  <c:v>48973.080084110334</c:v>
                </c:pt>
                <c:pt idx="30">
                  <c:v>54095.817431529395</c:v>
                </c:pt>
                <c:pt idx="31">
                  <c:v>59401.804529890273</c:v>
                </c:pt>
                <c:pt idx="32">
                  <c:v>64865.791584465012</c:v>
                </c:pt>
                <c:pt idx="33">
                  <c:v>70461.88805778767</c:v>
                </c:pt>
                <c:pt idx="34">
                  <c:v>76163.951016875682</c:v>
                </c:pt>
                <c:pt idx="35">
                  <c:v>81945.941972813234</c:v>
                </c:pt>
                <c:pt idx="36">
                  <c:v>87782.248469335333</c:v>
                </c:pt>
                <c:pt idx="37">
                  <c:v>93647.968087076166</c:v>
                </c:pt>
                <c:pt idx="38">
                  <c:v>99519.153765707975</c:v>
                </c:pt>
                <c:pt idx="39">
                  <c:v>105373.02040267944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FF0-4CB3-AB19-55A9226D7056}"/>
            </c:ext>
          </c:extLst>
        </c:ser>
        <c:ser>
          <c:idx val="3"/>
          <c:order val="3"/>
          <c:tx>
            <c:strRef>
              <c:f>'Cumul_confirmed - Power law fit'!$G$6</c:f>
              <c:strCache>
                <c:ptCount val="1"/>
                <c:pt idx="0">
                  <c:v>C. Lower CI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'Cumul_confirmed - Power law fit'!$C$7:$C$70</c:f>
              <c:numCache>
                <c:formatCode>General</c:formatCod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numCache>
            </c:numRef>
          </c:xVal>
          <c:yVal>
            <c:numRef>
              <c:f>'Cumul_confirmed - Power law fit'!$G$7:$G$70</c:f>
              <c:numCache>
                <c:formatCode>0</c:formatCode>
                <c:ptCount val="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124.33621802049151</c:v>
                </c:pt>
                <c:pt idx="14">
                  <c:v>913.65699939241608</c:v>
                </c:pt>
                <c:pt idx="15">
                  <c:v>1910.1378152271579</c:v>
                </c:pt>
                <c:pt idx="16">
                  <c:v>3138.3917709417346</c:v>
                </c:pt>
                <c:pt idx="17">
                  <c:v>4620.6742056093635</c:v>
                </c:pt>
                <c:pt idx="18">
                  <c:v>6376.2293849994585</c:v>
                </c:pt>
                <c:pt idx="19">
                  <c:v>8420.7703025664796</c:v>
                </c:pt>
                <c:pt idx="20">
                  <c:v>10766.099412936554</c:v>
                </c:pt>
                <c:pt idx="21">
                  <c:v>13419.870434717079</c:v>
                </c:pt>
                <c:pt idx="22">
                  <c:v>16385.485158592808</c:v>
                </c:pt>
                <c:pt idx="23">
                  <c:v>19662.114479348238</c:v>
                </c:pt>
                <c:pt idx="24">
                  <c:v>23244.829545550259</c:v>
                </c:pt>
                <c:pt idx="25">
                  <c:v>27124.82684173686</c:v>
                </c:pt>
                <c:pt idx="26">
                  <c:v>31289.730008727915</c:v>
                </c:pt>
                <c:pt idx="27">
                  <c:v>35723.951080745952</c:v>
                </c:pt>
                <c:pt idx="28">
                  <c:v>40409.094388650825</c:v>
                </c:pt>
                <c:pt idx="29">
                  <c:v>45324.387473782917</c:v>
                </c:pt>
                <c:pt idx="30">
                  <c:v>50447.124821201978</c:v>
                </c:pt>
                <c:pt idx="31">
                  <c:v>55753.111919562856</c:v>
                </c:pt>
                <c:pt idx="32">
                  <c:v>61217.098974137596</c:v>
                </c:pt>
                <c:pt idx="33">
                  <c:v>66813.195447460253</c:v>
                </c:pt>
                <c:pt idx="34">
                  <c:v>72515.258406548266</c:v>
                </c:pt>
                <c:pt idx="35">
                  <c:v>78297.249362485818</c:v>
                </c:pt>
                <c:pt idx="36">
                  <c:v>84133.555859007916</c:v>
                </c:pt>
                <c:pt idx="37">
                  <c:v>89999.275476748749</c:v>
                </c:pt>
                <c:pt idx="38">
                  <c:v>95870.461155380559</c:v>
                </c:pt>
                <c:pt idx="39">
                  <c:v>101724.32779235202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FF0-4CB3-AB19-55A9226D7056}"/>
            </c:ext>
          </c:extLst>
        </c:ser>
        <c:ser>
          <c:idx val="4"/>
          <c:order val="4"/>
          <c:tx>
            <c:strRef>
              <c:f>'Cumul_confirmed - Power law fit'!$H$6</c:f>
              <c:strCache>
                <c:ptCount val="1"/>
                <c:pt idx="0">
                  <c:v>Deaths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  <a:round/>
              </a:ln>
              <a:effectLst/>
            </c:spPr>
          </c:marker>
          <c:yVal>
            <c:numRef>
              <c:f>'Cumul_confirmed - Power law fit'!$H$7:$H$70</c:f>
              <c:numCache>
                <c:formatCode>General</c:formatCode>
                <c:ptCount val="6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 formatCode="0">
                  <c:v>7</c:v>
                </c:pt>
                <c:pt idx="5" formatCode="0">
                  <c:v>10</c:v>
                </c:pt>
                <c:pt idx="6" formatCode="0">
                  <c:v>12</c:v>
                </c:pt>
                <c:pt idx="7" formatCode="0">
                  <c:v>17</c:v>
                </c:pt>
                <c:pt idx="8" formatCode="0">
                  <c:v>21</c:v>
                </c:pt>
                <c:pt idx="9" formatCode="0">
                  <c:v>29</c:v>
                </c:pt>
                <c:pt idx="10" formatCode="0">
                  <c:v>34</c:v>
                </c:pt>
                <c:pt idx="11" formatCode="0">
                  <c:v>52</c:v>
                </c:pt>
                <c:pt idx="12" formatCode="0">
                  <c:v>79</c:v>
                </c:pt>
                <c:pt idx="13" formatCode="0">
                  <c:v>107</c:v>
                </c:pt>
                <c:pt idx="14" formatCode="0">
                  <c:v>148</c:v>
                </c:pt>
                <c:pt idx="15" formatCode="0">
                  <c:v>197</c:v>
                </c:pt>
                <c:pt idx="16" formatCode="0">
                  <c:v>233</c:v>
                </c:pt>
                <c:pt idx="17" formatCode="0">
                  <c:v>366</c:v>
                </c:pt>
                <c:pt idx="18" formatCode="0">
                  <c:v>463</c:v>
                </c:pt>
                <c:pt idx="19" formatCode="0">
                  <c:v>631</c:v>
                </c:pt>
                <c:pt idx="20" formatCode="0">
                  <c:v>827</c:v>
                </c:pt>
                <c:pt idx="21" formatCode="0">
                  <c:v>1016</c:v>
                </c:pt>
                <c:pt idx="22" formatCode="0">
                  <c:v>1266</c:v>
                </c:pt>
                <c:pt idx="23" formatCode="0">
                  <c:v>1441</c:v>
                </c:pt>
                <c:pt idx="24" formatCode="0">
                  <c:v>1809</c:v>
                </c:pt>
                <c:pt idx="25" formatCode="0">
                  <c:v>2158</c:v>
                </c:pt>
                <c:pt idx="26" formatCode="0">
                  <c:v>2503</c:v>
                </c:pt>
                <c:pt idx="27" formatCode="0">
                  <c:v>2978</c:v>
                </c:pt>
                <c:pt idx="28" formatCode="0">
                  <c:v>3405</c:v>
                </c:pt>
                <c:pt idx="29" formatCode="0">
                  <c:v>4032</c:v>
                </c:pt>
                <c:pt idx="30" formatCode="0">
                  <c:v>4825</c:v>
                </c:pt>
                <c:pt idx="31" formatCode="0">
                  <c:v>5476</c:v>
                </c:pt>
                <c:pt idx="32" formatCode="0">
                  <c:v>6077</c:v>
                </c:pt>
                <c:pt idx="33" formatCode="0">
                  <c:v>6820</c:v>
                </c:pt>
                <c:pt idx="34" formatCode="0">
                  <c:v>7503</c:v>
                </c:pt>
                <c:pt idx="35" formatCode="0">
                  <c:v>8165</c:v>
                </c:pt>
                <c:pt idx="36" formatCode="0">
                  <c:v>9134</c:v>
                </c:pt>
                <c:pt idx="37" formatCode="0">
                  <c:v>10023</c:v>
                </c:pt>
                <c:pt idx="38" formatCode="0">
                  <c:v>10779</c:v>
                </c:pt>
                <c:pt idx="39" formatCode="0">
                  <c:v>11591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86-4915-A43B-0A60333EE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</c:scatterChart>
      <c:scatterChart>
        <c:scatterStyle val="smoothMarker"/>
        <c:varyColors val="0"/>
        <c:ser>
          <c:idx val="5"/>
          <c:order val="5"/>
          <c:tx>
            <c:strRef>
              <c:f>'Cumul_confirmed - Power law fit'!$I$6</c:f>
              <c:strCache>
                <c:ptCount val="1"/>
                <c:pt idx="0">
                  <c:v>Deaths fit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yVal>
            <c:numRef>
              <c:f>'Cumul_confirmed - Power law fit'!$I$7:$I$70</c:f>
              <c:numCache>
                <c:formatCode>General</c:formatCode>
                <c:ptCount val="64"/>
                <c:pt idx="0">
                  <c:v>1.1888573384959393E-6</c:v>
                </c:pt>
                <c:pt idx="1">
                  <c:v>1.8373029630080321E-4</c:v>
                </c:pt>
                <c:pt idx="2">
                  <c:v>3.3364929711350152E-3</c:v>
                </c:pt>
                <c:pt idx="3">
                  <c:v>2.521844495253962E-2</c:v>
                </c:pt>
                <c:pt idx="4">
                  <c:v>0.11792300844479185</c:v>
                </c:pt>
                <c:pt idx="5">
                  <c:v>0.40700982934937424</c:v>
                </c:pt>
                <c:pt idx="6">
                  <c:v>1.1393010572896154</c:v>
                </c:pt>
                <c:pt idx="7">
                  <c:v>2.7359902036852537</c:v>
                </c:pt>
                <c:pt idx="8">
                  <c:v>5.8449669070882369</c:v>
                </c:pt>
                <c:pt idx="9">
                  <c:v>11.386626800176748</c:v>
                </c:pt>
                <c:pt idx="10">
                  <c:v>20.588498882420634</c:v>
                </c:pt>
                <c:pt idx="11">
                  <c:v>35.005434290321617</c:v>
                </c:pt>
                <c:pt idx="12">
                  <c:v>56.523597123181254</c:v>
                </c:pt>
                <c:pt idx="13">
                  <c:v>87.347899935685575</c:v>
                </c:pt>
                <c:pt idx="14">
                  <c:v>129.97372369426381</c:v>
                </c:pt>
                <c:pt idx="15">
                  <c:v>187.14469923802406</c:v>
                </c:pt>
                <c:pt idx="16">
                  <c:v>261.79898948381987</c:v>
                </c:pt>
                <c:pt idx="17">
                  <c:v>357.00691103124296</c:v>
                </c:pt>
                <c:pt idx="18">
                  <c:v>475.90289980371477</c:v>
                </c:pt>
                <c:pt idx="19">
                  <c:v>621.61479643018129</c:v>
                </c:pt>
                <c:pt idx="20">
                  <c:v>797.19324513243021</c:v>
                </c:pt>
                <c:pt idx="21">
                  <c:v>1005.5437061902699</c:v>
                </c:pt>
                <c:pt idx="22">
                  <c:v>1249.3632146000955</c:v>
                </c:pt>
                <c:pt idx="23">
                  <c:v>1531.0836095200166</c:v>
                </c:pt>
                <c:pt idx="24">
                  <c:v>1852.822538198383</c:v>
                </c:pt>
                <c:pt idx="25">
                  <c:v>2216.343126357071</c:v>
                </c:pt>
                <c:pt idx="26">
                  <c:v>2623.0228210951473</c:v>
                </c:pt>
                <c:pt idx="27">
                  <c:v>3073.8315640394048</c:v>
                </c:pt>
                <c:pt idx="28">
                  <c:v>3569.3191491714297</c:v>
                </c:pt>
                <c:pt idx="29">
                  <c:v>4109.6113653953971</c:v>
                </c:pt>
                <c:pt idx="30">
                  <c:v>4694.4143194629896</c:v>
                </c:pt>
                <c:pt idx="31">
                  <c:v>5323.0261790721024</c:v>
                </c:pt>
                <c:pt idx="32">
                  <c:v>5994.3554658616467</c:v>
                </c:pt>
                <c:pt idx="33">
                  <c:v>6706.9449595337474</c:v>
                </c:pt>
                <c:pt idx="34">
                  <c:v>7459.0002426149058</c:v>
                </c:pt>
                <c:pt idx="35">
                  <c:v>8248.4219152171481</c:v>
                </c:pt>
                <c:pt idx="36">
                  <c:v>9072.8405352882073</c:v>
                </c:pt>
                <c:pt idx="37">
                  <c:v>9929.6533870848289</c:v>
                </c:pt>
                <c:pt idx="38">
                  <c:v>10816.062244095086</c:v>
                </c:pt>
                <c:pt idx="39">
                  <c:v>11729.111367905132</c:v>
                </c:pt>
                <c:pt idx="40">
                  <c:v>12665.725067553278</c:v>
                </c:pt>
                <c:pt idx="41">
                  <c:v>13622.744231248455</c:v>
                </c:pt>
                <c:pt idx="42">
                  <c:v>14596.961330975606</c:v>
                </c:pt>
                <c:pt idx="43">
                  <c:v>15585.153487996558</c:v>
                </c:pt>
                <c:pt idx="44">
                  <c:v>16584.113271592101</c:v>
                </c:pt>
                <c:pt idx="45">
                  <c:v>17590.676983033594</c:v>
                </c:pt>
                <c:pt idx="46">
                  <c:v>18601.750250575558</c:v>
                </c:pt>
                <c:pt idx="47">
                  <c:v>19614.330828435046</c:v>
                </c:pt>
                <c:pt idx="48">
                  <c:v>20625.528552789125</c:v>
                </c:pt>
                <c:pt idx="49">
                  <c:v>21632.582460557795</c:v>
                </c:pt>
                <c:pt idx="50">
                  <c:v>22632.875122143982</c:v>
                </c:pt>
                <c:pt idx="51">
                  <c:v>23623.944277548791</c:v>
                </c:pt>
                <c:pt idx="52">
                  <c:v>24603.491896677773</c:v>
                </c:pt>
                <c:pt idx="53">
                  <c:v>25569.390809618457</c:v>
                </c:pt>
                <c:pt idx="54">
                  <c:v>26519.68907168871</c:v>
                </c:pt>
                <c:pt idx="55">
                  <c:v>27452.61224166485</c:v>
                </c:pt>
                <c:pt idx="56">
                  <c:v>28366.5637603621</c:v>
                </c:pt>
                <c:pt idx="57">
                  <c:v>29260.123621228271</c:v>
                </c:pt>
                <c:pt idx="58">
                  <c:v>30132.045525387715</c:v>
                </c:pt>
                <c:pt idx="59">
                  <c:v>30981.252711184759</c:v>
                </c:pt>
                <c:pt idx="60">
                  <c:v>31806.832643242633</c:v>
                </c:pt>
                <c:pt idx="61">
                  <c:v>32608.030738858724</c:v>
                </c:pt>
                <c:pt idx="62">
                  <c:v>33384.243300652059</c:v>
                </c:pt>
                <c:pt idx="63">
                  <c:v>34135.009814165693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586-4915-A43B-0A60333EECA0}"/>
            </c:ext>
          </c:extLst>
        </c:ser>
        <c:ser>
          <c:idx val="6"/>
          <c:order val="6"/>
          <c:tx>
            <c:strRef>
              <c:f>'Cumul_confirmed - Power law fit'!$J$6</c:f>
              <c:strCache>
                <c:ptCount val="1"/>
                <c:pt idx="0">
                  <c:v>D. Upper CI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'Cumul_confirmed - Power law fit'!$J$7:$J$70</c:f>
              <c:numCache>
                <c:formatCode>0</c:formatCode>
                <c:ptCount val="64"/>
                <c:pt idx="0">
                  <c:v>132.43267846917772</c:v>
                </c:pt>
                <c:pt idx="1">
                  <c:v>132.43286101061668</c:v>
                </c:pt>
                <c:pt idx="2">
                  <c:v>132.43601377329151</c:v>
                </c:pt>
                <c:pt idx="3">
                  <c:v>132.45789572527292</c:v>
                </c:pt>
                <c:pt idx="4">
                  <c:v>132.55060028876517</c:v>
                </c:pt>
                <c:pt idx="5">
                  <c:v>132.83968710966974</c:v>
                </c:pt>
                <c:pt idx="6">
                  <c:v>133.57197833761001</c:v>
                </c:pt>
                <c:pt idx="7">
                  <c:v>135.16866748400562</c:v>
                </c:pt>
                <c:pt idx="8">
                  <c:v>138.27764418740861</c:v>
                </c:pt>
                <c:pt idx="9">
                  <c:v>143.81930408049712</c:v>
                </c:pt>
                <c:pt idx="10">
                  <c:v>153.021176162741</c:v>
                </c:pt>
                <c:pt idx="11">
                  <c:v>167.43811157064198</c:v>
                </c:pt>
                <c:pt idx="12">
                  <c:v>188.95627440350162</c:v>
                </c:pt>
                <c:pt idx="13">
                  <c:v>219.78057721600595</c:v>
                </c:pt>
                <c:pt idx="14">
                  <c:v>262.40640097458419</c:v>
                </c:pt>
                <c:pt idx="15">
                  <c:v>319.57737651834441</c:v>
                </c:pt>
                <c:pt idx="16">
                  <c:v>394.23166676414024</c:v>
                </c:pt>
                <c:pt idx="17">
                  <c:v>489.43958831156334</c:v>
                </c:pt>
                <c:pt idx="18">
                  <c:v>608.33557708403509</c:v>
                </c:pt>
                <c:pt idx="19">
                  <c:v>754.04747371050166</c:v>
                </c:pt>
                <c:pt idx="20">
                  <c:v>929.62592241275058</c:v>
                </c:pt>
                <c:pt idx="21">
                  <c:v>1137.9763834705902</c:v>
                </c:pt>
                <c:pt idx="22">
                  <c:v>1381.7958918804159</c:v>
                </c:pt>
                <c:pt idx="23">
                  <c:v>1663.516286800337</c:v>
                </c:pt>
                <c:pt idx="24">
                  <c:v>1985.2552154787033</c:v>
                </c:pt>
                <c:pt idx="25">
                  <c:v>2348.7758036373916</c:v>
                </c:pt>
                <c:pt idx="26">
                  <c:v>2755.4554983754679</c:v>
                </c:pt>
                <c:pt idx="27">
                  <c:v>3206.2642413197254</c:v>
                </c:pt>
                <c:pt idx="28">
                  <c:v>3701.7518264517503</c:v>
                </c:pt>
                <c:pt idx="29">
                  <c:v>4242.0440426757177</c:v>
                </c:pt>
                <c:pt idx="30">
                  <c:v>4826.8469967433102</c:v>
                </c:pt>
                <c:pt idx="31">
                  <c:v>5455.458856352423</c:v>
                </c:pt>
                <c:pt idx="32">
                  <c:v>6126.7881431419673</c:v>
                </c:pt>
                <c:pt idx="33">
                  <c:v>6839.377636814068</c:v>
                </c:pt>
                <c:pt idx="34">
                  <c:v>7591.4329198952264</c:v>
                </c:pt>
                <c:pt idx="35">
                  <c:v>8380.8545924974678</c:v>
                </c:pt>
                <c:pt idx="36">
                  <c:v>9205.273212568527</c:v>
                </c:pt>
                <c:pt idx="37">
                  <c:v>10062.086064365149</c:v>
                </c:pt>
                <c:pt idx="38">
                  <c:v>10948.494921375406</c:v>
                </c:pt>
                <c:pt idx="39">
                  <c:v>11861.544045185452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586-4915-A43B-0A60333EECA0}"/>
            </c:ext>
          </c:extLst>
        </c:ser>
        <c:ser>
          <c:idx val="7"/>
          <c:order val="7"/>
          <c:tx>
            <c:strRef>
              <c:f>'Cumul_confirmed - Power law fit'!$K$6</c:f>
              <c:strCache>
                <c:ptCount val="1"/>
                <c:pt idx="0">
                  <c:v>D. Lower CI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'Cumul_confirmed - Power law fit'!$K$7:$K$70</c:f>
              <c:numCache>
                <c:formatCode>0</c:formatCode>
                <c:ptCount val="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54.712021957703683</c:v>
                </c:pt>
                <c:pt idx="16">
                  <c:v>129.36631220349949</c:v>
                </c:pt>
                <c:pt idx="17">
                  <c:v>224.57423375092259</c:v>
                </c:pt>
                <c:pt idx="18">
                  <c:v>343.4702225233944</c:v>
                </c:pt>
                <c:pt idx="19">
                  <c:v>489.18211914986091</c:v>
                </c:pt>
                <c:pt idx="20">
                  <c:v>664.76056785210983</c:v>
                </c:pt>
                <c:pt idx="21">
                  <c:v>873.11102890994948</c:v>
                </c:pt>
                <c:pt idx="22">
                  <c:v>1116.9305373197751</c:v>
                </c:pt>
                <c:pt idx="23">
                  <c:v>1398.6509322396962</c:v>
                </c:pt>
                <c:pt idx="24">
                  <c:v>1720.3898609180626</c:v>
                </c:pt>
                <c:pt idx="25">
                  <c:v>2083.9104490767504</c:v>
                </c:pt>
                <c:pt idx="26">
                  <c:v>2490.5901438148267</c:v>
                </c:pt>
                <c:pt idx="27">
                  <c:v>2941.3988867590842</c:v>
                </c:pt>
                <c:pt idx="28">
                  <c:v>3436.8864718911091</c:v>
                </c:pt>
                <c:pt idx="29">
                  <c:v>3977.1786881150765</c:v>
                </c:pt>
                <c:pt idx="30">
                  <c:v>4561.981642182669</c:v>
                </c:pt>
                <c:pt idx="31">
                  <c:v>5190.5935017917818</c:v>
                </c:pt>
                <c:pt idx="32">
                  <c:v>5861.9227885813261</c:v>
                </c:pt>
                <c:pt idx="33">
                  <c:v>6574.5122822534267</c:v>
                </c:pt>
                <c:pt idx="34">
                  <c:v>7326.5675653345852</c:v>
                </c:pt>
                <c:pt idx="35">
                  <c:v>8115.9892379368275</c:v>
                </c:pt>
                <c:pt idx="36">
                  <c:v>8940.4078580078876</c:v>
                </c:pt>
                <c:pt idx="37">
                  <c:v>9797.2207098045092</c:v>
                </c:pt>
                <c:pt idx="38">
                  <c:v>10683.629566814767</c:v>
                </c:pt>
                <c:pt idx="39">
                  <c:v>11596.678690624813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586-4915-A43B-0A60333EE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</c:scatterChart>
      <c:valAx>
        <c:axId val="62208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2064"/>
        <c:crosses val="autoZero"/>
        <c:crossBetween val="midCat"/>
      </c:valAx>
      <c:valAx>
        <c:axId val="62208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it-IT" sz="1800" b="1" i="0" baseline="0">
                <a:effectLst/>
              </a:rPr>
              <a:t>COVID-19 Italy Confirmed Cases</a:t>
            </a:r>
            <a:endParaRPr lang="it-IT">
              <a:effectLst/>
            </a:endParaRPr>
          </a:p>
          <a:p>
            <a:pPr>
              <a:defRPr/>
            </a:pPr>
            <a:r>
              <a:rPr lang="it-IT" sz="1800" b="1" i="0" baseline="0">
                <a:effectLst/>
              </a:rPr>
              <a:t>Daily New Cases and Deaths - Power law w/ Exp. cut-off model fit</a:t>
            </a:r>
            <a:endParaRPr lang="it-IT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'New_confirmed - Power law fit'!$E$6</c:f>
              <c:strCache>
                <c:ptCount val="1"/>
                <c:pt idx="0">
                  <c:v>New cases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'New_confirmed - Power law fit'!$C$7:$C$70</c:f>
              <c:numCache>
                <c:formatCode>General</c:formatCod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numCache>
            </c:numRef>
          </c:xVal>
          <c:yVal>
            <c:numRef>
              <c:f>'New_confirmed - Power law fit'!$E$7:$E$70</c:f>
              <c:numCache>
                <c:formatCode>0</c:formatCode>
                <c:ptCount val="64"/>
                <c:pt idx="0">
                  <c:v>3</c:v>
                </c:pt>
                <c:pt idx="1">
                  <c:v>17</c:v>
                </c:pt>
                <c:pt idx="2">
                  <c:v>42</c:v>
                </c:pt>
                <c:pt idx="3">
                  <c:v>93</c:v>
                </c:pt>
                <c:pt idx="4">
                  <c:v>74</c:v>
                </c:pt>
                <c:pt idx="5">
                  <c:v>93</c:v>
                </c:pt>
                <c:pt idx="6">
                  <c:v>78</c:v>
                </c:pt>
                <c:pt idx="7">
                  <c:v>250</c:v>
                </c:pt>
                <c:pt idx="8">
                  <c:v>238</c:v>
                </c:pt>
                <c:pt idx="9">
                  <c:v>240</c:v>
                </c:pt>
                <c:pt idx="10">
                  <c:v>566</c:v>
                </c:pt>
                <c:pt idx="11">
                  <c:v>342</c:v>
                </c:pt>
                <c:pt idx="12">
                  <c:v>466</c:v>
                </c:pt>
                <c:pt idx="13">
                  <c:v>587</c:v>
                </c:pt>
                <c:pt idx="14">
                  <c:v>769</c:v>
                </c:pt>
                <c:pt idx="15">
                  <c:v>778</c:v>
                </c:pt>
                <c:pt idx="16">
                  <c:v>1247</c:v>
                </c:pt>
                <c:pt idx="17">
                  <c:v>1492</c:v>
                </c:pt>
                <c:pt idx="18">
                  <c:v>1797</c:v>
                </c:pt>
                <c:pt idx="19">
                  <c:v>977</c:v>
                </c:pt>
                <c:pt idx="20">
                  <c:v>2313</c:v>
                </c:pt>
                <c:pt idx="21">
                  <c:v>2651</c:v>
                </c:pt>
                <c:pt idx="22">
                  <c:v>2547</c:v>
                </c:pt>
                <c:pt idx="23">
                  <c:v>3497</c:v>
                </c:pt>
                <c:pt idx="24">
                  <c:v>3590</c:v>
                </c:pt>
                <c:pt idx="25">
                  <c:v>3233</c:v>
                </c:pt>
                <c:pt idx="26">
                  <c:v>3526</c:v>
                </c:pt>
                <c:pt idx="27">
                  <c:v>4207</c:v>
                </c:pt>
                <c:pt idx="28">
                  <c:v>5322</c:v>
                </c:pt>
                <c:pt idx="29">
                  <c:v>5986</c:v>
                </c:pt>
                <c:pt idx="30">
                  <c:v>6557</c:v>
                </c:pt>
                <c:pt idx="31">
                  <c:v>5560</c:v>
                </c:pt>
                <c:pt idx="32">
                  <c:v>4789</c:v>
                </c:pt>
                <c:pt idx="33">
                  <c:v>5249</c:v>
                </c:pt>
                <c:pt idx="34">
                  <c:v>5210</c:v>
                </c:pt>
                <c:pt idx="35">
                  <c:v>6153</c:v>
                </c:pt>
                <c:pt idx="36">
                  <c:v>5959</c:v>
                </c:pt>
                <c:pt idx="37">
                  <c:v>5974</c:v>
                </c:pt>
                <c:pt idx="38">
                  <c:v>5217</c:v>
                </c:pt>
                <c:pt idx="39">
                  <c:v>4050</c:v>
                </c:pt>
                <c:pt idx="40">
                  <c:v>4053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FAC-474A-ABEF-27282C118849}"/>
            </c:ext>
          </c:extLst>
        </c:ser>
        <c:ser>
          <c:idx val="1"/>
          <c:order val="1"/>
          <c:tx>
            <c:strRef>
              <c:f>'New_confirmed - Power law fit'!$G$6</c:f>
              <c:strCache>
                <c:ptCount val="1"/>
                <c:pt idx="0">
                  <c:v>New_fit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'New_confirmed - Power law fit'!$C$7:$C$70</c:f>
              <c:numCache>
                <c:formatCode>General</c:formatCod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numCache>
            </c:numRef>
          </c:xVal>
          <c:yVal>
            <c:numRef>
              <c:f>'New_confirmed - Power law fit'!$G$7:$G$70</c:f>
              <c:numCache>
                <c:formatCode>0.000000000</c:formatCode>
                <c:ptCount val="64"/>
                <c:pt idx="0">
                  <c:v>1.0111009587390184E-7</c:v>
                </c:pt>
                <c:pt idx="1">
                  <c:v>6.2099448792717984E-5</c:v>
                </c:pt>
                <c:pt idx="2">
                  <c:v>2.3601263804423366E-3</c:v>
                </c:pt>
                <c:pt idx="3">
                  <c:v>2.8709122361424356E-2</c:v>
                </c:pt>
                <c:pt idx="4">
                  <c:v>0.18706915218556691</c:v>
                </c:pt>
                <c:pt idx="5">
                  <c:v>0.82130861467206506</c:v>
                </c:pt>
                <c:pt idx="6">
                  <c:v>2.7458396401270511</c:v>
                </c:pt>
                <c:pt idx="7">
                  <c:v>7.5202102553159431</c:v>
                </c:pt>
                <c:pt idx="8">
                  <c:v>17.68608825597564</c:v>
                </c:pt>
                <c:pt idx="9">
                  <c:v>36.885119314395787</c:v>
                </c:pt>
                <c:pt idx="10">
                  <c:v>69.799588666136472</c:v>
                </c:pt>
                <c:pt idx="11">
                  <c:v>121.89737142923809</c:v>
                </c:pt>
                <c:pt idx="12">
                  <c:v>199.00455742789191</c:v>
                </c:pt>
                <c:pt idx="13">
                  <c:v>306.76236746035573</c:v>
                </c:pt>
                <c:pt idx="14">
                  <c:v>450.04350474459108</c:v>
                </c:pt>
                <c:pt idx="15">
                  <c:v>632.40579568084479</c:v>
                </c:pt>
                <c:pt idx="16">
                  <c:v>855.65037476605869</c:v>
                </c:pt>
                <c:pt idx="17">
                  <c:v>1119.5322123093101</c:v>
                </c:pt>
                <c:pt idx="18">
                  <c:v>1421.6473815772197</c:v>
                </c:pt>
                <c:pt idx="19">
                  <c:v>1757.4984339146959</c:v>
                </c:pt>
                <c:pt idx="20">
                  <c:v>2120.7197555471234</c:v>
                </c:pt>
                <c:pt idx="21">
                  <c:v>2503.4306509672915</c:v>
                </c:pt>
                <c:pt idx="22">
                  <c:v>2896.6757544741527</c:v>
                </c:pt>
                <c:pt idx="23">
                  <c:v>3290.9098875751779</c:v>
                </c:pt>
                <c:pt idx="24">
                  <c:v>3676.4867058895279</c:v>
                </c:pt>
                <c:pt idx="25">
                  <c:v>4044.1161473202401</c:v>
                </c:pt>
                <c:pt idx="26">
                  <c:v>4385.2634684339719</c:v>
                </c:pt>
                <c:pt idx="27">
                  <c:v>4692.4713143406798</c:v>
                </c:pt>
                <c:pt idx="28">
                  <c:v>4959.5948045377545</c:v>
                </c:pt>
                <c:pt idx="29">
                  <c:v>5181.9472961001211</c:v>
                </c:pt>
                <c:pt idx="30">
                  <c:v>5356.3608385446842</c:v>
                </c:pt>
                <c:pt idx="31">
                  <c:v>5481.1701348818615</c:v>
                </c:pt>
                <c:pt idx="32">
                  <c:v>5556.1320394730046</c:v>
                </c:pt>
                <c:pt idx="33">
                  <c:v>5582.2943677991279</c:v>
                </c:pt>
                <c:pt idx="34">
                  <c:v>5561.8282720294328</c:v>
                </c:pt>
                <c:pt idx="35">
                  <c:v>5497.8379045926958</c:v>
                </c:pt>
                <c:pt idx="36">
                  <c:v>5394.1598188898497</c:v>
                </c:pt>
                <c:pt idx="37">
                  <c:v>5255.1627986566136</c:v>
                </c:pt>
                <c:pt idx="38">
                  <c:v>5085.5567925529031</c:v>
                </c:pt>
                <c:pt idx="39">
                  <c:v>4890.2175463890853</c:v>
                </c:pt>
                <c:pt idx="40">
                  <c:v>4674.0315173198896</c:v>
                </c:pt>
                <c:pt idx="41">
                  <c:v>4441.763825855508</c:v>
                </c:pt>
                <c:pt idx="42">
                  <c:v>4197.9504183058643</c:v>
                </c:pt>
                <c:pt idx="43">
                  <c:v>3946.8143077553027</c:v>
                </c:pt>
                <c:pt idx="44">
                  <c:v>3692.2047436043958</c:v>
                </c:pt>
                <c:pt idx="45">
                  <c:v>3437.5574165591197</c:v>
                </c:pt>
                <c:pt idx="46">
                  <c:v>3185.8733128217509</c:v>
                </c:pt>
                <c:pt idx="47">
                  <c:v>2939.7135551091419</c:v>
                </c:pt>
                <c:pt idx="48">
                  <c:v>2701.2074720511514</c:v>
                </c:pt>
                <c:pt idx="49">
                  <c:v>2472.0711839397386</c:v>
                </c:pt>
                <c:pt idx="50">
                  <c:v>2253.6341459214887</c:v>
                </c:pt>
                <c:pt idx="51">
                  <c:v>2046.8713171402367</c:v>
                </c:pt>
                <c:pt idx="52">
                  <c:v>1852.4388979495336</c:v>
                </c:pt>
                <c:pt idx="53">
                  <c:v>1670.7118737620463</c:v>
                </c:pt>
                <c:pt idx="54">
                  <c:v>1501.8219047617717</c:v>
                </c:pt>
                <c:pt idx="55">
                  <c:v>1345.6943914319727</c:v>
                </c:pt>
                <c:pt idx="56">
                  <c:v>1202.0838165291163</c:v>
                </c:pt>
                <c:pt idx="57">
                  <c:v>1070.6067081248545</c:v>
                </c:pt>
                <c:pt idx="58">
                  <c:v>950.77178189905976</c:v>
                </c:pt>
                <c:pt idx="59">
                  <c:v>842.0070025640465</c:v>
                </c:pt>
                <c:pt idx="60">
                  <c:v>743.68345447049296</c:v>
                </c:pt>
                <c:pt idx="61">
                  <c:v>655.13603171188481</c:v>
                </c:pt>
                <c:pt idx="62">
                  <c:v>575.6810509001391</c:v>
                </c:pt>
                <c:pt idx="63">
                  <c:v>504.63095824878252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FAC-474A-ABEF-27282C118849}"/>
            </c:ext>
          </c:extLst>
        </c:ser>
        <c:ser>
          <c:idx val="2"/>
          <c:order val="2"/>
          <c:tx>
            <c:strRef>
              <c:f>'New_confirmed - Power law fit'!$H$6</c:f>
              <c:strCache>
                <c:ptCount val="1"/>
                <c:pt idx="0">
                  <c:v>C_Upper CI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'New_confirmed - Power law fit'!$C$7:$C$70</c:f>
              <c:numCache>
                <c:formatCode>General</c:formatCod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numCache>
            </c:numRef>
          </c:xVal>
          <c:yVal>
            <c:numRef>
              <c:f>'New_confirmed - Power law fit'!$H$7:$H$70</c:f>
              <c:numCache>
                <c:formatCode>0</c:formatCode>
                <c:ptCount val="64"/>
                <c:pt idx="0">
                  <c:v>989.24486228007663</c:v>
                </c:pt>
                <c:pt idx="1">
                  <c:v>989.24492427841528</c:v>
                </c:pt>
                <c:pt idx="2">
                  <c:v>989.24722230534701</c:v>
                </c:pt>
                <c:pt idx="3">
                  <c:v>989.27357130132793</c:v>
                </c:pt>
                <c:pt idx="4">
                  <c:v>989.4319313311521</c:v>
                </c:pt>
                <c:pt idx="5">
                  <c:v>990.06617079363855</c:v>
                </c:pt>
                <c:pt idx="6">
                  <c:v>991.9907018190936</c:v>
                </c:pt>
                <c:pt idx="7">
                  <c:v>996.7650724342825</c:v>
                </c:pt>
                <c:pt idx="8">
                  <c:v>1006.9309504349421</c:v>
                </c:pt>
                <c:pt idx="9">
                  <c:v>1026.1299814933623</c:v>
                </c:pt>
                <c:pt idx="10">
                  <c:v>1059.044450845103</c:v>
                </c:pt>
                <c:pt idx="11">
                  <c:v>1111.1422336082046</c:v>
                </c:pt>
                <c:pt idx="12">
                  <c:v>1188.2494196068585</c:v>
                </c:pt>
                <c:pt idx="13">
                  <c:v>1296.0072296393223</c:v>
                </c:pt>
                <c:pt idx="14">
                  <c:v>1439.2883669235575</c:v>
                </c:pt>
                <c:pt idx="15">
                  <c:v>1621.6506578598114</c:v>
                </c:pt>
                <c:pt idx="16">
                  <c:v>1844.8952369450253</c:v>
                </c:pt>
                <c:pt idx="17">
                  <c:v>2108.7770744882764</c:v>
                </c:pt>
                <c:pt idx="18">
                  <c:v>2410.892243756186</c:v>
                </c:pt>
                <c:pt idx="19">
                  <c:v>2746.7432960936621</c:v>
                </c:pt>
                <c:pt idx="20">
                  <c:v>3109.9646177260902</c:v>
                </c:pt>
                <c:pt idx="21">
                  <c:v>3492.6755131462578</c:v>
                </c:pt>
                <c:pt idx="22">
                  <c:v>3885.9206166531194</c:v>
                </c:pt>
                <c:pt idx="23">
                  <c:v>4280.1547497541442</c:v>
                </c:pt>
                <c:pt idx="24">
                  <c:v>4665.7315680684942</c:v>
                </c:pt>
                <c:pt idx="25">
                  <c:v>5033.3610094992064</c:v>
                </c:pt>
                <c:pt idx="26">
                  <c:v>5374.5083306129382</c:v>
                </c:pt>
                <c:pt idx="27">
                  <c:v>5681.7161765196461</c:v>
                </c:pt>
                <c:pt idx="28">
                  <c:v>5948.8396667167208</c:v>
                </c:pt>
                <c:pt idx="29">
                  <c:v>6171.1921582790874</c:v>
                </c:pt>
                <c:pt idx="30">
                  <c:v>6345.6057007236504</c:v>
                </c:pt>
                <c:pt idx="31">
                  <c:v>6470.4149970608278</c:v>
                </c:pt>
                <c:pt idx="32">
                  <c:v>6545.3769016519709</c:v>
                </c:pt>
                <c:pt idx="33">
                  <c:v>6571.5392299780942</c:v>
                </c:pt>
                <c:pt idx="34">
                  <c:v>6551.0731342083991</c:v>
                </c:pt>
                <c:pt idx="35">
                  <c:v>6487.0827667716621</c:v>
                </c:pt>
                <c:pt idx="36">
                  <c:v>6383.404681068816</c:v>
                </c:pt>
                <c:pt idx="37">
                  <c:v>6244.4076608355799</c:v>
                </c:pt>
                <c:pt idx="38">
                  <c:v>6074.8016547318693</c:v>
                </c:pt>
                <c:pt idx="39">
                  <c:v>5879.4624085680516</c:v>
                </c:pt>
                <c:pt idx="40">
                  <c:v>5663.2763794988559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FAC-474A-ABEF-27282C118849}"/>
            </c:ext>
          </c:extLst>
        </c:ser>
        <c:ser>
          <c:idx val="3"/>
          <c:order val="3"/>
          <c:tx>
            <c:strRef>
              <c:f>'New_confirmed - Power law fit'!$I$6</c:f>
              <c:strCache>
                <c:ptCount val="1"/>
                <c:pt idx="0">
                  <c:v>C_Lower CI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'New_confirmed - Power law fit'!$C$7:$C$70</c:f>
              <c:numCache>
                <c:formatCode>General</c:formatCod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numCache>
            </c:numRef>
          </c:xVal>
          <c:yVal>
            <c:numRef>
              <c:f>'New_confirmed - Power law fit'!$I$7:$I$70</c:f>
              <c:numCache>
                <c:formatCode>0</c:formatCode>
                <c:ptCount val="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130.28735013034361</c:v>
                </c:pt>
                <c:pt idx="18">
                  <c:v>432.40251939825316</c:v>
                </c:pt>
                <c:pt idx="19">
                  <c:v>768.25357173572934</c:v>
                </c:pt>
                <c:pt idx="20">
                  <c:v>1131.4748933681569</c:v>
                </c:pt>
                <c:pt idx="21">
                  <c:v>1514.185788788325</c:v>
                </c:pt>
                <c:pt idx="22">
                  <c:v>1907.4308922951861</c:v>
                </c:pt>
                <c:pt idx="23">
                  <c:v>2301.6650253962116</c:v>
                </c:pt>
                <c:pt idx="24">
                  <c:v>2687.2418437105616</c:v>
                </c:pt>
                <c:pt idx="25">
                  <c:v>3054.8712851412738</c:v>
                </c:pt>
                <c:pt idx="26">
                  <c:v>3396.0186062550056</c:v>
                </c:pt>
                <c:pt idx="27">
                  <c:v>3703.2264521617135</c:v>
                </c:pt>
                <c:pt idx="28">
                  <c:v>3970.3499423587882</c:v>
                </c:pt>
                <c:pt idx="29">
                  <c:v>4192.7024339211548</c:v>
                </c:pt>
                <c:pt idx="30">
                  <c:v>4367.1159763657179</c:v>
                </c:pt>
                <c:pt idx="31">
                  <c:v>4491.9252727028952</c:v>
                </c:pt>
                <c:pt idx="32">
                  <c:v>4566.8871772940383</c:v>
                </c:pt>
                <c:pt idx="33">
                  <c:v>4593.0495056201617</c:v>
                </c:pt>
                <c:pt idx="34">
                  <c:v>4572.5834098504665</c:v>
                </c:pt>
                <c:pt idx="35">
                  <c:v>4508.5930424137296</c:v>
                </c:pt>
                <c:pt idx="36">
                  <c:v>4404.9149567108834</c:v>
                </c:pt>
                <c:pt idx="37">
                  <c:v>4265.9179364776473</c:v>
                </c:pt>
                <c:pt idx="38">
                  <c:v>4096.3119303739368</c:v>
                </c:pt>
                <c:pt idx="39">
                  <c:v>3900.972684210119</c:v>
                </c:pt>
                <c:pt idx="40">
                  <c:v>3684.7866551409234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FAC-474A-ABEF-27282C118849}"/>
            </c:ext>
          </c:extLst>
        </c:ser>
        <c:ser>
          <c:idx val="4"/>
          <c:order val="4"/>
          <c:tx>
            <c:strRef>
              <c:f>'New_confirmed - Power law fit'!$K$6</c:f>
              <c:strCache>
                <c:ptCount val="1"/>
                <c:pt idx="0">
                  <c:v>New deaths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  <a:round/>
              </a:ln>
              <a:effectLst/>
            </c:spPr>
          </c:marker>
          <c:yVal>
            <c:numRef>
              <c:f>'New_confirmed - Power law fit'!$K$7:$K$70</c:f>
              <c:numCache>
                <c:formatCode>0</c:formatCode>
                <c:ptCount val="6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4</c:v>
                </c:pt>
                <c:pt idx="5">
                  <c:v>3</c:v>
                </c:pt>
                <c:pt idx="6">
                  <c:v>2</c:v>
                </c:pt>
                <c:pt idx="7">
                  <c:v>5</c:v>
                </c:pt>
                <c:pt idx="8">
                  <c:v>4</c:v>
                </c:pt>
                <c:pt idx="9">
                  <c:v>8</c:v>
                </c:pt>
                <c:pt idx="10">
                  <c:v>5</c:v>
                </c:pt>
                <c:pt idx="11">
                  <c:v>18</c:v>
                </c:pt>
                <c:pt idx="12">
                  <c:v>27</c:v>
                </c:pt>
                <c:pt idx="13">
                  <c:v>28</c:v>
                </c:pt>
                <c:pt idx="14">
                  <c:v>41</c:v>
                </c:pt>
                <c:pt idx="15">
                  <c:v>49</c:v>
                </c:pt>
                <c:pt idx="16">
                  <c:v>36</c:v>
                </c:pt>
                <c:pt idx="17">
                  <c:v>133</c:v>
                </c:pt>
                <c:pt idx="18">
                  <c:v>97</c:v>
                </c:pt>
                <c:pt idx="19">
                  <c:v>168</c:v>
                </c:pt>
                <c:pt idx="20">
                  <c:v>196</c:v>
                </c:pt>
                <c:pt idx="21">
                  <c:v>189</c:v>
                </c:pt>
                <c:pt idx="22">
                  <c:v>250</c:v>
                </c:pt>
                <c:pt idx="23">
                  <c:v>175</c:v>
                </c:pt>
                <c:pt idx="24">
                  <c:v>368</c:v>
                </c:pt>
                <c:pt idx="25">
                  <c:v>349</c:v>
                </c:pt>
                <c:pt idx="26">
                  <c:v>345</c:v>
                </c:pt>
                <c:pt idx="27">
                  <c:v>475</c:v>
                </c:pt>
                <c:pt idx="28">
                  <c:v>427</c:v>
                </c:pt>
                <c:pt idx="29">
                  <c:v>627</c:v>
                </c:pt>
                <c:pt idx="30">
                  <c:v>793</c:v>
                </c:pt>
                <c:pt idx="31">
                  <c:v>651</c:v>
                </c:pt>
                <c:pt idx="32">
                  <c:v>601</c:v>
                </c:pt>
                <c:pt idx="33">
                  <c:v>743</c:v>
                </c:pt>
                <c:pt idx="34">
                  <c:v>683</c:v>
                </c:pt>
                <c:pt idx="35">
                  <c:v>662</c:v>
                </c:pt>
                <c:pt idx="36">
                  <c:v>969</c:v>
                </c:pt>
                <c:pt idx="37">
                  <c:v>889</c:v>
                </c:pt>
                <c:pt idx="38">
                  <c:v>756</c:v>
                </c:pt>
                <c:pt idx="39">
                  <c:v>812</c:v>
                </c:pt>
                <c:pt idx="40">
                  <c:v>837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9A-42E0-ADE0-2A064B8C18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</c:scatterChart>
      <c:scatterChart>
        <c:scatterStyle val="smoothMarker"/>
        <c:varyColors val="0"/>
        <c:ser>
          <c:idx val="5"/>
          <c:order val="5"/>
          <c:tx>
            <c:strRef>
              <c:f>'New_confirmed - Power law fit'!$M$6</c:f>
              <c:strCache>
                <c:ptCount val="1"/>
                <c:pt idx="0">
                  <c:v>New_D_fit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yVal>
            <c:numRef>
              <c:f>'New_confirmed - Power law fit'!$M$7:$M$70</c:f>
              <c:numCache>
                <c:formatCode>0.000000000</c:formatCode>
                <c:ptCount val="64"/>
                <c:pt idx="0">
                  <c:v>1.913601798857913E-8</c:v>
                </c:pt>
                <c:pt idx="1">
                  <c:v>7.5494562558172662E-6</c:v>
                </c:pt>
                <c:pt idx="2">
                  <c:v>2.2771112050091528E-4</c:v>
                </c:pt>
                <c:pt idx="3">
                  <c:v>2.397150637928207E-3</c:v>
                </c:pt>
                <c:pt idx="4">
                  <c:v>1.4174562417156122E-2</c:v>
                </c:pt>
                <c:pt idx="5">
                  <c:v>5.8194165410498433E-2</c:v>
                </c:pt>
                <c:pt idx="6">
                  <c:v>0.18574114716994453</c:v>
                </c:pt>
                <c:pt idx="7">
                  <c:v>0.49306716302933579</c:v>
                </c:pt>
                <c:pt idx="8">
                  <c:v>1.1370488226702424</c:v>
                </c:pt>
                <c:pt idx="9">
                  <c:v>2.34658324735515</c:v>
                </c:pt>
                <c:pt idx="10">
                  <c:v>4.4267390584028306</c:v>
                </c:pt>
                <c:pt idx="11">
                  <c:v>7.7539197159581068</c:v>
                </c:pt>
                <c:pt idx="12">
                  <c:v>12.761767122957917</c:v>
                </c:pt>
                <c:pt idx="13">
                  <c:v>19.918908198045806</c:v>
                </c:pt>
                <c:pt idx="14">
                  <c:v>29.700703475474786</c:v>
                </c:pt>
                <c:pt idx="15">
                  <c:v>42.557787122006964</c:v>
                </c:pt>
                <c:pt idx="16">
                  <c:v>58.884381376163283</c:v>
                </c:pt>
                <c:pt idx="17">
                  <c:v>78.989182800291573</c:v>
                </c:pt>
                <c:pt idx="18">
                  <c:v>103.07114881243251</c:v>
                </c:pt>
                <c:pt idx="19">
                  <c:v>131.20186982629178</c:v>
                </c:pt>
                <c:pt idx="20">
                  <c:v>163.31549873015521</c:v>
                </c:pt>
                <c:pt idx="21">
                  <c:v>199.20651223695972</c:v>
                </c:pt>
                <c:pt idx="22">
                  <c:v>238.53496222915001</c:v>
                </c:pt>
                <c:pt idx="23">
                  <c:v>280.83838052069234</c:v>
                </c:pt>
                <c:pt idx="24">
                  <c:v>325.54914696825</c:v>
                </c:pt>
                <c:pt idx="25">
                  <c:v>372.01592048482524</c:v>
                </c:pt>
                <c:pt idx="26">
                  <c:v>419.52765406516323</c:v>
                </c:pt>
                <c:pt idx="27">
                  <c:v>467.33874866761431</c:v>
                </c:pt>
                <c:pt idx="28">
                  <c:v>514.69402238600287</c:v>
                </c:pt>
                <c:pt idx="29">
                  <c:v>560.85235515754687</c:v>
                </c:pt>
                <c:pt idx="30">
                  <c:v>605.10809079996409</c:v>
                </c:pt>
                <c:pt idx="31">
                  <c:v>646.80951575473694</c:v>
                </c:pt>
                <c:pt idx="32">
                  <c:v>685.37396958089084</c:v>
                </c:pt>
                <c:pt idx="33">
                  <c:v>720.2993621720185</c:v>
                </c:pt>
                <c:pt idx="34">
                  <c:v>751.17206712540724</c:v>
                </c:pt>
                <c:pt idx="35">
                  <c:v>777.67132369245451</c:v>
                </c:pt>
                <c:pt idx="36">
                  <c:v>799.57040853073056</c:v>
                </c:pt>
                <c:pt idx="37">
                  <c:v>816.73493292586681</c:v>
                </c:pt>
                <c:pt idx="38">
                  <c:v>829.1186831147528</c:v>
                </c:pt>
                <c:pt idx="39">
                  <c:v>836.7574540769715</c:v>
                </c:pt>
                <c:pt idx="40">
                  <c:v>839.76133479469058</c:v>
                </c:pt>
                <c:pt idx="41">
                  <c:v>838.30589006036712</c:v>
                </c:pt>
                <c:pt idx="42">
                  <c:v>832.62265505140635</c:v>
                </c:pt>
                <c:pt idx="43">
                  <c:v>822.98931850253325</c:v>
                </c:pt>
                <c:pt idx="44">
                  <c:v>809.71992241107375</c:v>
                </c:pt>
                <c:pt idx="45">
                  <c:v>793.155354319205</c:v>
                </c:pt>
                <c:pt idx="46">
                  <c:v>773.65435527297109</c:v>
                </c:pt>
                <c:pt idx="47">
                  <c:v>751.58521492067382</c:v>
                </c:pt>
                <c:pt idx="48">
                  <c:v>727.31827668010249</c:v>
                </c:pt>
                <c:pt idx="49">
                  <c:v>701.21933175505285</c:v>
                </c:pt>
                <c:pt idx="50">
                  <c:v>673.6439418379091</c:v>
                </c:pt>
                <c:pt idx="51">
                  <c:v>644.93269702840041</c:v>
                </c:pt>
                <c:pt idx="52">
                  <c:v>615.40738794047638</c:v>
                </c:pt>
                <c:pt idx="53">
                  <c:v>585.36804901905941</c:v>
                </c:pt>
                <c:pt idx="54">
                  <c:v>555.09081341732667</c:v>
                </c:pt>
                <c:pt idx="55">
                  <c:v>524.82650793270545</c:v>
                </c:pt>
                <c:pt idx="56">
                  <c:v>494.79990892194047</c:v>
                </c:pt>
                <c:pt idx="57">
                  <c:v>465.20957622648967</c:v>
                </c:pt>
                <c:pt idx="58">
                  <c:v>436.2281813435294</c:v>
                </c:pt>
                <c:pt idx="59">
                  <c:v>408.00324779523135</c:v>
                </c:pt>
                <c:pt idx="60">
                  <c:v>380.65822533427547</c:v>
                </c:pt>
                <c:pt idx="61">
                  <c:v>354.29382477859491</c:v>
                </c:pt>
                <c:pt idx="62">
                  <c:v>328.98954645009565</c:v>
                </c:pt>
                <c:pt idx="63">
                  <c:v>304.80534201600148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29A-42E0-ADE0-2A064B8C186A}"/>
            </c:ext>
          </c:extLst>
        </c:ser>
        <c:ser>
          <c:idx val="6"/>
          <c:order val="6"/>
          <c:tx>
            <c:strRef>
              <c:f>'New_confirmed - Power law fit'!$N$6</c:f>
              <c:strCache>
                <c:ptCount val="1"/>
                <c:pt idx="0">
                  <c:v>ND_Upper CI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'New_confirmed - Power law fit'!$N$7:$N$70</c:f>
              <c:numCache>
                <c:formatCode>0</c:formatCode>
                <c:ptCount val="64"/>
                <c:pt idx="0">
                  <c:v>122.37474027469966</c:v>
                </c:pt>
                <c:pt idx="1">
                  <c:v>122.37474780501989</c:v>
                </c:pt>
                <c:pt idx="2">
                  <c:v>122.37496796668414</c:v>
                </c:pt>
                <c:pt idx="3">
                  <c:v>122.37713740620157</c:v>
                </c:pt>
                <c:pt idx="4">
                  <c:v>122.38891481798079</c:v>
                </c:pt>
                <c:pt idx="5">
                  <c:v>122.43293442097414</c:v>
                </c:pt>
                <c:pt idx="6">
                  <c:v>122.56048140273359</c:v>
                </c:pt>
                <c:pt idx="7">
                  <c:v>122.86780741859297</c:v>
                </c:pt>
                <c:pt idx="8">
                  <c:v>123.51178907823387</c:v>
                </c:pt>
                <c:pt idx="9">
                  <c:v>124.72132350291879</c:v>
                </c:pt>
                <c:pt idx="10">
                  <c:v>126.80147931396647</c:v>
                </c:pt>
                <c:pt idx="11">
                  <c:v>130.12865997152176</c:v>
                </c:pt>
                <c:pt idx="12">
                  <c:v>135.13650737852154</c:v>
                </c:pt>
                <c:pt idx="13">
                  <c:v>142.29364845360945</c:v>
                </c:pt>
                <c:pt idx="14">
                  <c:v>152.07544373103843</c:v>
                </c:pt>
                <c:pt idx="15">
                  <c:v>164.93252737757061</c:v>
                </c:pt>
                <c:pt idx="16">
                  <c:v>181.25912163172691</c:v>
                </c:pt>
                <c:pt idx="17">
                  <c:v>201.3639230558552</c:v>
                </c:pt>
                <c:pt idx="18">
                  <c:v>225.44588906799615</c:v>
                </c:pt>
                <c:pt idx="19">
                  <c:v>253.57661008185542</c:v>
                </c:pt>
                <c:pt idx="20">
                  <c:v>285.69023898571885</c:v>
                </c:pt>
                <c:pt idx="21">
                  <c:v>321.58125249252339</c:v>
                </c:pt>
                <c:pt idx="22">
                  <c:v>360.90970248471365</c:v>
                </c:pt>
                <c:pt idx="23">
                  <c:v>403.21312077625601</c:v>
                </c:pt>
                <c:pt idx="24">
                  <c:v>447.92388722381361</c:v>
                </c:pt>
                <c:pt idx="25">
                  <c:v>494.39066074038885</c:v>
                </c:pt>
                <c:pt idx="26">
                  <c:v>541.9023943207269</c:v>
                </c:pt>
                <c:pt idx="27">
                  <c:v>589.71348892317792</c:v>
                </c:pt>
                <c:pt idx="28">
                  <c:v>637.06876264156654</c:v>
                </c:pt>
                <c:pt idx="29">
                  <c:v>683.22709541311053</c:v>
                </c:pt>
                <c:pt idx="30">
                  <c:v>727.48283105552775</c:v>
                </c:pt>
                <c:pt idx="31">
                  <c:v>769.1842560103006</c:v>
                </c:pt>
                <c:pt idx="32">
                  <c:v>807.74870983645451</c:v>
                </c:pt>
                <c:pt idx="33">
                  <c:v>842.67410242758217</c:v>
                </c:pt>
                <c:pt idx="34">
                  <c:v>873.5468073809709</c:v>
                </c:pt>
                <c:pt idx="35">
                  <c:v>900.04606394801817</c:v>
                </c:pt>
                <c:pt idx="36">
                  <c:v>921.94514878629423</c:v>
                </c:pt>
                <c:pt idx="37">
                  <c:v>939.10967318143048</c:v>
                </c:pt>
                <c:pt idx="38">
                  <c:v>951.49342337031646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29A-42E0-ADE0-2A064B8C186A}"/>
            </c:ext>
          </c:extLst>
        </c:ser>
        <c:ser>
          <c:idx val="7"/>
          <c:order val="7"/>
          <c:tx>
            <c:strRef>
              <c:f>'New_confirmed - Power law fit'!$O$6</c:f>
              <c:strCache>
                <c:ptCount val="1"/>
                <c:pt idx="0">
                  <c:v>ND_Lower CI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'New_confirmed - Power law fit'!$O$7:$O$70</c:f>
              <c:numCache>
                <c:formatCode>0</c:formatCode>
                <c:ptCount val="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8.8271295707281467</c:v>
                </c:pt>
                <c:pt idx="20">
                  <c:v>40.940758474591576</c:v>
                </c:pt>
                <c:pt idx="21">
                  <c:v>76.831771981396088</c:v>
                </c:pt>
                <c:pt idx="22">
                  <c:v>116.16022197358637</c:v>
                </c:pt>
                <c:pt idx="23">
                  <c:v>158.4636402651287</c:v>
                </c:pt>
                <c:pt idx="24">
                  <c:v>203.17440671268636</c:v>
                </c:pt>
                <c:pt idx="25">
                  <c:v>249.64118022926161</c:v>
                </c:pt>
                <c:pt idx="26">
                  <c:v>297.15291380959957</c:v>
                </c:pt>
                <c:pt idx="27">
                  <c:v>344.9640084120507</c:v>
                </c:pt>
                <c:pt idx="28">
                  <c:v>392.31928213043921</c:v>
                </c:pt>
                <c:pt idx="29">
                  <c:v>438.4776149019832</c:v>
                </c:pt>
                <c:pt idx="30">
                  <c:v>482.73335054440042</c:v>
                </c:pt>
                <c:pt idx="31">
                  <c:v>524.43477549917327</c:v>
                </c:pt>
                <c:pt idx="32">
                  <c:v>562.99922932532718</c:v>
                </c:pt>
                <c:pt idx="33">
                  <c:v>597.92462191645484</c:v>
                </c:pt>
                <c:pt idx="34">
                  <c:v>628.79732686984357</c:v>
                </c:pt>
                <c:pt idx="35">
                  <c:v>655.29658343689084</c:v>
                </c:pt>
                <c:pt idx="36">
                  <c:v>677.1956682751669</c:v>
                </c:pt>
                <c:pt idx="37">
                  <c:v>694.36019267030315</c:v>
                </c:pt>
                <c:pt idx="38">
                  <c:v>706.74394285918913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29A-42E0-ADE0-2A064B8C18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</c:scatterChart>
      <c:valAx>
        <c:axId val="62208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2064"/>
        <c:crosses val="autoZero"/>
        <c:crossBetween val="midCat"/>
      </c:valAx>
      <c:valAx>
        <c:axId val="62208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609600</xdr:colOff>
      <xdr:row>2</xdr:row>
      <xdr:rowOff>114300</xdr:rowOff>
    </xdr:from>
    <xdr:ext cx="1785257" cy="6629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asellaDiTesto 5">
              <a:extLst>
                <a:ext uri="{FF2B5EF4-FFF2-40B4-BE49-F238E27FC236}">
                  <a16:creationId xmlns:a16="http://schemas.microsoft.com/office/drawing/2014/main" id="{3CC970C1-AB73-4C46-BEA1-4EE468342734}"/>
                </a:ext>
              </a:extLst>
            </xdr:cNvPr>
            <xdr:cNvSpPr txBox="1"/>
          </xdr:nvSpPr>
          <xdr:spPr>
            <a:xfrm>
              <a:off x="4844143" y="691243"/>
              <a:ext cx="1785257" cy="662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𝑃</m:t>
                    </m:r>
                    <m:d>
                      <m:dPr>
                        <m:ctrlP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;</m:t>
                        </m:r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</m:t>
                        </m:r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sSub>
                          <m:sSubPr>
                            <m:ctrlP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𝑡</m:t>
                            </m:r>
                          </m:e>
                          <m:sub>
                            <m: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sub>
                        </m:sSub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</m:e>
                    </m:d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it-IT" sz="1100" b="0" i="1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𝐾</m:t>
                    </m:r>
                    <m:sSup>
                      <m:sSupPr>
                        <m:ctrlP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it-IT" sz="11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  <m:sup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</m:sup>
                    </m:sSup>
                    <m:sSup>
                      <m:sSupPr>
                        <m:ctrlP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 </m:t>
                        </m:r>
                        <m:box>
                          <m:boxPr>
                            <m:ctrlPr>
                              <a:rPr lang="it-IT" sz="11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boxPr>
                          <m:e>
                            <m:argPr>
                              <m:argSz m:val="-1"/>
                            </m:argPr>
                            <m:f>
                              <m:fPr>
                                <m:ctrlP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</m:den>
                            </m:f>
                          </m:e>
                        </m:box>
                      </m:sup>
                    </m:sSup>
                  </m:oMath>
                </m:oMathPara>
              </a14:m>
              <a:endParaRPr lang="it-IT" sz="16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6" name="CasellaDiTesto 5">
              <a:extLst>
                <a:ext uri="{FF2B5EF4-FFF2-40B4-BE49-F238E27FC236}">
                  <a16:creationId xmlns:a16="http://schemas.microsoft.com/office/drawing/2014/main" id="{3CC970C1-AB73-4C46-BEA1-4EE468342734}"/>
                </a:ext>
              </a:extLst>
            </xdr:cNvPr>
            <xdr:cNvSpPr txBox="1"/>
          </xdr:nvSpPr>
          <xdr:spPr>
            <a:xfrm>
              <a:off x="4844143" y="691243"/>
              <a:ext cx="1785257" cy="662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it-IT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𝑃(𝑡;𝐾,𝑡_0,𝑤)</a:t>
              </a:r>
              <a:r>
                <a:rPr lang="it-IT" sz="14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r>
                <a:rPr lang="it-IT" sz="1100" b="0" i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𝐾(𝑡/𝑡_0 )^𝑤 𝑒^(− □(64&amp;𝑡/𝑡_0 ))</a:t>
              </a:r>
              <a:endParaRPr lang="it-IT" sz="16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twoCellAnchor>
    <xdr:from>
      <xdr:col>14</xdr:col>
      <xdr:colOff>7620</xdr:colOff>
      <xdr:row>5</xdr:row>
      <xdr:rowOff>0</xdr:rowOff>
    </xdr:from>
    <xdr:to>
      <xdr:col>25</xdr:col>
      <xdr:colOff>99060</xdr:colOff>
      <xdr:row>37</xdr:row>
      <xdr:rowOff>144780</xdr:rowOff>
    </xdr:to>
    <xdr:grpSp>
      <xdr:nvGrpSpPr>
        <xdr:cNvPr id="5" name="Gruppo 4">
          <a:extLst>
            <a:ext uri="{FF2B5EF4-FFF2-40B4-BE49-F238E27FC236}">
              <a16:creationId xmlns:a16="http://schemas.microsoft.com/office/drawing/2014/main" id="{BE070C06-0E16-4F9B-8209-E83DE4855BB5}"/>
            </a:ext>
          </a:extLst>
        </xdr:cNvPr>
        <xdr:cNvGrpSpPr/>
      </xdr:nvGrpSpPr>
      <xdr:grpSpPr>
        <a:xfrm>
          <a:off x="10022477" y="1284514"/>
          <a:ext cx="6938554" cy="6131923"/>
          <a:chOff x="6629400" y="1287780"/>
          <a:chExt cx="6941820" cy="5303521"/>
        </a:xfrm>
      </xdr:grpSpPr>
      <xdr:graphicFrame macro="">
        <xdr:nvGraphicFramePr>
          <xdr:cNvPr id="2" name="Grafico 1">
            <a:extLst>
              <a:ext uri="{FF2B5EF4-FFF2-40B4-BE49-F238E27FC236}">
                <a16:creationId xmlns:a16="http://schemas.microsoft.com/office/drawing/2014/main" id="{03212835-2CCD-487C-A7C3-4E3C532B9DF2}"/>
              </a:ext>
            </a:extLst>
          </xdr:cNvPr>
          <xdr:cNvGraphicFramePr/>
        </xdr:nvGraphicFramePr>
        <xdr:xfrm>
          <a:off x="6629400" y="1287780"/>
          <a:ext cx="6941820" cy="530352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7" name="CasellaDiTesto 6">
            <a:extLst>
              <a:ext uri="{FF2B5EF4-FFF2-40B4-BE49-F238E27FC236}">
                <a16:creationId xmlns:a16="http://schemas.microsoft.com/office/drawing/2014/main" id="{7E696076-8C22-4EC6-8C39-63B8E38294C1}"/>
              </a:ext>
            </a:extLst>
          </xdr:cNvPr>
          <xdr:cNvSpPr txBox="1"/>
        </xdr:nvSpPr>
        <xdr:spPr>
          <a:xfrm>
            <a:off x="7508828" y="3697345"/>
            <a:ext cx="1828800" cy="121524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it-IT" sz="1400" b="1" i="1" u="none" strike="noStrike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Total cases detected</a:t>
            </a:r>
          </a:p>
          <a:p>
            <a:r>
              <a:rPr lang="it-IT" sz="1100" b="1" i="1" u="none" strike="noStrike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K=</a:t>
            </a:r>
            <a:r>
              <a:rPr lang="it-IT" b="1">
                <a:solidFill>
                  <a:srgbClr val="0070C0"/>
                </a:solidFill>
              </a:rPr>
              <a:t> </a:t>
            </a:r>
            <a:r>
              <a:rPr lang="it-IT" sz="1100" b="1" i="0" u="none" strike="noStrike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77.9073</a:t>
            </a:r>
            <a:r>
              <a:rPr lang="it-IT" b="1">
                <a:solidFill>
                  <a:srgbClr val="0070C0"/>
                </a:solidFill>
              </a:rPr>
              <a:t> </a:t>
            </a:r>
          </a:p>
          <a:p>
            <a:r>
              <a:rPr lang="it-IT" sz="1100" b="1" i="1" u="none" strike="noStrike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t</a:t>
            </a:r>
            <a:r>
              <a:rPr lang="it-IT" sz="1100" b="1" i="1" u="none" strike="noStrike" baseline="-25000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0</a:t>
            </a:r>
            <a:r>
              <a:rPr lang="it-IT" sz="1100" b="1" i="1" u="none" strike="noStrike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=</a:t>
            </a:r>
            <a:r>
              <a:rPr lang="it-IT" b="1">
                <a:solidFill>
                  <a:srgbClr val="0070C0"/>
                </a:solidFill>
              </a:rPr>
              <a:t> </a:t>
            </a:r>
            <a:r>
              <a:rPr lang="it-IT" sz="1100" b="1" i="0" u="none" strike="noStrike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6.64</a:t>
            </a:r>
            <a:r>
              <a:rPr lang="it-IT" b="1">
                <a:solidFill>
                  <a:srgbClr val="0070C0"/>
                </a:solidFill>
              </a:rPr>
              <a:t> </a:t>
            </a:r>
          </a:p>
          <a:p>
            <a:r>
              <a:rPr lang="it-IT" sz="1100" b="1" i="1" u="none" strike="noStrike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w=</a:t>
            </a:r>
            <a:r>
              <a:rPr lang="it-IT" b="1">
                <a:solidFill>
                  <a:srgbClr val="0070C0"/>
                </a:solidFill>
              </a:rPr>
              <a:t> </a:t>
            </a:r>
            <a:r>
              <a:rPr lang="it-IT" sz="1100" b="1" i="0" u="none" strike="noStrike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5.76</a:t>
            </a:r>
            <a:r>
              <a:rPr lang="it-IT" b="1">
                <a:solidFill>
                  <a:srgbClr val="0070C0"/>
                </a:solidFill>
              </a:rPr>
              <a:t> </a:t>
            </a:r>
          </a:p>
          <a:p>
            <a:r>
              <a:rPr lang="it-IT" sz="1100" b="1" i="1">
                <a:solidFill>
                  <a:srgbClr val="0070C0"/>
                </a:solidFill>
              </a:rPr>
              <a:t>R</a:t>
            </a:r>
            <a:r>
              <a:rPr lang="it-IT" sz="1100" b="1" i="1" baseline="30000">
                <a:solidFill>
                  <a:srgbClr val="0070C0"/>
                </a:solidFill>
              </a:rPr>
              <a:t>2</a:t>
            </a:r>
            <a:r>
              <a:rPr lang="it-IT" sz="1100" b="1" baseline="0">
                <a:solidFill>
                  <a:srgbClr val="0070C0"/>
                </a:solidFill>
              </a:rPr>
              <a:t>= 0.9993</a:t>
            </a:r>
          </a:p>
          <a:p>
            <a:r>
              <a:rPr lang="it-IT" sz="1100" b="1" i="1" baseline="0">
                <a:solidFill>
                  <a:srgbClr val="0070C0"/>
                </a:solidFill>
              </a:rPr>
              <a:t>CI</a:t>
            </a:r>
            <a:r>
              <a:rPr lang="it-IT" sz="1100" b="1" baseline="0">
                <a:solidFill>
                  <a:srgbClr val="0070C0"/>
                </a:solidFill>
              </a:rPr>
              <a:t>= 1824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it-IT" sz="1100" b="1" i="0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(day</a:t>
            </a:r>
            <a:r>
              <a:rPr lang="it-IT" sz="1100" b="1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 1</a:t>
            </a:r>
            <a:r>
              <a:rPr lang="it-IT" sz="1100" b="1" baseline="0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 = Feb 20th)</a:t>
            </a:r>
            <a:endParaRPr lang="it-IT" b="1">
              <a:solidFill>
                <a:srgbClr val="0070C0"/>
              </a:solidFill>
              <a:effectLst/>
            </a:endParaRPr>
          </a:p>
          <a:p>
            <a:endParaRPr lang="it-IT" sz="1100" baseline="30000"/>
          </a:p>
        </xdr:txBody>
      </xdr:sp>
    </xdr:grpSp>
    <xdr:clientData/>
  </xdr:twoCellAnchor>
  <xdr:oneCellAnchor>
    <xdr:from>
      <xdr:col>15</xdr:col>
      <xdr:colOff>185057</xdr:colOff>
      <xdr:row>14</xdr:row>
      <xdr:rowOff>103415</xdr:rowOff>
    </xdr:from>
    <xdr:ext cx="3135086" cy="3102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asellaDiTesto 7">
              <a:extLst>
                <a:ext uri="{FF2B5EF4-FFF2-40B4-BE49-F238E27FC236}">
                  <a16:creationId xmlns:a16="http://schemas.microsoft.com/office/drawing/2014/main" id="{E41171F6-92CD-40E0-8C04-B437DABCE7A4}"/>
                </a:ext>
              </a:extLst>
            </xdr:cNvPr>
            <xdr:cNvSpPr txBox="1"/>
          </xdr:nvSpPr>
          <xdr:spPr>
            <a:xfrm>
              <a:off x="10809514" y="3086101"/>
              <a:ext cx="3135086" cy="3102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it-IT" sz="1100"/>
                <a:t>y=</a:t>
              </a:r>
              <a14:m>
                <m:oMath xmlns:m="http://schemas.openxmlformats.org/officeDocument/2006/math">
                  <m:nary>
                    <m:naryPr>
                      <m:chr m:val="∑"/>
                      <m:ctrlPr>
                        <a:rPr lang="it-IT" sz="1100" i="1">
                          <a:latin typeface="Cambria Math" panose="02040503050406030204" pitchFamily="18" charset="0"/>
                        </a:rPr>
                      </m:ctrlPr>
                    </m:naryPr>
                    <m:sub>
                      <m:r>
                        <m:rPr>
                          <m:brk m:alnAt="23"/>
                        </m:rPr>
                        <a:rPr lang="it-IT" sz="1100" b="0" i="1">
                          <a:latin typeface="Cambria Math" panose="02040503050406030204" pitchFamily="18" charset="0"/>
                        </a:rPr>
                        <m:t>1</m:t>
                      </m:r>
                    </m:sub>
                    <m:sup>
                      <m:r>
                        <a:rPr lang="it-IT" sz="1100" b="0" i="1">
                          <a:latin typeface="Cambria Math" panose="02040503050406030204" pitchFamily="18" charset="0"/>
                        </a:rPr>
                        <m:t>𝑡</m:t>
                      </m:r>
                    </m:sup>
                    <m:e>
                      <m:r>
                        <a:rPr lang="it-IT" sz="1100" b="0" i="1">
                          <a:latin typeface="Cambria Math" panose="02040503050406030204" pitchFamily="18" charset="0"/>
                        </a:rPr>
                        <m:t>𝑃</m:t>
                      </m:r>
                      <m:d>
                        <m:dPr>
                          <m:ctrlPr>
                            <a:rPr lang="it-IT" sz="1100" b="0" i="1"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r>
                            <a:rPr lang="it-IT" sz="1100" b="0" i="1">
                              <a:latin typeface="Cambria Math" panose="02040503050406030204" pitchFamily="18" charset="0"/>
                            </a:rPr>
                            <m:t>𝑡</m:t>
                          </m:r>
                          <m:r>
                            <a:rPr lang="it-IT" sz="1100" b="0" i="1">
                              <a:latin typeface="Cambria Math" panose="02040503050406030204" pitchFamily="18" charset="0"/>
                            </a:rPr>
                            <m:t>;</m:t>
                          </m:r>
                          <m:r>
                            <a:rPr lang="it-IT" sz="1100" b="0" i="1">
                              <a:latin typeface="Cambria Math" panose="02040503050406030204" pitchFamily="18" charset="0"/>
                            </a:rPr>
                            <m:t>𝐾</m:t>
                          </m:r>
                          <m:r>
                            <a:rPr lang="it-IT" sz="1100" b="0" i="1">
                              <a:latin typeface="Cambria Math" panose="02040503050406030204" pitchFamily="18" charset="0"/>
                            </a:rPr>
                            <m:t>,</m:t>
                          </m:r>
                          <m:sSub>
                            <m:sSubPr>
                              <m:ctrlPr>
                                <a:rPr lang="it-IT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it-IT" sz="1100" b="0" i="1">
                                  <a:latin typeface="Cambria Math" panose="02040503050406030204" pitchFamily="18" charset="0"/>
                                </a:rPr>
                                <m:t>𝑡</m:t>
                              </m:r>
                            </m:e>
                            <m:sub>
                              <m:r>
                                <a:rPr lang="it-IT" sz="11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sub>
                          </m:sSub>
                          <m:r>
                            <a:rPr lang="it-IT" sz="1100" b="0" i="1">
                              <a:latin typeface="Cambria Math" panose="02040503050406030204" pitchFamily="18" charset="0"/>
                            </a:rPr>
                            <m:t>,</m:t>
                          </m:r>
                          <m:r>
                            <a:rPr lang="it-IT" sz="1100" b="0" i="1">
                              <a:latin typeface="Cambria Math" panose="02040503050406030204" pitchFamily="18" charset="0"/>
                            </a:rPr>
                            <m:t>𝑤</m:t>
                          </m:r>
                        </m:e>
                      </m:d>
                    </m:e>
                  </m:nary>
                  <m:r>
                    <a:rPr lang="it-IT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≈</m:t>
                  </m:r>
                  <m:r>
                    <a:rPr lang="it-IT" sz="1100" b="0" i="1">
                      <a:latin typeface="Cambria Math" panose="02040503050406030204" pitchFamily="18" charset="0"/>
                    </a:rPr>
                    <m:t>𝐾</m:t>
                  </m:r>
                  <m:sSub>
                    <m:sSubPr>
                      <m:ctrlPr>
                        <a:rPr lang="it-IT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it-IT" sz="1100" b="0" i="1">
                          <a:latin typeface="Cambria Math" panose="02040503050406030204" pitchFamily="18" charset="0"/>
                        </a:rPr>
                        <m:t>𝑡</m:t>
                      </m:r>
                    </m:e>
                    <m:sub>
                      <m:r>
                        <a:rPr lang="it-IT" sz="1100" b="0" i="1">
                          <a:latin typeface="Cambria Math" panose="02040503050406030204" pitchFamily="18" charset="0"/>
                        </a:rPr>
                        <m:t>0</m:t>
                      </m:r>
                    </m:sub>
                  </m:sSub>
                  <m:d>
                    <m:dPr>
                      <m:begChr m:val="["/>
                      <m:endChr m:val="]"/>
                      <m:ctrlPr>
                        <a:rPr lang="it-IT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m:rPr>
                          <m:sty m:val="p"/>
                        </m:rPr>
                        <a:rPr lang="el-G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Γ</m:t>
                      </m:r>
                      <m:d>
                        <m:dPr>
                          <m:ctrlPr>
                            <a:rPr lang="el-GR" sz="11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</m:ctrlPr>
                        </m:dPr>
                        <m:e>
                          <m:r>
                            <a:rPr lang="it-IT" sz="11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𝑤</m:t>
                          </m:r>
                          <m:r>
                            <a:rPr lang="it-IT" sz="11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+1</m:t>
                          </m:r>
                        </m:e>
                      </m:d>
                      <m:r>
                        <a:rPr lang="it-IT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−</m:t>
                      </m:r>
                      <m:r>
                        <m:rPr>
                          <m:sty m:val="p"/>
                        </m:rPr>
                        <a:rPr lang="el-GR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Γ</m:t>
                      </m:r>
                      <m:d>
                        <m:dPr>
                          <m:ctrlPr>
                            <a:rPr lang="el-GR" sz="11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</m:ctrlPr>
                        </m:dPr>
                        <m:e>
                          <m:r>
                            <a:rPr lang="it-IT" sz="11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𝑤</m:t>
                          </m:r>
                          <m:r>
                            <a:rPr lang="it-IT" sz="11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+1,</m:t>
                          </m:r>
                          <m:f>
                            <m:fPr>
                              <m:ctrlPr>
                                <a:rPr lang="it-IT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</m:ctrlPr>
                            </m:fPr>
                            <m:num>
                              <m:r>
                                <a:rPr lang="it-IT" sz="11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𝑡</m:t>
                              </m:r>
                            </m:num>
                            <m:den>
                              <m:sSub>
                                <m:sSubPr>
                                  <m:ctrlPr>
                                    <a:rPr lang="it-IT" sz="1100" b="0" i="1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it-IT" sz="1100" b="0" i="1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  <m:t>𝑡</m:t>
                                  </m:r>
                                </m:e>
                                <m:sub>
                                  <m:r>
                                    <a:rPr lang="it-IT" sz="1100" b="0" i="1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  <m:t>0</m:t>
                                  </m:r>
                                </m:sub>
                              </m:sSub>
                            </m:den>
                          </m:f>
                        </m:e>
                      </m:d>
                    </m:e>
                  </m:d>
                </m:oMath>
              </a14:m>
              <a:endParaRPr lang="it-IT" sz="1100"/>
            </a:p>
          </xdr:txBody>
        </xdr:sp>
      </mc:Choice>
      <mc:Fallback xmlns="">
        <xdr:sp macro="" textlink="">
          <xdr:nvSpPr>
            <xdr:cNvPr id="8" name="CasellaDiTesto 7">
              <a:extLst>
                <a:ext uri="{FF2B5EF4-FFF2-40B4-BE49-F238E27FC236}">
                  <a16:creationId xmlns:a16="http://schemas.microsoft.com/office/drawing/2014/main" id="{E41171F6-92CD-40E0-8C04-B437DABCE7A4}"/>
                </a:ext>
              </a:extLst>
            </xdr:cNvPr>
            <xdr:cNvSpPr txBox="1"/>
          </xdr:nvSpPr>
          <xdr:spPr>
            <a:xfrm>
              <a:off x="10809514" y="3086101"/>
              <a:ext cx="3135086" cy="3102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it-IT" sz="1100"/>
                <a:t>y=</a:t>
              </a:r>
              <a:r>
                <a:rPr lang="it-IT" sz="1100" i="0">
                  <a:latin typeface="Cambria Math" panose="02040503050406030204" pitchFamily="18" charset="0"/>
                </a:rPr>
                <a:t>∑24_</a:t>
              </a:r>
              <a:r>
                <a:rPr lang="it-IT" sz="1100" b="0" i="0">
                  <a:latin typeface="Cambria Math" panose="02040503050406030204" pitchFamily="18" charset="0"/>
                </a:rPr>
                <a:t>1^𝑡▒𝑃(𝑡;𝐾,𝑡_0,𝑤) </a:t>
              </a:r>
              <a:r>
                <a:rPr lang="it-IT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≈</a:t>
              </a:r>
              <a:r>
                <a:rPr lang="it-IT" sz="1100" b="0" i="0">
                  <a:latin typeface="Cambria Math" panose="02040503050406030204" pitchFamily="18" charset="0"/>
                </a:rPr>
                <a:t>𝐾𝑡_0 [</a:t>
              </a:r>
              <a:r>
                <a:rPr lang="el-G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Γ(</a:t>
              </a:r>
              <a:r>
                <a:rPr lang="it-IT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𝑤+1</a:t>
              </a:r>
              <a:r>
                <a:rPr lang="el-G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)</a:t>
              </a:r>
              <a:r>
                <a:rPr lang="it-IT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−</a:t>
              </a:r>
              <a:r>
                <a:rPr lang="el-G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Γ(</a:t>
              </a:r>
              <a:r>
                <a:rPr lang="it-IT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𝑤+1,𝑡/𝑡_0 </a:t>
              </a:r>
              <a:r>
                <a:rPr lang="el-G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)</a:t>
              </a:r>
              <a:r>
                <a:rPr lang="it-IT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]</a:t>
              </a:r>
              <a:endParaRPr lang="it-IT" sz="1100"/>
            </a:p>
          </xdr:txBody>
        </xdr:sp>
      </mc:Fallback>
    </mc:AlternateContent>
    <xdr:clientData/>
  </xdr:oneCellAnchor>
  <xdr:oneCellAnchor>
    <xdr:from>
      <xdr:col>15</xdr:col>
      <xdr:colOff>432164</xdr:colOff>
      <xdr:row>11</xdr:row>
      <xdr:rowOff>0</xdr:rowOff>
    </xdr:from>
    <xdr:ext cx="1940922" cy="41365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CasellaDiTesto 8">
              <a:extLst>
                <a:ext uri="{FF2B5EF4-FFF2-40B4-BE49-F238E27FC236}">
                  <a16:creationId xmlns:a16="http://schemas.microsoft.com/office/drawing/2014/main" id="{A390F678-15DD-420F-A6FC-7C6C3ADC64E8}"/>
                </a:ext>
              </a:extLst>
            </xdr:cNvPr>
            <xdr:cNvSpPr txBox="1"/>
          </xdr:nvSpPr>
          <xdr:spPr>
            <a:xfrm>
              <a:off x="11056621" y="2405743"/>
              <a:ext cx="1940922" cy="4136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𝑃</m:t>
                    </m:r>
                    <m:d>
                      <m:dPr>
                        <m:ctrlP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;</m:t>
                        </m:r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</m:t>
                        </m:r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sSub>
                          <m:sSubPr>
                            <m:ctrlP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𝑡</m:t>
                            </m:r>
                          </m:e>
                          <m:sub>
                            <m: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sub>
                        </m:sSub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</m:e>
                    </m:d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it-IT" sz="1100" b="0" i="1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𝐾</m:t>
                    </m:r>
                    <m:sSup>
                      <m:sSupPr>
                        <m:ctrlP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it-IT" sz="11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  <m:sup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</m:sup>
                    </m:sSup>
                    <m:sSup>
                      <m:sSupPr>
                        <m:ctrlP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 </m:t>
                        </m:r>
                        <m:box>
                          <m:boxPr>
                            <m:ctrlPr>
                              <a:rPr lang="it-IT" sz="11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boxPr>
                          <m:e>
                            <m:argPr>
                              <m:argSz m:val="-1"/>
                            </m:argPr>
                            <m:f>
                              <m:fPr>
                                <m:ctrlP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</m:den>
                            </m:f>
                          </m:e>
                        </m:box>
                      </m:sup>
                    </m:sSup>
                  </m:oMath>
                </m:oMathPara>
              </a14:m>
              <a:endParaRPr lang="it-IT" sz="16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9" name="CasellaDiTesto 8">
              <a:extLst>
                <a:ext uri="{FF2B5EF4-FFF2-40B4-BE49-F238E27FC236}">
                  <a16:creationId xmlns:a16="http://schemas.microsoft.com/office/drawing/2014/main" id="{A390F678-15DD-420F-A6FC-7C6C3ADC64E8}"/>
                </a:ext>
              </a:extLst>
            </xdr:cNvPr>
            <xdr:cNvSpPr txBox="1"/>
          </xdr:nvSpPr>
          <xdr:spPr>
            <a:xfrm>
              <a:off x="11056621" y="2405743"/>
              <a:ext cx="1940922" cy="4136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it-IT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𝑃(𝑡;𝐾,𝑡_0,𝑤)</a:t>
              </a:r>
              <a:r>
                <a:rPr lang="it-IT" sz="14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r>
                <a:rPr lang="it-IT" sz="1100" b="0" i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𝐾(𝑡/𝑡_0 )^𝑤 𝑒^(− □(64&amp;𝑡/𝑡_0 ))</a:t>
              </a:r>
              <a:endParaRPr lang="it-IT" sz="16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0.6939</cdr:x>
      <cdr:y>0.46292</cdr:y>
    </cdr:from>
    <cdr:to>
      <cdr:x>0.95734</cdr:x>
      <cdr:y>0.67992</cdr:y>
    </cdr:to>
    <cdr:sp macro="" textlink="">
      <cdr:nvSpPr>
        <cdr:cNvPr id="2" name="CasellaDiTesto 6">
          <a:extLst xmlns:a="http://schemas.openxmlformats.org/drawingml/2006/main">
            <a:ext uri="{FF2B5EF4-FFF2-40B4-BE49-F238E27FC236}">
              <a16:creationId xmlns:a16="http://schemas.microsoft.com/office/drawing/2014/main" id="{7E696076-8C22-4EC6-8C39-63B8E38294C1}"/>
            </a:ext>
          </a:extLst>
        </cdr:cNvPr>
        <cdr:cNvSpPr txBox="1"/>
      </cdr:nvSpPr>
      <cdr:spPr>
        <a:xfrm xmlns:a="http://schemas.openxmlformats.org/drawingml/2006/main">
          <a:off x="4814647" y="2838611"/>
          <a:ext cx="1827893" cy="1330618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it-IT" sz="14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Cumulative deaths</a:t>
          </a:r>
        </a:p>
        <a:p xmlns:a="http://schemas.openxmlformats.org/drawingml/2006/main"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K=</a:t>
          </a:r>
          <a:r>
            <a:rPr lang="it-IT" b="1">
              <a:solidFill>
                <a:srgbClr val="FF0000"/>
              </a:solidFill>
            </a:rPr>
            <a:t> </a:t>
          </a:r>
          <a:r>
            <a:rPr lang="it-IT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3.8900</a:t>
          </a:r>
          <a:r>
            <a:rPr lang="it-IT" b="1">
              <a:solidFill>
                <a:srgbClr val="FF0000"/>
              </a:solidFill>
            </a:rPr>
            <a:t> </a:t>
          </a:r>
        </a:p>
        <a:p xmlns:a="http://schemas.openxmlformats.org/drawingml/2006/main"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it-IT" sz="1100" b="1" i="1" u="none" strike="noStrike" baseline="-25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lang="it-IT" b="1">
              <a:solidFill>
                <a:srgbClr val="FF0000"/>
              </a:solidFill>
            </a:rPr>
            <a:t> </a:t>
          </a:r>
          <a:r>
            <a:rPr lang="it-IT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7.37</a:t>
          </a:r>
          <a:r>
            <a:rPr lang="it-IT" b="1">
              <a:solidFill>
                <a:srgbClr val="FF0000"/>
              </a:solidFill>
            </a:rPr>
            <a:t> </a:t>
          </a:r>
        </a:p>
        <a:p xmlns:a="http://schemas.openxmlformats.org/drawingml/2006/main"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w=</a:t>
          </a:r>
          <a:r>
            <a:rPr lang="it-IT" b="1">
              <a:solidFill>
                <a:srgbClr val="FF0000"/>
              </a:solidFill>
            </a:rPr>
            <a:t> </a:t>
          </a:r>
          <a:r>
            <a:rPr lang="it-IT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6.44</a:t>
          </a:r>
          <a:r>
            <a:rPr lang="it-IT" b="1">
              <a:solidFill>
                <a:srgbClr val="FF0000"/>
              </a:solidFill>
            </a:rPr>
            <a:t> </a:t>
          </a:r>
        </a:p>
        <a:p xmlns:a="http://schemas.openxmlformats.org/drawingml/2006/main">
          <a:r>
            <a:rPr lang="it-IT" sz="1100" b="1" i="1">
              <a:solidFill>
                <a:srgbClr val="FF0000"/>
              </a:solidFill>
            </a:rPr>
            <a:t>R</a:t>
          </a:r>
          <a:r>
            <a:rPr lang="it-IT" sz="1100" b="1" i="1" baseline="30000">
              <a:solidFill>
                <a:srgbClr val="FF0000"/>
              </a:solidFill>
            </a:rPr>
            <a:t>2</a:t>
          </a:r>
          <a:r>
            <a:rPr lang="it-IT" sz="1100" b="1" baseline="0">
              <a:solidFill>
                <a:srgbClr val="FF0000"/>
              </a:solidFill>
            </a:rPr>
            <a:t>= 0.9996</a:t>
          </a:r>
        </a:p>
        <a:p xmlns:a="http://schemas.openxmlformats.org/drawingml/2006/main">
          <a:r>
            <a:rPr lang="it-IT" sz="1100" b="1" i="1" baseline="0">
              <a:solidFill>
                <a:srgbClr val="FF0000"/>
              </a:solidFill>
            </a:rPr>
            <a:t>CI</a:t>
          </a:r>
          <a:r>
            <a:rPr lang="it-IT" sz="1100" b="1" baseline="0">
              <a:solidFill>
                <a:srgbClr val="FF0000"/>
              </a:solidFill>
            </a:rPr>
            <a:t>= 132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(day</a:t>
          </a:r>
          <a:r>
            <a:rPr lang="it-IT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1</a:t>
          </a:r>
          <a:r>
            <a:rPr lang="it-IT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= Feb 20th)</a:t>
          </a:r>
          <a:endParaRPr lang="it-IT" b="1">
            <a:solidFill>
              <a:srgbClr val="FF0000"/>
            </a:solidFill>
            <a:effectLst/>
          </a:endParaRPr>
        </a:p>
        <a:p xmlns:a="http://schemas.openxmlformats.org/drawingml/2006/main">
          <a:endParaRPr lang="it-IT" sz="1100" baseline="300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7620</xdr:colOff>
      <xdr:row>5</xdr:row>
      <xdr:rowOff>0</xdr:rowOff>
    </xdr:from>
    <xdr:to>
      <xdr:col>29</xdr:col>
      <xdr:colOff>99060</xdr:colOff>
      <xdr:row>37</xdr:row>
      <xdr:rowOff>144780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5082D72-C1F7-4963-A285-6EBE98D385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6</xdr:col>
      <xdr:colOff>740229</xdr:colOff>
      <xdr:row>2</xdr:row>
      <xdr:rowOff>152400</xdr:rowOff>
    </xdr:from>
    <xdr:ext cx="1981199" cy="41365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CasellaDiTesto 12">
              <a:extLst>
                <a:ext uri="{FF2B5EF4-FFF2-40B4-BE49-F238E27FC236}">
                  <a16:creationId xmlns:a16="http://schemas.microsoft.com/office/drawing/2014/main" id="{D51ED4DB-D98F-4607-88B8-B2A5F5A5E99B}"/>
                </a:ext>
              </a:extLst>
            </xdr:cNvPr>
            <xdr:cNvSpPr txBox="1"/>
          </xdr:nvSpPr>
          <xdr:spPr>
            <a:xfrm>
              <a:off x="5355772" y="729343"/>
              <a:ext cx="1981199" cy="4136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𝑦</m:t>
                    </m:r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it-IT" sz="1100" b="0" i="1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𝐾</m:t>
                    </m:r>
                    <m:sSup>
                      <m:sSupPr>
                        <m:ctrlP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it-IT" sz="11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  <m:sup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</m:sup>
                    </m:sSup>
                    <m:sSup>
                      <m:sSupPr>
                        <m:ctrlP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 </m:t>
                        </m:r>
                        <m:box>
                          <m:boxPr>
                            <m:ctrlPr>
                              <a:rPr lang="it-IT" sz="11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boxPr>
                          <m:e>
                            <m:argPr>
                              <m:argSz m:val="-1"/>
                            </m:argPr>
                            <m:f>
                              <m:fPr>
                                <m:ctrlP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</m:den>
                            </m:f>
                          </m:e>
                        </m:box>
                      </m:sup>
                    </m:sSup>
                  </m:oMath>
                </m:oMathPara>
              </a14:m>
              <a:endParaRPr lang="it-IT" sz="16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3" name="CasellaDiTesto 12">
              <a:extLst>
                <a:ext uri="{FF2B5EF4-FFF2-40B4-BE49-F238E27FC236}">
                  <a16:creationId xmlns:a16="http://schemas.microsoft.com/office/drawing/2014/main" id="{D51ED4DB-D98F-4607-88B8-B2A5F5A5E99B}"/>
                </a:ext>
              </a:extLst>
            </xdr:cNvPr>
            <xdr:cNvSpPr txBox="1"/>
          </xdr:nvSpPr>
          <xdr:spPr>
            <a:xfrm>
              <a:off x="5355772" y="729343"/>
              <a:ext cx="1981199" cy="4136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it-I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</a:t>
              </a:r>
              <a:r>
                <a:rPr lang="it-IT" sz="14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r>
                <a:rPr lang="it-IT" sz="1100" b="0" i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𝐾(𝑡/𝑡_0 )^𝑤 𝑒^(− □(64&amp;𝑡/𝑡_0 ))</a:t>
              </a:r>
              <a:endParaRPr lang="it-IT" sz="16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18</xdr:col>
      <xdr:colOff>489858</xdr:colOff>
      <xdr:row>14</xdr:row>
      <xdr:rowOff>21771</xdr:rowOff>
    </xdr:from>
    <xdr:ext cx="1981199" cy="41365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CasellaDiTesto 13">
              <a:extLst>
                <a:ext uri="{FF2B5EF4-FFF2-40B4-BE49-F238E27FC236}">
                  <a16:creationId xmlns:a16="http://schemas.microsoft.com/office/drawing/2014/main" id="{CDABA8D7-058F-4FA1-868B-347C0B1C3351}"/>
                </a:ext>
              </a:extLst>
            </xdr:cNvPr>
            <xdr:cNvSpPr txBox="1"/>
          </xdr:nvSpPr>
          <xdr:spPr>
            <a:xfrm>
              <a:off x="13705115" y="3004457"/>
              <a:ext cx="1981199" cy="4136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𝑦</m:t>
                    </m:r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it-IT" sz="1100" b="0" i="1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𝐾</m:t>
                    </m:r>
                    <m:sSup>
                      <m:sSupPr>
                        <m:ctrlP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it-IT" sz="11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  <m:sup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</m:sup>
                    </m:sSup>
                    <m:sSup>
                      <m:sSupPr>
                        <m:ctrlP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 </m:t>
                        </m:r>
                        <m:box>
                          <m:boxPr>
                            <m:ctrlPr>
                              <a:rPr lang="it-IT" sz="11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boxPr>
                          <m:e>
                            <m:argPr>
                              <m:argSz m:val="-1"/>
                            </m:argPr>
                            <m:f>
                              <m:fPr>
                                <m:ctrlP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</m:den>
                            </m:f>
                          </m:e>
                        </m:box>
                      </m:sup>
                    </m:sSup>
                  </m:oMath>
                </m:oMathPara>
              </a14:m>
              <a:endParaRPr lang="it-IT" sz="16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4" name="CasellaDiTesto 13">
              <a:extLst>
                <a:ext uri="{FF2B5EF4-FFF2-40B4-BE49-F238E27FC236}">
                  <a16:creationId xmlns:a16="http://schemas.microsoft.com/office/drawing/2014/main" id="{CDABA8D7-058F-4FA1-868B-347C0B1C3351}"/>
                </a:ext>
              </a:extLst>
            </xdr:cNvPr>
            <xdr:cNvSpPr txBox="1"/>
          </xdr:nvSpPr>
          <xdr:spPr>
            <a:xfrm>
              <a:off x="13705115" y="3004457"/>
              <a:ext cx="1981199" cy="4136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it-I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</a:t>
              </a:r>
              <a:r>
                <a:rPr lang="it-IT" sz="14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r>
                <a:rPr lang="it-IT" sz="1100" b="0" i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𝐾(𝑡/𝑡_0 )^𝑤 𝑒^(− □(64&amp;𝑡/𝑡_0 ))</a:t>
              </a:r>
              <a:endParaRPr lang="it-IT" sz="16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twoCellAnchor>
    <xdr:from>
      <xdr:col>18</xdr:col>
      <xdr:colOff>468086</xdr:colOff>
      <xdr:row>16</xdr:row>
      <xdr:rowOff>108857</xdr:rowOff>
    </xdr:from>
    <xdr:to>
      <xdr:col>21</xdr:col>
      <xdr:colOff>467226</xdr:colOff>
      <xdr:row>24</xdr:row>
      <xdr:rowOff>807</xdr:rowOff>
    </xdr:to>
    <xdr:sp macro="" textlink="">
      <xdr:nvSpPr>
        <xdr:cNvPr id="15" name="CasellaDiTesto 14">
          <a:extLst>
            <a:ext uri="{FF2B5EF4-FFF2-40B4-BE49-F238E27FC236}">
              <a16:creationId xmlns:a16="http://schemas.microsoft.com/office/drawing/2014/main" id="{ECEDAA15-C068-479E-B2FB-BC15E3292245}"/>
            </a:ext>
          </a:extLst>
        </xdr:cNvPr>
        <xdr:cNvSpPr txBox="1"/>
      </xdr:nvSpPr>
      <xdr:spPr>
        <a:xfrm>
          <a:off x="13683343" y="3461657"/>
          <a:ext cx="1827940" cy="14050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400" b="1" i="1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New cases detected</a:t>
          </a:r>
        </a:p>
        <a:p>
          <a:r>
            <a:rPr lang="it-IT" sz="1100" b="1" i="1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K=</a:t>
          </a:r>
          <a:r>
            <a:rPr lang="it-IT" b="1">
              <a:solidFill>
                <a:srgbClr val="0070C0"/>
              </a:solidFill>
            </a:rPr>
            <a:t> </a:t>
          </a:r>
          <a:r>
            <a:rPr lang="it-IT" sz="1100" b="1" i="0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0.0260</a:t>
          </a:r>
          <a:r>
            <a:rPr lang="it-IT" b="1">
              <a:solidFill>
                <a:srgbClr val="0070C0"/>
              </a:solidFill>
            </a:rPr>
            <a:t> </a:t>
          </a:r>
        </a:p>
        <a:p>
          <a:r>
            <a:rPr lang="it-IT" sz="1100" b="1" i="1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it-IT" sz="1100" b="1" i="1" u="none" strike="noStrike" baseline="-250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it-IT" sz="1100" b="1" i="1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lang="it-IT" b="1">
              <a:solidFill>
                <a:srgbClr val="0070C0"/>
              </a:solidFill>
            </a:rPr>
            <a:t> </a:t>
          </a:r>
          <a:r>
            <a:rPr lang="it-IT" sz="1100" b="1" i="0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3.52</a:t>
          </a:r>
          <a:endParaRPr lang="it-IT" b="1">
            <a:solidFill>
              <a:srgbClr val="0070C0"/>
            </a:solidFill>
          </a:endParaRPr>
        </a:p>
        <a:p>
          <a:r>
            <a:rPr lang="it-IT" sz="1100" b="1" i="1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w=</a:t>
          </a:r>
          <a:r>
            <a:rPr lang="it-IT" b="1">
              <a:solidFill>
                <a:srgbClr val="0070C0"/>
              </a:solidFill>
            </a:rPr>
            <a:t> </a:t>
          </a:r>
          <a:r>
            <a:rPr lang="it-IT" sz="1100" b="1" i="0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9.67</a:t>
          </a:r>
          <a:r>
            <a:rPr lang="it-IT" b="1">
              <a:solidFill>
                <a:srgbClr val="0070C0"/>
              </a:solidFill>
            </a:rPr>
            <a:t> </a:t>
          </a:r>
        </a:p>
        <a:p>
          <a:r>
            <a:rPr lang="it-IT" sz="1100" b="1" i="1">
              <a:solidFill>
                <a:srgbClr val="0070C0"/>
              </a:solidFill>
            </a:rPr>
            <a:t>R</a:t>
          </a:r>
          <a:r>
            <a:rPr lang="it-IT" sz="1100" b="1" i="1" baseline="30000">
              <a:solidFill>
                <a:srgbClr val="0070C0"/>
              </a:solidFill>
            </a:rPr>
            <a:t>2</a:t>
          </a:r>
          <a:r>
            <a:rPr lang="it-IT" sz="1100" b="1" baseline="0">
              <a:solidFill>
                <a:srgbClr val="0070C0"/>
              </a:solidFill>
            </a:rPr>
            <a:t>= 0.9561</a:t>
          </a:r>
        </a:p>
        <a:p>
          <a:r>
            <a:rPr lang="it-IT" sz="1100" b="1" i="1" baseline="0">
              <a:solidFill>
                <a:srgbClr val="0070C0"/>
              </a:solidFill>
            </a:rPr>
            <a:t>CI</a:t>
          </a:r>
          <a:r>
            <a:rPr lang="it-IT" sz="1100" b="1" baseline="0">
              <a:solidFill>
                <a:srgbClr val="0070C0"/>
              </a:solidFill>
            </a:rPr>
            <a:t>= 989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(day</a:t>
          </a:r>
          <a:r>
            <a:rPr lang="it-IT" sz="1100" b="1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 1</a:t>
          </a:r>
          <a:r>
            <a:rPr lang="it-IT" sz="1100" b="1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 = Feb 20th)</a:t>
          </a:r>
          <a:endParaRPr lang="it-IT" b="1">
            <a:solidFill>
              <a:srgbClr val="0070C0"/>
            </a:solidFill>
            <a:effectLst/>
          </a:endParaRPr>
        </a:p>
        <a:p>
          <a:endParaRPr lang="it-IT" sz="1100" baseline="30000"/>
        </a:p>
      </xdr:txBody>
    </xdr:sp>
    <xdr:clientData/>
  </xdr:twoCellAnchor>
  <xdr:twoCellAnchor>
    <xdr:from>
      <xdr:col>25</xdr:col>
      <xdr:colOff>261257</xdr:colOff>
      <xdr:row>21</xdr:row>
      <xdr:rowOff>65314</xdr:rowOff>
    </xdr:from>
    <xdr:to>
      <xdr:col>28</xdr:col>
      <xdr:colOff>260397</xdr:colOff>
      <xdr:row>28</xdr:row>
      <xdr:rowOff>153206</xdr:rowOff>
    </xdr:to>
    <xdr:sp macro="" textlink="">
      <xdr:nvSpPr>
        <xdr:cNvPr id="6" name="CasellaDiTesto 5">
          <a:extLst>
            <a:ext uri="{FF2B5EF4-FFF2-40B4-BE49-F238E27FC236}">
              <a16:creationId xmlns:a16="http://schemas.microsoft.com/office/drawing/2014/main" id="{85F4D146-173D-4403-9F37-59A053CC9E63}"/>
            </a:ext>
          </a:extLst>
        </xdr:cNvPr>
        <xdr:cNvSpPr txBox="1"/>
      </xdr:nvSpPr>
      <xdr:spPr>
        <a:xfrm>
          <a:off x="17885228" y="4354285"/>
          <a:ext cx="1827940" cy="14050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4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Daily</a:t>
          </a:r>
          <a:r>
            <a:rPr lang="it-IT" sz="1400" b="1" i="1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new deaths</a:t>
          </a:r>
          <a:endParaRPr lang="it-IT" sz="1400" b="1" i="1" u="none" strike="noStrike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K=</a:t>
          </a:r>
          <a:r>
            <a:rPr lang="it-IT" b="1">
              <a:solidFill>
                <a:srgbClr val="FF0000"/>
              </a:solidFill>
            </a:rPr>
            <a:t> </a:t>
          </a:r>
          <a:r>
            <a:rPr lang="it-IT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0.0202</a:t>
          </a:r>
          <a:r>
            <a:rPr lang="it-IT" b="1">
              <a:solidFill>
                <a:srgbClr val="FF0000"/>
              </a:solidFill>
            </a:rPr>
            <a:t> </a:t>
          </a:r>
        </a:p>
        <a:p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it-IT" sz="1100" b="1" i="1" u="none" strike="noStrike" baseline="-25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lang="it-IT" b="1">
              <a:solidFill>
                <a:srgbClr val="FF0000"/>
              </a:solidFill>
            </a:rPr>
            <a:t> </a:t>
          </a:r>
          <a:r>
            <a:rPr lang="it-IT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4,61</a:t>
          </a:r>
          <a:endParaRPr lang="it-IT" b="1">
            <a:solidFill>
              <a:srgbClr val="FF0000"/>
            </a:solidFill>
          </a:endParaRPr>
        </a:p>
        <a:p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w=</a:t>
          </a:r>
          <a:r>
            <a:rPr lang="it-IT" b="1">
              <a:solidFill>
                <a:srgbClr val="FF0000"/>
              </a:solidFill>
            </a:rPr>
            <a:t> </a:t>
          </a:r>
          <a:r>
            <a:rPr lang="it-IT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8.94</a:t>
          </a:r>
          <a:r>
            <a:rPr lang="it-IT" b="1">
              <a:solidFill>
                <a:srgbClr val="FF0000"/>
              </a:solidFill>
            </a:rPr>
            <a:t> </a:t>
          </a:r>
        </a:p>
        <a:p>
          <a:r>
            <a:rPr lang="it-IT" sz="1100" b="1" i="1">
              <a:solidFill>
                <a:srgbClr val="FF0000"/>
              </a:solidFill>
            </a:rPr>
            <a:t>R</a:t>
          </a:r>
          <a:r>
            <a:rPr lang="it-IT" sz="1100" b="1" i="1" baseline="30000">
              <a:solidFill>
                <a:srgbClr val="FF0000"/>
              </a:solidFill>
            </a:rPr>
            <a:t>2</a:t>
          </a:r>
          <a:r>
            <a:rPr lang="it-IT" sz="1100" b="1" baseline="0">
              <a:solidFill>
                <a:srgbClr val="FF0000"/>
              </a:solidFill>
            </a:rPr>
            <a:t>= 0.9667</a:t>
          </a:r>
        </a:p>
        <a:p>
          <a:r>
            <a:rPr lang="it-IT" sz="1100" b="1" i="1" baseline="0">
              <a:solidFill>
                <a:srgbClr val="FF0000"/>
              </a:solidFill>
            </a:rPr>
            <a:t>CI</a:t>
          </a:r>
          <a:r>
            <a:rPr lang="it-IT" sz="1100" b="1" baseline="0">
              <a:solidFill>
                <a:srgbClr val="FF0000"/>
              </a:solidFill>
            </a:rPr>
            <a:t>= 122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(day</a:t>
          </a:r>
          <a:r>
            <a:rPr lang="it-IT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1</a:t>
          </a:r>
          <a:r>
            <a:rPr lang="it-IT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= Feb 20th)</a:t>
          </a:r>
          <a:endParaRPr lang="it-IT" b="1">
            <a:solidFill>
              <a:srgbClr val="FF0000"/>
            </a:solidFill>
            <a:effectLst/>
          </a:endParaRPr>
        </a:p>
        <a:p>
          <a:endParaRPr lang="it-IT" sz="1100" baseline="300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ier Franco Nali" id="{46504131-ADD3-4530-BCC7-16E4FED1C2C4}" userId="1f297b06b5980845" providerId="Windows Live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8" xr16:uid="{C6F43282-B674-4784-8686-F2035C7A1AE8}" autoFormatId="16" applyNumberFormats="0" applyBorderFormats="0" applyFontFormats="0" applyPatternFormats="0" applyAlignmentFormats="0" applyWidthHeightFormats="0">
  <queryTableRefresh nextId="16">
    <queryTableFields count="15">
      <queryTableField id="1" name="data" tableColumnId="1"/>
      <queryTableField id="2" name="stato" tableColumnId="2"/>
      <queryTableField id="3" name="ricoverati_con_sintomi" tableColumnId="3"/>
      <queryTableField id="4" name="terapia_intensiva" tableColumnId="4"/>
      <queryTableField id="5" name="totale_ospedalizzati" tableColumnId="5"/>
      <queryTableField id="6" name="isolamento_domiciliare" tableColumnId="6"/>
      <queryTableField id="7" name="totale_positivi" tableColumnId="7"/>
      <queryTableField id="8" name="variazione_totale_positivi" tableColumnId="8"/>
      <queryTableField id="9" name="nuovi_positivi" tableColumnId="9"/>
      <queryTableField id="10" name="dimessi_guariti" tableColumnId="10"/>
      <queryTableField id="11" name="deceduti" tableColumnId="11"/>
      <queryTableField id="12" name="totale_casi" tableColumnId="12"/>
      <queryTableField id="13" name="tamponi" tableColumnId="13"/>
      <queryTableField id="14" name="note_it" tableColumnId="14"/>
      <queryTableField id="15" name="note_en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A59D82-5043-4877-A71E-47017D5BEBEC}" name="dpc_covid19_ita_andamento_nazionale__8" displayName="dpc_covid19_ita_andamento_nazionale__8" ref="A1:O38" tableType="queryTable" totalsRowShown="0">
  <autoFilter ref="A1:O38" xr:uid="{585C8A93-1E61-447A-BFA1-CBAD2F369C2C}"/>
  <tableColumns count="15">
    <tableColumn id="1" xr3:uid="{89AC5C3E-B3BF-4789-A368-8CE8A0A18199}" uniqueName="1" name="data" queryTableFieldId="1" dataDxfId="3"/>
    <tableColumn id="2" xr3:uid="{E0495A67-8083-47BA-B8EF-AC09A4AA1AED}" uniqueName="2" name="stato" queryTableFieldId="2" dataDxfId="2"/>
    <tableColumn id="3" xr3:uid="{1437AA6C-9D48-420D-9F20-0B2F1ABB7C76}" uniqueName="3" name="ricoverati_con_sintomi" queryTableFieldId="3"/>
    <tableColumn id="4" xr3:uid="{ED210980-03ED-45DE-8355-F1481076D885}" uniqueName="4" name="terapia_intensiva" queryTableFieldId="4"/>
    <tableColumn id="5" xr3:uid="{9EE2C770-05C5-4B88-BE4B-1C9993CF2F1C}" uniqueName="5" name="totale_ospedalizzati" queryTableFieldId="5"/>
    <tableColumn id="6" xr3:uid="{AE227A4D-6681-4558-BD0F-B69F7A3C2271}" uniqueName="6" name="isolamento_domiciliare" queryTableFieldId="6"/>
    <tableColumn id="7" xr3:uid="{3DF10501-D98F-4592-AA11-1FFC9F3270C1}" uniqueName="7" name="totale_positivi" queryTableFieldId="7"/>
    <tableColumn id="8" xr3:uid="{3DDC6618-FE4D-4500-9219-C8FAEDFD2EA1}" uniqueName="8" name="variazione_totale_positivi" queryTableFieldId="8"/>
    <tableColumn id="9" xr3:uid="{FE8F11A8-A084-404A-9980-F1AB999263BA}" uniqueName="9" name="nuovi_positivi" queryTableFieldId="9"/>
    <tableColumn id="10" xr3:uid="{D72B38E9-0B16-444C-9647-58F6B5CD2D31}" uniqueName="10" name="dimessi_guariti" queryTableFieldId="10"/>
    <tableColumn id="11" xr3:uid="{69770D2C-7B59-4EAD-A7CD-AFE9FACAAEC0}" uniqueName="11" name="deceduti" queryTableFieldId="11"/>
    <tableColumn id="12" xr3:uid="{218FC5CC-7EC1-4568-9A94-5A56A89B441D}" uniqueName="12" name="totale_casi" queryTableFieldId="12"/>
    <tableColumn id="13" xr3:uid="{3C339D34-898E-4BFA-BC76-5F3B2B696EAD}" uniqueName="13" name="tamponi" queryTableFieldId="13"/>
    <tableColumn id="14" xr3:uid="{66E9AA5C-E250-4A09-BAEF-74FDDF70583F}" uniqueName="14" name="note_it" queryTableFieldId="14" dataDxfId="1"/>
    <tableColumn id="15" xr3:uid="{48D285DA-5CFF-4CA3-B250-3EB265920596}" uniqueName="15" name="note_en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1" dT="2020-03-21T22:11:56.31" personId="{46504131-ADD3-4530-BCC7-16E4FED1C2C4}" id="{6AE41525-C545-4B83-8686-2D973E356B51}">
    <text>red zone</text>
  </threadedComment>
  <threadedComment ref="B17" dT="2020-03-21T22:12:51.46" personId="{46504131-ADD3-4530-BCC7-16E4FED1C2C4}" id="{D1C5CD7B-740D-43CC-A2B1-661E9701F950}">
    <text>partial lockdown (north)</text>
  </threadedComment>
  <threadedComment ref="B21" dT="2020-03-21T22:13:52.19" personId="{46504131-ADD3-4530-BCC7-16E4FED1C2C4}" id="{D6513010-1C40-479E-8D93-3E5E664A5DD3}">
    <text>school closure (Italy)</text>
  </threadedComment>
  <threadedComment ref="B24" dT="2020-03-21T22:14:24.84" personId="{46504131-ADD3-4530-BCC7-16E4FED1C2C4}" id="{D716A400-1BA0-4A74-B84E-CB03860A1D57}">
    <text>lockdown (north)</text>
  </threadedComment>
  <threadedComment ref="B26" dT="2020-03-21T22:14:52.14" personId="{46504131-ADD3-4530-BCC7-16E4FED1C2C4}" id="{7162E970-0C82-40C0-9D82-4DB3CD06F48A}">
    <text>partial lockdown (Italy)</text>
  </threadedComment>
  <threadedComment ref="B28" dT="2020-03-21T22:15:16.77" personId="{46504131-ADD3-4530-BCC7-16E4FED1C2C4}" id="{ABA66A1D-C810-456B-991F-51AB6F2F5F4A}">
    <text>lockdown (Italy)</text>
  </threadedComment>
  <threadedComment ref="B39" dT="2020-03-23T21:41:16.67" personId="{46504131-ADD3-4530-BCC7-16E4FED1C2C4}" id="{8DD349DE-7478-43D5-9443-337E52D93429}">
    <text>reinforced lockdown (Italy)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11" dT="2020-03-21T22:11:56.31" personId="{46504131-ADD3-4530-BCC7-16E4FED1C2C4}" id="{5FD8839A-74E9-44C2-B5F2-F977D0EA3D98}">
    <text>red zone</text>
  </threadedComment>
  <threadedComment ref="B17" dT="2020-03-21T22:12:51.46" personId="{46504131-ADD3-4530-BCC7-16E4FED1C2C4}" id="{95B83D2D-5EDB-4C8F-91A8-36D622D74B5B}">
    <text>partial lockdown (north)</text>
  </threadedComment>
  <threadedComment ref="B21" dT="2020-03-21T22:13:52.19" personId="{46504131-ADD3-4530-BCC7-16E4FED1C2C4}" id="{FB6547ED-429A-49D7-8367-DE2107BFB931}">
    <text>school closure (Italy)</text>
  </threadedComment>
  <threadedComment ref="B24" dT="2020-03-21T22:14:24.84" personId="{46504131-ADD3-4530-BCC7-16E4FED1C2C4}" id="{18DCC697-BA7F-479A-8641-1D7FCDC0672D}">
    <text>lockdown (north)</text>
  </threadedComment>
  <threadedComment ref="B26" dT="2020-03-21T22:14:52.14" personId="{46504131-ADD3-4530-BCC7-16E4FED1C2C4}" id="{5FB23112-C2D9-44D1-9DAD-0448A5341B10}">
    <text>partial lockdown (Italy)</text>
  </threadedComment>
  <threadedComment ref="B28" dT="2020-03-21T22:15:16.77" personId="{46504131-ADD3-4530-BCC7-16E4FED1C2C4}" id="{90A59D2F-F1E2-4415-85BD-E03CA55CB6FA}">
    <text>lockdown (Italy)</text>
  </threadedComment>
  <threadedComment ref="B39" dT="2020-03-23T21:41:16.67" personId="{46504131-ADD3-4530-BCC7-16E4FED1C2C4}" id="{0E1A0D26-B3B0-42D1-A5BA-750B79DBB49F}">
    <text>reinforced lockdown (Italy)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3CF35-3B7D-42E1-B4D0-DDB86726833D}">
  <dimension ref="A1:O38"/>
  <sheetViews>
    <sheetView workbookViewId="0"/>
  </sheetViews>
  <sheetFormatPr defaultRowHeight="14.4" x14ac:dyDescent="0.3"/>
  <cols>
    <col min="1" max="1" width="15.6640625" bestFit="1" customWidth="1"/>
    <col min="2" max="2" width="7.44140625" bestFit="1" customWidth="1"/>
    <col min="3" max="3" width="22.6640625" bestFit="1" customWidth="1"/>
    <col min="4" max="4" width="17.77734375" bestFit="1" customWidth="1"/>
    <col min="5" max="5" width="20" bestFit="1" customWidth="1"/>
    <col min="6" max="6" width="23" bestFit="1" customWidth="1"/>
    <col min="7" max="7" width="15.109375" bestFit="1" customWidth="1"/>
    <col min="8" max="8" width="25" bestFit="1" customWidth="1"/>
    <col min="9" max="9" width="15" bestFit="1" customWidth="1"/>
    <col min="10" max="10" width="15.88671875" bestFit="1" customWidth="1"/>
    <col min="11" max="11" width="10.5546875" bestFit="1" customWidth="1"/>
    <col min="12" max="12" width="12.21875" bestFit="1" customWidth="1"/>
    <col min="13" max="13" width="10.33203125" bestFit="1" customWidth="1"/>
    <col min="14" max="14" width="19.5546875" bestFit="1" customWidth="1"/>
    <col min="15" max="15" width="21.109375" bestFit="1" customWidth="1"/>
  </cols>
  <sheetData>
    <row r="1" spans="1:15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50</v>
      </c>
      <c r="H1" t="s">
        <v>51</v>
      </c>
      <c r="I1" t="s">
        <v>52</v>
      </c>
      <c r="J1" t="s">
        <v>18</v>
      </c>
      <c r="K1" t="s">
        <v>19</v>
      </c>
      <c r="L1" t="s">
        <v>20</v>
      </c>
      <c r="M1" t="s">
        <v>21</v>
      </c>
      <c r="N1" t="s">
        <v>27</v>
      </c>
      <c r="O1" t="s">
        <v>28</v>
      </c>
    </row>
    <row r="2" spans="1:15" x14ac:dyDescent="0.3">
      <c r="A2" s="18">
        <v>43885.75</v>
      </c>
      <c r="B2" s="17" t="s">
        <v>22</v>
      </c>
      <c r="C2" s="2">
        <v>101</v>
      </c>
      <c r="D2" s="2">
        <v>26</v>
      </c>
      <c r="E2" s="2">
        <v>127</v>
      </c>
      <c r="F2" s="2">
        <v>94</v>
      </c>
      <c r="G2" s="2">
        <v>221</v>
      </c>
      <c r="H2" s="2">
        <v>0</v>
      </c>
      <c r="I2" s="2">
        <v>221</v>
      </c>
      <c r="J2" s="2">
        <v>1</v>
      </c>
      <c r="K2" s="2">
        <v>7</v>
      </c>
      <c r="L2" s="2">
        <v>229</v>
      </c>
      <c r="M2" s="2">
        <v>4324</v>
      </c>
      <c r="N2" s="17" t="s">
        <v>29</v>
      </c>
      <c r="O2" s="17" t="s">
        <v>29</v>
      </c>
    </row>
    <row r="3" spans="1:15" x14ac:dyDescent="0.3">
      <c r="A3" s="18">
        <v>43886.75</v>
      </c>
      <c r="B3" s="17" t="s">
        <v>22</v>
      </c>
      <c r="C3" s="2">
        <v>114</v>
      </c>
      <c r="D3" s="2">
        <v>35</v>
      </c>
      <c r="E3" s="2">
        <v>150</v>
      </c>
      <c r="F3" s="2">
        <v>162</v>
      </c>
      <c r="G3" s="2">
        <v>311</v>
      </c>
      <c r="H3" s="2">
        <v>90</v>
      </c>
      <c r="I3" s="2">
        <v>93</v>
      </c>
      <c r="J3" s="2">
        <v>1</v>
      </c>
      <c r="K3" s="2">
        <v>10</v>
      </c>
      <c r="L3" s="2">
        <v>322</v>
      </c>
      <c r="M3" s="2">
        <v>8623</v>
      </c>
      <c r="N3" s="17" t="s">
        <v>29</v>
      </c>
      <c r="O3" s="17" t="s">
        <v>29</v>
      </c>
    </row>
    <row r="4" spans="1:15" x14ac:dyDescent="0.3">
      <c r="A4" s="18">
        <v>43887.75</v>
      </c>
      <c r="B4" s="17" t="s">
        <v>22</v>
      </c>
      <c r="C4" s="2">
        <v>128</v>
      </c>
      <c r="D4" s="2">
        <v>36</v>
      </c>
      <c r="E4" s="2">
        <v>164</v>
      </c>
      <c r="F4" s="2">
        <v>221</v>
      </c>
      <c r="G4" s="2">
        <v>385</v>
      </c>
      <c r="H4" s="2">
        <v>74</v>
      </c>
      <c r="I4" s="2">
        <v>78</v>
      </c>
      <c r="J4" s="2">
        <v>3</v>
      </c>
      <c r="K4" s="2">
        <v>12</v>
      </c>
      <c r="L4" s="2">
        <v>400</v>
      </c>
      <c r="M4" s="2">
        <v>9587</v>
      </c>
      <c r="N4" s="17" t="s">
        <v>29</v>
      </c>
      <c r="O4" s="17" t="s">
        <v>29</v>
      </c>
    </row>
    <row r="5" spans="1:15" x14ac:dyDescent="0.3">
      <c r="A5" s="18">
        <v>43888.75</v>
      </c>
      <c r="B5" s="17" t="s">
        <v>22</v>
      </c>
      <c r="C5" s="2">
        <v>248</v>
      </c>
      <c r="D5" s="2">
        <v>56</v>
      </c>
      <c r="E5" s="2">
        <v>304</v>
      </c>
      <c r="F5" s="2">
        <v>284</v>
      </c>
      <c r="G5" s="2">
        <v>588</v>
      </c>
      <c r="H5" s="2">
        <v>203</v>
      </c>
      <c r="I5" s="2">
        <v>250</v>
      </c>
      <c r="J5" s="2">
        <v>45</v>
      </c>
      <c r="K5" s="2">
        <v>17</v>
      </c>
      <c r="L5" s="2">
        <v>650</v>
      </c>
      <c r="M5" s="2">
        <v>12014</v>
      </c>
      <c r="N5" s="17" t="s">
        <v>29</v>
      </c>
      <c r="O5" s="17" t="s">
        <v>29</v>
      </c>
    </row>
    <row r="6" spans="1:15" x14ac:dyDescent="0.3">
      <c r="A6" s="18">
        <v>43889.75</v>
      </c>
      <c r="B6" s="17" t="s">
        <v>22</v>
      </c>
      <c r="C6" s="2">
        <v>345</v>
      </c>
      <c r="D6" s="2">
        <v>64</v>
      </c>
      <c r="E6" s="2">
        <v>409</v>
      </c>
      <c r="F6" s="2">
        <v>412</v>
      </c>
      <c r="G6" s="2">
        <v>821</v>
      </c>
      <c r="H6" s="2">
        <v>233</v>
      </c>
      <c r="I6" s="2">
        <v>238</v>
      </c>
      <c r="J6" s="2">
        <v>46</v>
      </c>
      <c r="K6" s="2">
        <v>21</v>
      </c>
      <c r="L6" s="2">
        <v>888</v>
      </c>
      <c r="M6" s="2">
        <v>15695</v>
      </c>
      <c r="N6" s="17" t="s">
        <v>29</v>
      </c>
      <c r="O6" s="17" t="s">
        <v>29</v>
      </c>
    </row>
    <row r="7" spans="1:15" x14ac:dyDescent="0.3">
      <c r="A7" s="18">
        <v>43890.75</v>
      </c>
      <c r="B7" s="17" t="s">
        <v>22</v>
      </c>
      <c r="C7" s="2">
        <v>401</v>
      </c>
      <c r="D7" s="2">
        <v>105</v>
      </c>
      <c r="E7" s="2">
        <v>506</v>
      </c>
      <c r="F7" s="2">
        <v>543</v>
      </c>
      <c r="G7" s="2">
        <v>1049</v>
      </c>
      <c r="H7" s="2">
        <v>228</v>
      </c>
      <c r="I7" s="2">
        <v>240</v>
      </c>
      <c r="J7" s="2">
        <v>50</v>
      </c>
      <c r="K7" s="2">
        <v>29</v>
      </c>
      <c r="L7" s="2">
        <v>1128</v>
      </c>
      <c r="M7" s="2">
        <v>18661</v>
      </c>
      <c r="N7" s="17" t="s">
        <v>29</v>
      </c>
      <c r="O7" s="17" t="s">
        <v>29</v>
      </c>
    </row>
    <row r="8" spans="1:15" x14ac:dyDescent="0.3">
      <c r="A8" s="18">
        <v>43891.75</v>
      </c>
      <c r="B8" s="17" t="s">
        <v>22</v>
      </c>
      <c r="C8" s="2">
        <v>639</v>
      </c>
      <c r="D8" s="2">
        <v>140</v>
      </c>
      <c r="E8" s="2">
        <v>779</v>
      </c>
      <c r="F8" s="2">
        <v>798</v>
      </c>
      <c r="G8" s="2">
        <v>1577</v>
      </c>
      <c r="H8" s="2">
        <v>528</v>
      </c>
      <c r="I8" s="2">
        <v>566</v>
      </c>
      <c r="J8" s="2">
        <v>83</v>
      </c>
      <c r="K8" s="2">
        <v>34</v>
      </c>
      <c r="L8" s="2">
        <v>1694</v>
      </c>
      <c r="M8" s="2">
        <v>21127</v>
      </c>
      <c r="N8" s="17" t="s">
        <v>29</v>
      </c>
      <c r="O8" s="17" t="s">
        <v>29</v>
      </c>
    </row>
    <row r="9" spans="1:15" x14ac:dyDescent="0.3">
      <c r="A9" s="18">
        <v>43892.75</v>
      </c>
      <c r="B9" s="17" t="s">
        <v>22</v>
      </c>
      <c r="C9" s="2">
        <v>742</v>
      </c>
      <c r="D9" s="2">
        <v>166</v>
      </c>
      <c r="E9" s="2">
        <v>908</v>
      </c>
      <c r="F9" s="2">
        <v>927</v>
      </c>
      <c r="G9" s="2">
        <v>1835</v>
      </c>
      <c r="H9" s="2">
        <v>258</v>
      </c>
      <c r="I9" s="2">
        <v>342</v>
      </c>
      <c r="J9" s="2">
        <v>149</v>
      </c>
      <c r="K9" s="2">
        <v>52</v>
      </c>
      <c r="L9" s="2">
        <v>2036</v>
      </c>
      <c r="M9" s="2">
        <v>23345</v>
      </c>
      <c r="N9" s="17" t="s">
        <v>29</v>
      </c>
      <c r="O9" s="17" t="s">
        <v>29</v>
      </c>
    </row>
    <row r="10" spans="1:15" x14ac:dyDescent="0.3">
      <c r="A10" s="18">
        <v>43893.75</v>
      </c>
      <c r="B10" s="17" t="s">
        <v>22</v>
      </c>
      <c r="C10" s="2">
        <v>1034</v>
      </c>
      <c r="D10" s="2">
        <v>229</v>
      </c>
      <c r="E10" s="2">
        <v>1263</v>
      </c>
      <c r="F10" s="2">
        <v>1000</v>
      </c>
      <c r="G10" s="2">
        <v>2263</v>
      </c>
      <c r="H10" s="2">
        <v>428</v>
      </c>
      <c r="I10" s="2">
        <v>466</v>
      </c>
      <c r="J10" s="2">
        <v>160</v>
      </c>
      <c r="K10" s="2">
        <v>79</v>
      </c>
      <c r="L10" s="2">
        <v>2502</v>
      </c>
      <c r="M10" s="2">
        <v>25856</v>
      </c>
      <c r="N10" s="17" t="s">
        <v>29</v>
      </c>
      <c r="O10" s="17" t="s">
        <v>29</v>
      </c>
    </row>
    <row r="11" spans="1:15" x14ac:dyDescent="0.3">
      <c r="A11" s="18">
        <v>43894.75</v>
      </c>
      <c r="B11" s="17" t="s">
        <v>22</v>
      </c>
      <c r="C11" s="2">
        <v>1346</v>
      </c>
      <c r="D11" s="2">
        <v>295</v>
      </c>
      <c r="E11" s="2">
        <v>1641</v>
      </c>
      <c r="F11" s="2">
        <v>1065</v>
      </c>
      <c r="G11" s="2">
        <v>2706</v>
      </c>
      <c r="H11" s="2">
        <v>443</v>
      </c>
      <c r="I11" s="2">
        <v>587</v>
      </c>
      <c r="J11" s="2">
        <v>276</v>
      </c>
      <c r="K11" s="2">
        <v>107</v>
      </c>
      <c r="L11" s="2">
        <v>3089</v>
      </c>
      <c r="M11" s="2">
        <v>29837</v>
      </c>
      <c r="N11" s="17" t="s">
        <v>29</v>
      </c>
      <c r="O11" s="17" t="s">
        <v>29</v>
      </c>
    </row>
    <row r="12" spans="1:15" x14ac:dyDescent="0.3">
      <c r="A12" s="18">
        <v>43895.75</v>
      </c>
      <c r="B12" s="17" t="s">
        <v>22</v>
      </c>
      <c r="C12" s="2">
        <v>1790</v>
      </c>
      <c r="D12" s="2">
        <v>351</v>
      </c>
      <c r="E12" s="2">
        <v>2141</v>
      </c>
      <c r="F12" s="2">
        <v>1155</v>
      </c>
      <c r="G12" s="2">
        <v>3296</v>
      </c>
      <c r="H12" s="2">
        <v>590</v>
      </c>
      <c r="I12" s="2">
        <v>769</v>
      </c>
      <c r="J12" s="2">
        <v>414</v>
      </c>
      <c r="K12" s="2">
        <v>148</v>
      </c>
      <c r="L12" s="2">
        <v>3858</v>
      </c>
      <c r="M12" s="2">
        <v>32362</v>
      </c>
      <c r="N12" s="17" t="s">
        <v>29</v>
      </c>
      <c r="O12" s="17" t="s">
        <v>29</v>
      </c>
    </row>
    <row r="13" spans="1:15" x14ac:dyDescent="0.3">
      <c r="A13" s="18">
        <v>43896.75</v>
      </c>
      <c r="B13" s="17" t="s">
        <v>22</v>
      </c>
      <c r="C13" s="2">
        <v>2394</v>
      </c>
      <c r="D13" s="2">
        <v>462</v>
      </c>
      <c r="E13" s="2">
        <v>2856</v>
      </c>
      <c r="F13" s="2">
        <v>1060</v>
      </c>
      <c r="G13" s="2">
        <v>3916</v>
      </c>
      <c r="H13" s="2">
        <v>620</v>
      </c>
      <c r="I13" s="2">
        <v>778</v>
      </c>
      <c r="J13" s="2">
        <v>523</v>
      </c>
      <c r="K13" s="2">
        <v>197</v>
      </c>
      <c r="L13" s="2">
        <v>4636</v>
      </c>
      <c r="M13" s="2">
        <v>36359</v>
      </c>
      <c r="N13" s="17" t="s">
        <v>29</v>
      </c>
      <c r="O13" s="17" t="s">
        <v>29</v>
      </c>
    </row>
    <row r="14" spans="1:15" x14ac:dyDescent="0.3">
      <c r="A14" s="18">
        <v>43897.75</v>
      </c>
      <c r="B14" s="17" t="s">
        <v>22</v>
      </c>
      <c r="C14" s="2">
        <v>2651</v>
      </c>
      <c r="D14" s="2">
        <v>567</v>
      </c>
      <c r="E14" s="2">
        <v>3218</v>
      </c>
      <c r="F14" s="2">
        <v>1843</v>
      </c>
      <c r="G14" s="2">
        <v>5061</v>
      </c>
      <c r="H14" s="2">
        <v>1145</v>
      </c>
      <c r="I14" s="2">
        <v>1247</v>
      </c>
      <c r="J14" s="2">
        <v>589</v>
      </c>
      <c r="K14" s="2">
        <v>233</v>
      </c>
      <c r="L14" s="2">
        <v>5883</v>
      </c>
      <c r="M14" s="2">
        <v>42062</v>
      </c>
      <c r="N14" s="17" t="s">
        <v>30</v>
      </c>
      <c r="O14" s="17" t="s">
        <v>31</v>
      </c>
    </row>
    <row r="15" spans="1:15" x14ac:dyDescent="0.3">
      <c r="A15" s="18">
        <v>43898.75</v>
      </c>
      <c r="B15" s="17" t="s">
        <v>22</v>
      </c>
      <c r="C15" s="2">
        <v>3557</v>
      </c>
      <c r="D15" s="2">
        <v>650</v>
      </c>
      <c r="E15" s="2">
        <v>4207</v>
      </c>
      <c r="F15" s="2">
        <v>2180</v>
      </c>
      <c r="G15" s="2">
        <v>6387</v>
      </c>
      <c r="H15" s="2">
        <v>1326</v>
      </c>
      <c r="I15" s="2">
        <v>1492</v>
      </c>
      <c r="J15" s="2">
        <v>622</v>
      </c>
      <c r="K15" s="2">
        <v>366</v>
      </c>
      <c r="L15" s="2">
        <v>7375</v>
      </c>
      <c r="M15" s="2">
        <v>49937</v>
      </c>
      <c r="N15" s="17" t="s">
        <v>29</v>
      </c>
      <c r="O15" s="17" t="s">
        <v>29</v>
      </c>
    </row>
    <row r="16" spans="1:15" x14ac:dyDescent="0.3">
      <c r="A16" s="18">
        <v>43899.75</v>
      </c>
      <c r="B16" s="17" t="s">
        <v>22</v>
      </c>
      <c r="C16" s="2">
        <v>4316</v>
      </c>
      <c r="D16" s="2">
        <v>733</v>
      </c>
      <c r="E16" s="2">
        <v>5049</v>
      </c>
      <c r="F16" s="2">
        <v>2936</v>
      </c>
      <c r="G16" s="2">
        <v>7985</v>
      </c>
      <c r="H16" s="2">
        <v>1598</v>
      </c>
      <c r="I16" s="2">
        <v>1797</v>
      </c>
      <c r="J16" s="2">
        <v>724</v>
      </c>
      <c r="K16" s="2">
        <v>463</v>
      </c>
      <c r="L16" s="2">
        <v>9172</v>
      </c>
      <c r="M16" s="2">
        <v>53826</v>
      </c>
      <c r="N16" s="17" t="s">
        <v>29</v>
      </c>
      <c r="O16" s="17" t="s">
        <v>29</v>
      </c>
    </row>
    <row r="17" spans="1:15" x14ac:dyDescent="0.3">
      <c r="A17" s="18">
        <v>43900.75</v>
      </c>
      <c r="B17" s="17" t="s">
        <v>22</v>
      </c>
      <c r="C17" s="2">
        <v>5038</v>
      </c>
      <c r="D17" s="2">
        <v>877</v>
      </c>
      <c r="E17" s="2">
        <v>5915</v>
      </c>
      <c r="F17" s="2">
        <v>2599</v>
      </c>
      <c r="G17" s="2">
        <v>8514</v>
      </c>
      <c r="H17" s="2">
        <v>529</v>
      </c>
      <c r="I17" s="2">
        <v>977</v>
      </c>
      <c r="J17" s="2">
        <v>1004</v>
      </c>
      <c r="K17" s="2">
        <v>631</v>
      </c>
      <c r="L17" s="2">
        <v>10149</v>
      </c>
      <c r="M17" s="2">
        <v>60761</v>
      </c>
      <c r="N17" s="17" t="s">
        <v>32</v>
      </c>
      <c r="O17" s="17" t="s">
        <v>33</v>
      </c>
    </row>
    <row r="18" spans="1:15" x14ac:dyDescent="0.3">
      <c r="A18" s="18">
        <v>43901.708333333336</v>
      </c>
      <c r="B18" s="17" t="s">
        <v>22</v>
      </c>
      <c r="C18" s="2">
        <v>5838</v>
      </c>
      <c r="D18" s="2">
        <v>1028</v>
      </c>
      <c r="E18" s="2">
        <v>6866</v>
      </c>
      <c r="F18" s="2">
        <v>3724</v>
      </c>
      <c r="G18" s="2">
        <v>10590</v>
      </c>
      <c r="H18" s="2">
        <v>2076</v>
      </c>
      <c r="I18" s="2">
        <v>2313</v>
      </c>
      <c r="J18" s="2">
        <v>1045</v>
      </c>
      <c r="K18" s="2">
        <v>827</v>
      </c>
      <c r="L18" s="2">
        <v>12462</v>
      </c>
      <c r="M18" s="2">
        <v>73154</v>
      </c>
      <c r="N18" s="17" t="s">
        <v>34</v>
      </c>
      <c r="O18" s="17" t="s">
        <v>35</v>
      </c>
    </row>
    <row r="19" spans="1:15" x14ac:dyDescent="0.3">
      <c r="A19" s="18">
        <v>43902.708333333336</v>
      </c>
      <c r="B19" s="17" t="s">
        <v>22</v>
      </c>
      <c r="C19" s="2">
        <v>6650</v>
      </c>
      <c r="D19" s="2">
        <v>1153</v>
      </c>
      <c r="E19" s="2">
        <v>7803</v>
      </c>
      <c r="F19" s="2">
        <v>5036</v>
      </c>
      <c r="G19" s="2">
        <v>12839</v>
      </c>
      <c r="H19" s="2">
        <v>2249</v>
      </c>
      <c r="I19" s="2">
        <v>2651</v>
      </c>
      <c r="J19" s="2">
        <v>1258</v>
      </c>
      <c r="K19" s="2">
        <v>1016</v>
      </c>
      <c r="L19" s="2">
        <v>15113</v>
      </c>
      <c r="M19" s="2">
        <v>86011</v>
      </c>
      <c r="N19" s="17" t="s">
        <v>29</v>
      </c>
      <c r="O19" s="17" t="s">
        <v>29</v>
      </c>
    </row>
    <row r="20" spans="1:15" x14ac:dyDescent="0.3">
      <c r="A20" s="18">
        <v>43903.708333333336</v>
      </c>
      <c r="B20" s="17" t="s">
        <v>22</v>
      </c>
      <c r="C20" s="2">
        <v>7426</v>
      </c>
      <c r="D20" s="2">
        <v>1328</v>
      </c>
      <c r="E20" s="2">
        <v>8754</v>
      </c>
      <c r="F20" s="2">
        <v>6201</v>
      </c>
      <c r="G20" s="2">
        <v>14955</v>
      </c>
      <c r="H20" s="2">
        <v>2116</v>
      </c>
      <c r="I20" s="2">
        <v>2547</v>
      </c>
      <c r="J20" s="2">
        <v>1439</v>
      </c>
      <c r="K20" s="2">
        <v>1266</v>
      </c>
      <c r="L20" s="2">
        <v>17660</v>
      </c>
      <c r="M20" s="2">
        <v>97488</v>
      </c>
      <c r="N20" s="17" t="s">
        <v>29</v>
      </c>
      <c r="O20" s="17" t="s">
        <v>29</v>
      </c>
    </row>
    <row r="21" spans="1:15" x14ac:dyDescent="0.3">
      <c r="A21" s="18">
        <v>43904.708333333336</v>
      </c>
      <c r="B21" s="17" t="s">
        <v>22</v>
      </c>
      <c r="C21" s="2">
        <v>8372</v>
      </c>
      <c r="D21" s="2">
        <v>1518</v>
      </c>
      <c r="E21" s="2">
        <v>9890</v>
      </c>
      <c r="F21" s="2">
        <v>7860</v>
      </c>
      <c r="G21" s="2">
        <v>17750</v>
      </c>
      <c r="H21" s="2">
        <v>2795</v>
      </c>
      <c r="I21" s="2">
        <v>3497</v>
      </c>
      <c r="J21" s="2">
        <v>1966</v>
      </c>
      <c r="K21" s="2">
        <v>1441</v>
      </c>
      <c r="L21" s="2">
        <v>21157</v>
      </c>
      <c r="M21" s="2">
        <v>109170</v>
      </c>
      <c r="N21" s="17" t="s">
        <v>29</v>
      </c>
      <c r="O21" s="17" t="s">
        <v>29</v>
      </c>
    </row>
    <row r="22" spans="1:15" x14ac:dyDescent="0.3">
      <c r="A22" s="18">
        <v>43905.708333333336</v>
      </c>
      <c r="B22" s="17" t="s">
        <v>22</v>
      </c>
      <c r="C22" s="2">
        <v>9663</v>
      </c>
      <c r="D22" s="2">
        <v>1672</v>
      </c>
      <c r="E22" s="2">
        <v>11335</v>
      </c>
      <c r="F22" s="2">
        <v>9268</v>
      </c>
      <c r="G22" s="2">
        <v>20603</v>
      </c>
      <c r="H22" s="2">
        <v>2853</v>
      </c>
      <c r="I22" s="2">
        <v>3590</v>
      </c>
      <c r="J22" s="2">
        <v>2335</v>
      </c>
      <c r="K22" s="2">
        <v>1809</v>
      </c>
      <c r="L22" s="2">
        <v>24747</v>
      </c>
      <c r="M22" s="2">
        <v>124899</v>
      </c>
      <c r="N22" s="17" t="s">
        <v>29</v>
      </c>
      <c r="O22" s="17" t="s">
        <v>29</v>
      </c>
    </row>
    <row r="23" spans="1:15" x14ac:dyDescent="0.3">
      <c r="A23" s="18">
        <v>43906.708333333336</v>
      </c>
      <c r="B23" s="17" t="s">
        <v>22</v>
      </c>
      <c r="C23" s="2">
        <v>11025</v>
      </c>
      <c r="D23" s="2">
        <v>1851</v>
      </c>
      <c r="E23" s="2">
        <v>12876</v>
      </c>
      <c r="F23" s="2">
        <v>10197</v>
      </c>
      <c r="G23" s="2">
        <v>23073</v>
      </c>
      <c r="H23" s="2">
        <v>2470</v>
      </c>
      <c r="I23" s="2">
        <v>3233</v>
      </c>
      <c r="J23" s="2">
        <v>2749</v>
      </c>
      <c r="K23" s="2">
        <v>2158</v>
      </c>
      <c r="L23" s="2">
        <v>27980</v>
      </c>
      <c r="M23" s="2">
        <v>137962</v>
      </c>
      <c r="N23" s="17" t="s">
        <v>36</v>
      </c>
      <c r="O23" s="17" t="s">
        <v>37</v>
      </c>
    </row>
    <row r="24" spans="1:15" x14ac:dyDescent="0.3">
      <c r="A24" s="18">
        <v>43907.708333333336</v>
      </c>
      <c r="B24" s="17" t="s">
        <v>22</v>
      </c>
      <c r="C24" s="2">
        <v>12894</v>
      </c>
      <c r="D24" s="2">
        <v>2060</v>
      </c>
      <c r="E24" s="2">
        <v>14954</v>
      </c>
      <c r="F24" s="2">
        <v>11108</v>
      </c>
      <c r="G24" s="2">
        <v>26062</v>
      </c>
      <c r="H24" s="2">
        <v>2989</v>
      </c>
      <c r="I24" s="2">
        <v>3526</v>
      </c>
      <c r="J24" s="2">
        <v>2941</v>
      </c>
      <c r="K24" s="2">
        <v>2503</v>
      </c>
      <c r="L24" s="2">
        <v>31506</v>
      </c>
      <c r="M24" s="2">
        <v>148657</v>
      </c>
      <c r="N24" s="17" t="s">
        <v>38</v>
      </c>
      <c r="O24" s="17" t="s">
        <v>39</v>
      </c>
    </row>
    <row r="25" spans="1:15" x14ac:dyDescent="0.3">
      <c r="A25" s="18">
        <v>43908.708333333336</v>
      </c>
      <c r="B25" s="17" t="s">
        <v>22</v>
      </c>
      <c r="C25" s="2">
        <v>14363</v>
      </c>
      <c r="D25" s="2">
        <v>2257</v>
      </c>
      <c r="E25" s="2">
        <v>16620</v>
      </c>
      <c r="F25" s="2">
        <v>12090</v>
      </c>
      <c r="G25" s="2">
        <v>28710</v>
      </c>
      <c r="H25" s="2">
        <v>2648</v>
      </c>
      <c r="I25" s="2">
        <v>4207</v>
      </c>
      <c r="J25" s="2">
        <v>4025</v>
      </c>
      <c r="K25" s="2">
        <v>2978</v>
      </c>
      <c r="L25" s="2">
        <v>35713</v>
      </c>
      <c r="M25" s="2">
        <v>165541</v>
      </c>
      <c r="N25" s="17" t="s">
        <v>40</v>
      </c>
      <c r="O25" s="17" t="s">
        <v>41</v>
      </c>
    </row>
    <row r="26" spans="1:15" x14ac:dyDescent="0.3">
      <c r="A26" s="18">
        <v>43909.708333333336</v>
      </c>
      <c r="B26" s="17" t="s">
        <v>22</v>
      </c>
      <c r="C26" s="2">
        <v>15757</v>
      </c>
      <c r="D26" s="2">
        <v>2498</v>
      </c>
      <c r="E26" s="2">
        <v>18255</v>
      </c>
      <c r="F26" s="2">
        <v>14935</v>
      </c>
      <c r="G26" s="2">
        <v>33190</v>
      </c>
      <c r="H26" s="2">
        <v>4480</v>
      </c>
      <c r="I26" s="2">
        <v>5322</v>
      </c>
      <c r="J26" s="2">
        <v>4440</v>
      </c>
      <c r="K26" s="2">
        <v>3405</v>
      </c>
      <c r="L26" s="2">
        <v>41035</v>
      </c>
      <c r="M26" s="2">
        <v>182777</v>
      </c>
      <c r="N26" s="17" t="s">
        <v>29</v>
      </c>
      <c r="O26" s="17" t="s">
        <v>29</v>
      </c>
    </row>
    <row r="27" spans="1:15" x14ac:dyDescent="0.3">
      <c r="A27" s="18">
        <v>43910.708333333336</v>
      </c>
      <c r="B27" s="17" t="s">
        <v>22</v>
      </c>
      <c r="C27" s="2">
        <v>16020</v>
      </c>
      <c r="D27" s="2">
        <v>2655</v>
      </c>
      <c r="E27" s="2">
        <v>18675</v>
      </c>
      <c r="F27" s="2">
        <v>19185</v>
      </c>
      <c r="G27" s="2">
        <v>37860</v>
      </c>
      <c r="H27" s="2">
        <v>4670</v>
      </c>
      <c r="I27" s="2">
        <v>5986</v>
      </c>
      <c r="J27" s="2">
        <v>5129</v>
      </c>
      <c r="K27" s="2">
        <v>4032</v>
      </c>
      <c r="L27" s="2">
        <v>47021</v>
      </c>
      <c r="M27" s="2">
        <v>206886</v>
      </c>
      <c r="N27" s="17" t="s">
        <v>29</v>
      </c>
      <c r="O27" s="17" t="s">
        <v>29</v>
      </c>
    </row>
    <row r="28" spans="1:15" x14ac:dyDescent="0.3">
      <c r="A28" s="18">
        <v>43911.708333333336</v>
      </c>
      <c r="B28" s="17" t="s">
        <v>22</v>
      </c>
      <c r="C28" s="2">
        <v>17708</v>
      </c>
      <c r="D28" s="2">
        <v>2857</v>
      </c>
      <c r="E28" s="2">
        <v>20565</v>
      </c>
      <c r="F28" s="2">
        <v>22116</v>
      </c>
      <c r="G28" s="2">
        <v>42681</v>
      </c>
      <c r="H28" s="2">
        <v>4821</v>
      </c>
      <c r="I28" s="2">
        <v>6557</v>
      </c>
      <c r="J28" s="2">
        <v>6072</v>
      </c>
      <c r="K28" s="2">
        <v>4825</v>
      </c>
      <c r="L28" s="2">
        <v>53578</v>
      </c>
      <c r="M28" s="2">
        <v>233222</v>
      </c>
      <c r="N28" s="17" t="s">
        <v>29</v>
      </c>
      <c r="O28" s="17" t="s">
        <v>29</v>
      </c>
    </row>
    <row r="29" spans="1:15" x14ac:dyDescent="0.3">
      <c r="A29" s="18">
        <v>43912.708333333336</v>
      </c>
      <c r="B29" s="17" t="s">
        <v>22</v>
      </c>
      <c r="C29" s="2">
        <v>19846</v>
      </c>
      <c r="D29" s="2">
        <v>3009</v>
      </c>
      <c r="E29" s="2">
        <v>22855</v>
      </c>
      <c r="F29" s="2">
        <v>23783</v>
      </c>
      <c r="G29" s="2">
        <v>46638</v>
      </c>
      <c r="H29" s="2">
        <v>3957</v>
      </c>
      <c r="I29" s="2">
        <v>5560</v>
      </c>
      <c r="J29" s="2">
        <v>7024</v>
      </c>
      <c r="K29" s="2">
        <v>5476</v>
      </c>
      <c r="L29" s="2">
        <v>59138</v>
      </c>
      <c r="M29" s="2">
        <v>258402</v>
      </c>
      <c r="N29" s="17" t="s">
        <v>29</v>
      </c>
      <c r="O29" s="17" t="s">
        <v>29</v>
      </c>
    </row>
    <row r="30" spans="1:15" x14ac:dyDescent="0.3">
      <c r="A30" s="18">
        <v>43913.708333333336</v>
      </c>
      <c r="B30" s="17" t="s">
        <v>22</v>
      </c>
      <c r="C30" s="2">
        <v>20692</v>
      </c>
      <c r="D30" s="2">
        <v>3204</v>
      </c>
      <c r="E30" s="2">
        <v>23896</v>
      </c>
      <c r="F30" s="2">
        <v>26522</v>
      </c>
      <c r="G30" s="2">
        <v>50418</v>
      </c>
      <c r="H30" s="2">
        <v>3780</v>
      </c>
      <c r="I30" s="2">
        <v>4789</v>
      </c>
      <c r="J30" s="2">
        <v>7432</v>
      </c>
      <c r="K30" s="2">
        <v>6077</v>
      </c>
      <c r="L30" s="2">
        <v>63927</v>
      </c>
      <c r="M30" s="2">
        <v>275468</v>
      </c>
      <c r="N30" s="17" t="s">
        <v>29</v>
      </c>
      <c r="O30" s="17" t="s">
        <v>29</v>
      </c>
    </row>
    <row r="31" spans="1:15" x14ac:dyDescent="0.3">
      <c r="A31" s="18">
        <v>43914.708333333336</v>
      </c>
      <c r="B31" s="17" t="s">
        <v>22</v>
      </c>
      <c r="C31" s="2">
        <v>21937</v>
      </c>
      <c r="D31" s="2">
        <v>3396</v>
      </c>
      <c r="E31" s="2">
        <v>25333</v>
      </c>
      <c r="F31" s="2">
        <v>28697</v>
      </c>
      <c r="G31" s="2">
        <v>54030</v>
      </c>
      <c r="H31" s="2">
        <v>3612</v>
      </c>
      <c r="I31" s="2">
        <v>5249</v>
      </c>
      <c r="J31" s="2">
        <v>8326</v>
      </c>
      <c r="K31" s="2">
        <v>6820</v>
      </c>
      <c r="L31" s="2">
        <v>69176</v>
      </c>
      <c r="M31" s="2">
        <v>296964</v>
      </c>
      <c r="N31" s="17" t="s">
        <v>29</v>
      </c>
      <c r="O31" s="17" t="s">
        <v>29</v>
      </c>
    </row>
    <row r="32" spans="1:15" x14ac:dyDescent="0.3">
      <c r="A32" s="18">
        <v>43915.708333333336</v>
      </c>
      <c r="B32" s="17" t="s">
        <v>22</v>
      </c>
      <c r="C32" s="2">
        <v>23112</v>
      </c>
      <c r="D32" s="2">
        <v>3489</v>
      </c>
      <c r="E32" s="2">
        <v>26601</v>
      </c>
      <c r="F32" s="2">
        <v>30920</v>
      </c>
      <c r="G32" s="2">
        <v>57521</v>
      </c>
      <c r="H32" s="2">
        <v>3491</v>
      </c>
      <c r="I32" s="2">
        <v>5210</v>
      </c>
      <c r="J32" s="2">
        <v>9362</v>
      </c>
      <c r="K32" s="2">
        <v>7503</v>
      </c>
      <c r="L32" s="2">
        <v>74386</v>
      </c>
      <c r="M32" s="2">
        <v>324445</v>
      </c>
      <c r="N32" s="17" t="s">
        <v>29</v>
      </c>
      <c r="O32" s="17" t="s">
        <v>29</v>
      </c>
    </row>
    <row r="33" spans="1:15" x14ac:dyDescent="0.3">
      <c r="A33" s="18">
        <v>43916.708333333336</v>
      </c>
      <c r="B33" s="17" t="s">
        <v>22</v>
      </c>
      <c r="C33" s="2">
        <v>24753</v>
      </c>
      <c r="D33" s="2">
        <v>3612</v>
      </c>
      <c r="E33" s="2">
        <v>28365</v>
      </c>
      <c r="F33" s="2">
        <v>33648</v>
      </c>
      <c r="G33" s="2">
        <v>62013</v>
      </c>
      <c r="H33" s="2">
        <v>4492</v>
      </c>
      <c r="I33" s="2">
        <v>6153</v>
      </c>
      <c r="J33" s="2">
        <v>10361</v>
      </c>
      <c r="K33" s="2">
        <v>8165</v>
      </c>
      <c r="L33" s="2">
        <v>80539</v>
      </c>
      <c r="M33" s="2">
        <v>361060</v>
      </c>
      <c r="N33" s="17" t="s">
        <v>42</v>
      </c>
      <c r="O33" s="17" t="s">
        <v>43</v>
      </c>
    </row>
    <row r="34" spans="1:15" x14ac:dyDescent="0.3">
      <c r="A34" s="18">
        <v>43917.708333333336</v>
      </c>
      <c r="B34" s="17" t="s">
        <v>22</v>
      </c>
      <c r="C34" s="2">
        <v>26029</v>
      </c>
      <c r="D34" s="2">
        <v>3732</v>
      </c>
      <c r="E34" s="2">
        <v>29761</v>
      </c>
      <c r="F34" s="2">
        <v>36653</v>
      </c>
      <c r="G34" s="2">
        <v>66414</v>
      </c>
      <c r="H34" s="2">
        <v>4401</v>
      </c>
      <c r="I34" s="2">
        <v>5959</v>
      </c>
      <c r="J34" s="2">
        <v>10950</v>
      </c>
      <c r="K34" s="2">
        <v>9134</v>
      </c>
      <c r="L34" s="2">
        <v>86498</v>
      </c>
      <c r="M34" s="2">
        <v>394079</v>
      </c>
      <c r="N34" s="17" t="s">
        <v>29</v>
      </c>
      <c r="O34" s="17" t="s">
        <v>29</v>
      </c>
    </row>
    <row r="35" spans="1:15" x14ac:dyDescent="0.3">
      <c r="A35" s="18">
        <v>43918.708333333336</v>
      </c>
      <c r="B35" s="17" t="s">
        <v>22</v>
      </c>
      <c r="C35" s="2">
        <v>26676</v>
      </c>
      <c r="D35" s="2">
        <v>3856</v>
      </c>
      <c r="E35" s="2">
        <v>30532</v>
      </c>
      <c r="F35" s="2">
        <v>39533</v>
      </c>
      <c r="G35" s="2">
        <v>70065</v>
      </c>
      <c r="H35" s="2">
        <v>3651</v>
      </c>
      <c r="I35" s="2">
        <v>5974</v>
      </c>
      <c r="J35" s="2">
        <v>12384</v>
      </c>
      <c r="K35" s="2">
        <v>10023</v>
      </c>
      <c r="L35" s="2">
        <v>92472</v>
      </c>
      <c r="M35" s="2">
        <v>429526</v>
      </c>
      <c r="N35" s="17" t="s">
        <v>29</v>
      </c>
      <c r="O35" s="17" t="s">
        <v>29</v>
      </c>
    </row>
    <row r="36" spans="1:15" x14ac:dyDescent="0.3">
      <c r="A36" s="18">
        <v>43919.708333333336</v>
      </c>
      <c r="B36" s="17" t="s">
        <v>22</v>
      </c>
      <c r="C36" s="2">
        <v>27386</v>
      </c>
      <c r="D36" s="2">
        <v>3906</v>
      </c>
      <c r="E36" s="2">
        <v>31292</v>
      </c>
      <c r="F36" s="2">
        <v>42588</v>
      </c>
      <c r="G36" s="2">
        <v>73880</v>
      </c>
      <c r="H36" s="2">
        <v>3815</v>
      </c>
      <c r="I36" s="2">
        <v>5217</v>
      </c>
      <c r="J36" s="2">
        <v>13030</v>
      </c>
      <c r="K36" s="2">
        <v>10779</v>
      </c>
      <c r="L36" s="2">
        <v>97689</v>
      </c>
      <c r="M36" s="2">
        <v>454030</v>
      </c>
      <c r="N36" s="17" t="s">
        <v>47</v>
      </c>
      <c r="O36" s="17" t="s">
        <v>48</v>
      </c>
    </row>
    <row r="37" spans="1:15" x14ac:dyDescent="0.3">
      <c r="A37" s="18">
        <v>43920.708333333336</v>
      </c>
      <c r="B37" s="17" t="s">
        <v>22</v>
      </c>
      <c r="C37" s="2">
        <v>27795</v>
      </c>
      <c r="D37" s="2">
        <v>3981</v>
      </c>
      <c r="E37" s="2">
        <v>31776</v>
      </c>
      <c r="F37" s="2">
        <v>43752</v>
      </c>
      <c r="G37" s="2">
        <v>75528</v>
      </c>
      <c r="H37" s="2">
        <v>1648</v>
      </c>
      <c r="I37" s="2">
        <v>4050</v>
      </c>
      <c r="J37" s="2">
        <v>14620</v>
      </c>
      <c r="K37" s="2">
        <v>11591</v>
      </c>
      <c r="L37" s="2">
        <v>101739</v>
      </c>
      <c r="M37" s="2">
        <v>477359</v>
      </c>
      <c r="N37" s="17" t="s">
        <v>29</v>
      </c>
      <c r="O37" s="17" t="s">
        <v>29</v>
      </c>
    </row>
    <row r="38" spans="1:15" x14ac:dyDescent="0.3">
      <c r="A38" s="18">
        <v>43921.708333333336</v>
      </c>
      <c r="B38" s="17" t="s">
        <v>22</v>
      </c>
      <c r="C38" s="2">
        <v>28192</v>
      </c>
      <c r="D38" s="2">
        <v>4023</v>
      </c>
      <c r="E38" s="2">
        <v>32215</v>
      </c>
      <c r="F38" s="2">
        <v>45420</v>
      </c>
      <c r="G38" s="2">
        <v>77635</v>
      </c>
      <c r="H38" s="2">
        <v>2107</v>
      </c>
      <c r="I38" s="2">
        <v>4053</v>
      </c>
      <c r="J38" s="2">
        <v>15729</v>
      </c>
      <c r="K38" s="2">
        <v>12428</v>
      </c>
      <c r="L38" s="2">
        <v>105792</v>
      </c>
      <c r="M38" s="2">
        <v>506968</v>
      </c>
      <c r="N38" s="17" t="s">
        <v>29</v>
      </c>
      <c r="O38" s="17" t="s">
        <v>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F5467-0F8B-406C-BDFD-F0DB074DB755}">
  <dimension ref="B2:R265"/>
  <sheetViews>
    <sheetView topLeftCell="A4" zoomScale="70" zoomScaleNormal="70" workbookViewId="0">
      <selection activeCell="AC14" sqref="AC14"/>
    </sheetView>
  </sheetViews>
  <sheetFormatPr defaultRowHeight="14.4" x14ac:dyDescent="0.3"/>
  <cols>
    <col min="1" max="1" width="2.77734375" style="2" customWidth="1"/>
    <col min="2" max="2" width="8.88671875" style="2"/>
    <col min="3" max="3" width="6.5546875" style="2" customWidth="1"/>
    <col min="4" max="4" width="16.88671875" style="2" customWidth="1"/>
    <col min="5" max="5" width="15.44140625" style="2" customWidth="1"/>
    <col min="6" max="6" width="11.33203125" style="2" customWidth="1"/>
    <col min="7" max="7" width="11.109375" style="2" customWidth="1"/>
    <col min="8" max="8" width="10.88671875" style="2" bestFit="1" customWidth="1"/>
    <col min="9" max="9" width="15.44140625" style="2" customWidth="1"/>
    <col min="10" max="10" width="11.33203125" style="2" customWidth="1"/>
    <col min="11" max="11" width="11.109375" style="2" customWidth="1"/>
    <col min="12" max="12" width="1.77734375" style="2" customWidth="1"/>
    <col min="13" max="13" width="11.21875" style="2" customWidth="1"/>
    <col min="14" max="14" width="11.44140625" style="2" bestFit="1" customWidth="1"/>
    <col min="15" max="18" width="8.88671875" style="2"/>
    <col min="19" max="19" width="11" style="2" bestFit="1" customWidth="1"/>
    <col min="20" max="16384" width="8.88671875" style="2"/>
  </cols>
  <sheetData>
    <row r="2" spans="2:18" ht="31.2" x14ac:dyDescent="0.6">
      <c r="B2" s="11" t="s">
        <v>11</v>
      </c>
    </row>
    <row r="3" spans="2:18" ht="17.399999999999999" customHeight="1" x14ac:dyDescent="0.6">
      <c r="B3" s="12"/>
      <c r="C3" s="13"/>
      <c r="D3" s="13"/>
      <c r="E3" s="13"/>
      <c r="F3" s="13"/>
      <c r="H3" s="13"/>
      <c r="I3" s="13"/>
      <c r="J3" s="13"/>
      <c r="O3" s="20" t="s">
        <v>0</v>
      </c>
      <c r="P3" s="19" t="s">
        <v>69</v>
      </c>
      <c r="Q3" s="16"/>
      <c r="R3" s="16"/>
    </row>
    <row r="4" spans="2:18" ht="20.399999999999999" x14ac:dyDescent="0.35">
      <c r="B4" s="15" t="s">
        <v>49</v>
      </c>
      <c r="C4" s="14"/>
      <c r="D4" s="13"/>
      <c r="E4" s="13"/>
      <c r="F4" s="13"/>
      <c r="H4" s="13"/>
      <c r="I4" s="13"/>
      <c r="J4" s="13"/>
      <c r="O4" s="20" t="s">
        <v>23</v>
      </c>
      <c r="P4" s="19" t="s">
        <v>69</v>
      </c>
      <c r="Q4" s="16"/>
      <c r="R4" s="16"/>
    </row>
    <row r="5" spans="2:18" ht="18" x14ac:dyDescent="0.35">
      <c r="B5" s="29" t="s">
        <v>58</v>
      </c>
      <c r="C5" s="13"/>
      <c r="D5" s="13"/>
      <c r="E5" s="13"/>
      <c r="F5" s="13"/>
      <c r="H5" s="13"/>
      <c r="I5" s="13"/>
      <c r="J5" s="13"/>
      <c r="O5" s="20" t="s">
        <v>1</v>
      </c>
      <c r="P5" s="19" t="s">
        <v>69</v>
      </c>
      <c r="Q5" s="16"/>
      <c r="R5" s="16"/>
    </row>
    <row r="6" spans="2:18" x14ac:dyDescent="0.3">
      <c r="B6" s="4" t="s">
        <v>8</v>
      </c>
      <c r="C6" s="4" t="s">
        <v>9</v>
      </c>
      <c r="D6" s="4" t="s">
        <v>10</v>
      </c>
      <c r="E6" s="8" t="s">
        <v>54</v>
      </c>
      <c r="F6" s="8" t="s">
        <v>44</v>
      </c>
      <c r="G6" s="8" t="s">
        <v>45</v>
      </c>
      <c r="H6" s="4" t="s">
        <v>53</v>
      </c>
      <c r="I6" s="8" t="s">
        <v>55</v>
      </c>
      <c r="J6" s="8" t="s">
        <v>56</v>
      </c>
      <c r="K6" s="8" t="s">
        <v>57</v>
      </c>
      <c r="L6" s="8"/>
      <c r="M6" s="30" t="s">
        <v>46</v>
      </c>
      <c r="N6" s="3"/>
      <c r="O6" s="3"/>
    </row>
    <row r="7" spans="2:18" x14ac:dyDescent="0.3">
      <c r="B7" s="26">
        <v>43881</v>
      </c>
      <c r="C7" s="27">
        <v>1</v>
      </c>
      <c r="D7" s="28">
        <v>3</v>
      </c>
      <c r="E7" s="8">
        <f t="shared" ref="E7:E38" si="0">K*t0*_xlfn.GAMMA.DIST($C7/t0,w+1,1,1)*_xlfn.GAMMA(w+1)</f>
        <v>1.8654266224030447E-4</v>
      </c>
      <c r="F7" s="10">
        <f t="shared" ref="F7:F10" si="1">E7+CI</f>
        <v>1824.3464917063702</v>
      </c>
      <c r="G7" s="10">
        <f t="shared" ref="G7:G10" si="2">MAX(E7-CI,0)</f>
        <v>0</v>
      </c>
      <c r="H7" s="27">
        <v>0</v>
      </c>
      <c r="I7" s="8">
        <f t="shared" ref="I7:I38" si="3">Kh*t0h*_xlfn.GAMMA.DIST($C7/t0h,wh+1,1,1)*_xlfn.GAMMA(wh+1)</f>
        <v>1.1888573384959393E-6</v>
      </c>
      <c r="J7" s="10">
        <f t="shared" ref="J7:J46" si="4">I7+CIh</f>
        <v>132.43267846917772</v>
      </c>
      <c r="K7" s="10">
        <f t="shared" ref="K7:K46" si="5">MAX(I7-CIh,0)</f>
        <v>0</v>
      </c>
      <c r="L7" s="8"/>
      <c r="M7" s="21" t="s">
        <v>0</v>
      </c>
      <c r="N7" s="24">
        <v>77.907339652776287</v>
      </c>
      <c r="O7" s="3"/>
    </row>
    <row r="8" spans="2:18" ht="15.6" x14ac:dyDescent="0.35">
      <c r="B8" s="26">
        <v>43882</v>
      </c>
      <c r="C8" s="27">
        <v>2</v>
      </c>
      <c r="D8" s="28">
        <v>20</v>
      </c>
      <c r="E8" s="8">
        <f t="shared" si="0"/>
        <v>1.7720199467880973E-2</v>
      </c>
      <c r="F8" s="10">
        <f t="shared" si="1"/>
        <v>1824.3640253631759</v>
      </c>
      <c r="G8" s="10">
        <f t="shared" si="2"/>
        <v>0</v>
      </c>
      <c r="H8" s="27">
        <v>1</v>
      </c>
      <c r="I8" s="8">
        <f t="shared" si="3"/>
        <v>1.8373029630080321E-4</v>
      </c>
      <c r="J8" s="10">
        <f t="shared" si="4"/>
        <v>132.43286101061668</v>
      </c>
      <c r="K8" s="10">
        <f t="shared" si="5"/>
        <v>0</v>
      </c>
      <c r="L8" s="8"/>
      <c r="M8" s="21" t="s">
        <v>24</v>
      </c>
      <c r="N8" s="31">
        <v>6.6391122078156046</v>
      </c>
      <c r="O8" s="3"/>
    </row>
    <row r="9" spans="2:18" x14ac:dyDescent="0.3">
      <c r="B9" s="26">
        <v>43883</v>
      </c>
      <c r="C9" s="27">
        <v>3</v>
      </c>
      <c r="D9" s="28">
        <v>62</v>
      </c>
      <c r="E9" s="8">
        <f t="shared" si="0"/>
        <v>0.24093812652103822</v>
      </c>
      <c r="F9" s="10">
        <f t="shared" si="1"/>
        <v>1824.587243290229</v>
      </c>
      <c r="G9" s="10">
        <f t="shared" si="2"/>
        <v>0</v>
      </c>
      <c r="H9" s="27">
        <v>2</v>
      </c>
      <c r="I9" s="8">
        <f t="shared" si="3"/>
        <v>3.3364929711350152E-3</v>
      </c>
      <c r="J9" s="10">
        <f t="shared" si="4"/>
        <v>132.43601377329151</v>
      </c>
      <c r="K9" s="10">
        <f t="shared" si="5"/>
        <v>0</v>
      </c>
      <c r="L9" s="8"/>
      <c r="M9" s="21" t="s">
        <v>1</v>
      </c>
      <c r="N9" s="31">
        <v>5.7583984042031089</v>
      </c>
      <c r="O9" s="3"/>
    </row>
    <row r="10" spans="2:18" x14ac:dyDescent="0.3">
      <c r="B10" s="26">
        <v>43884</v>
      </c>
      <c r="C10" s="27">
        <v>4</v>
      </c>
      <c r="D10" s="28">
        <v>155</v>
      </c>
      <c r="E10" s="8">
        <f t="shared" si="0"/>
        <v>1.4783206459580431</v>
      </c>
      <c r="F10" s="10">
        <f t="shared" si="1"/>
        <v>1825.824625809666</v>
      </c>
      <c r="G10" s="10">
        <f t="shared" si="2"/>
        <v>0</v>
      </c>
      <c r="H10" s="27">
        <v>3</v>
      </c>
      <c r="I10" s="8">
        <f t="shared" si="3"/>
        <v>2.521844495253962E-2</v>
      </c>
      <c r="J10" s="10">
        <f t="shared" si="4"/>
        <v>132.45789572527292</v>
      </c>
      <c r="K10" s="10">
        <f t="shared" si="5"/>
        <v>0</v>
      </c>
      <c r="L10" s="8"/>
      <c r="M10" s="5" t="s">
        <v>2</v>
      </c>
      <c r="N10" s="1">
        <f>AVERAGE(D7:D46)</f>
        <v>27694.674999999999</v>
      </c>
      <c r="O10" s="3"/>
    </row>
    <row r="11" spans="2:18" x14ac:dyDescent="0.3">
      <c r="B11" s="22">
        <v>43885</v>
      </c>
      <c r="C11" s="4">
        <v>5</v>
      </c>
      <c r="D11" s="10">
        <f>'dpc-covid19-ita-andamento-naz'!L2</f>
        <v>229</v>
      </c>
      <c r="E11" s="8">
        <f t="shared" si="0"/>
        <v>5.865984814687514</v>
      </c>
      <c r="F11" s="10">
        <f t="shared" ref="F11:F33" si="6">E11+CI</f>
        <v>1830.2122899783953</v>
      </c>
      <c r="G11" s="10">
        <f t="shared" ref="G11:G37" si="7">MAX(E11-CI,0)</f>
        <v>0</v>
      </c>
      <c r="H11" s="10">
        <f>'dpc-covid19-ita-andamento-naz'!K2</f>
        <v>7</v>
      </c>
      <c r="I11" s="8">
        <f t="shared" si="3"/>
        <v>0.11792300844479185</v>
      </c>
      <c r="J11" s="10">
        <f t="shared" si="4"/>
        <v>132.55060028876517</v>
      </c>
      <c r="K11" s="10">
        <f t="shared" si="5"/>
        <v>0</v>
      </c>
      <c r="L11" s="1"/>
      <c r="M11" s="5" t="s">
        <v>3</v>
      </c>
      <c r="N11" s="1">
        <f>COUNT(D7:D46)-COUNT(N7:N9)</f>
        <v>37</v>
      </c>
    </row>
    <row r="12" spans="2:18" x14ac:dyDescent="0.3">
      <c r="B12" s="9">
        <v>43886</v>
      </c>
      <c r="C12" s="4">
        <v>6</v>
      </c>
      <c r="D12" s="10">
        <f>'dpc-covid19-ita-andamento-naz'!L3</f>
        <v>322</v>
      </c>
      <c r="E12" s="8">
        <f t="shared" si="0"/>
        <v>17.670011504207679</v>
      </c>
      <c r="F12" s="10">
        <f t="shared" si="6"/>
        <v>1842.0163166679156</v>
      </c>
      <c r="G12" s="10">
        <f t="shared" si="7"/>
        <v>0</v>
      </c>
      <c r="H12" s="10">
        <f>'dpc-covid19-ita-andamento-naz'!K3</f>
        <v>10</v>
      </c>
      <c r="I12" s="8">
        <f t="shared" si="3"/>
        <v>0.40700982934937424</v>
      </c>
      <c r="J12" s="10">
        <f t="shared" si="4"/>
        <v>132.83968710966974</v>
      </c>
      <c r="K12" s="10">
        <f t="shared" si="5"/>
        <v>0</v>
      </c>
      <c r="L12" s="1"/>
      <c r="M12" s="5" t="s">
        <v>4</v>
      </c>
      <c r="N12" s="6" cm="1">
        <f t="array" ref="N12">SQRT(SUM((D7:D46-E7:E46)^2)/df)</f>
        <v>900.38154738585501</v>
      </c>
    </row>
    <row r="13" spans="2:18" ht="16.2" x14ac:dyDescent="0.3">
      <c r="B13" s="9">
        <v>43887</v>
      </c>
      <c r="C13" s="4">
        <v>7</v>
      </c>
      <c r="D13" s="10">
        <f>'dpc-covid19-ita-andamento-naz'!L4</f>
        <v>400</v>
      </c>
      <c r="E13" s="8">
        <f t="shared" si="0"/>
        <v>44.014154642498461</v>
      </c>
      <c r="F13" s="10">
        <f t="shared" si="6"/>
        <v>1868.3604598062063</v>
      </c>
      <c r="G13" s="10">
        <f t="shared" si="7"/>
        <v>0</v>
      </c>
      <c r="H13" s="10">
        <f>'dpc-covid19-ita-andamento-naz'!K4</f>
        <v>12</v>
      </c>
      <c r="I13" s="8">
        <f t="shared" si="3"/>
        <v>1.1393010572896154</v>
      </c>
      <c r="J13" s="10">
        <f t="shared" si="4"/>
        <v>133.57197833761001</v>
      </c>
      <c r="K13" s="10">
        <f t="shared" si="5"/>
        <v>0</v>
      </c>
      <c r="L13" s="1"/>
      <c r="M13" s="5" t="s">
        <v>5</v>
      </c>
      <c r="N13" s="7" cm="1">
        <f t="array" ref="N13">1-SUM((D7:D46-E7:E46)^2)/SUM((D7:D46-Mean_of_y)^2)</f>
        <v>0.99927802550968736</v>
      </c>
    </row>
    <row r="14" spans="2:18" x14ac:dyDescent="0.3">
      <c r="B14" s="9">
        <v>43888</v>
      </c>
      <c r="C14" s="4">
        <v>8</v>
      </c>
      <c r="D14" s="10">
        <f>'dpc-covid19-ita-andamento-naz'!L5</f>
        <v>650</v>
      </c>
      <c r="E14" s="8">
        <f t="shared" si="0"/>
        <v>95.406031716527707</v>
      </c>
      <c r="F14" s="10">
        <f t="shared" si="6"/>
        <v>1919.7523368802356</v>
      </c>
      <c r="G14" s="10">
        <f t="shared" si="7"/>
        <v>0</v>
      </c>
      <c r="H14" s="10">
        <f>'dpc-covid19-ita-andamento-naz'!K5</f>
        <v>17</v>
      </c>
      <c r="I14" s="8">
        <f t="shared" si="3"/>
        <v>2.7359902036852537</v>
      </c>
      <c r="J14" s="10">
        <f t="shared" si="4"/>
        <v>135.16866748400562</v>
      </c>
      <c r="K14" s="10">
        <f t="shared" si="5"/>
        <v>0</v>
      </c>
      <c r="L14" s="1"/>
      <c r="M14" s="5" t="s">
        <v>6</v>
      </c>
      <c r="N14" s="7">
        <f>TINV(0.05,df)</f>
        <v>2.026192463029111</v>
      </c>
    </row>
    <row r="15" spans="2:18" x14ac:dyDescent="0.3">
      <c r="B15" s="9">
        <v>43889</v>
      </c>
      <c r="C15" s="4">
        <v>9</v>
      </c>
      <c r="D15" s="10">
        <f>'dpc-covid19-ita-andamento-naz'!L6</f>
        <v>888</v>
      </c>
      <c r="E15" s="8">
        <f t="shared" si="0"/>
        <v>185.98910736573509</v>
      </c>
      <c r="F15" s="10">
        <f t="shared" si="6"/>
        <v>2010.3354125294431</v>
      </c>
      <c r="G15" s="10">
        <f t="shared" si="7"/>
        <v>0</v>
      </c>
      <c r="H15" s="10">
        <f>'dpc-covid19-ita-andamento-naz'!K6</f>
        <v>21</v>
      </c>
      <c r="I15" s="8">
        <f t="shared" si="3"/>
        <v>5.8449669070882369</v>
      </c>
      <c r="J15" s="10">
        <f t="shared" si="4"/>
        <v>138.27764418740861</v>
      </c>
      <c r="K15" s="10">
        <f t="shared" si="5"/>
        <v>0</v>
      </c>
      <c r="L15" s="1"/>
      <c r="M15" s="5" t="s">
        <v>7</v>
      </c>
      <c r="N15" s="1">
        <f>Critical_t*SE_of_y</f>
        <v>1824.3463051637079</v>
      </c>
    </row>
    <row r="16" spans="2:18" x14ac:dyDescent="0.3">
      <c r="B16" s="9">
        <v>43890</v>
      </c>
      <c r="C16" s="4">
        <v>10</v>
      </c>
      <c r="D16" s="10">
        <f>'dpc-covid19-ita-andamento-naz'!L7</f>
        <v>1128</v>
      </c>
      <c r="E16" s="8">
        <f t="shared" si="0"/>
        <v>333.49758294867723</v>
      </c>
      <c r="F16" s="10">
        <f t="shared" si="6"/>
        <v>2157.8438881123852</v>
      </c>
      <c r="G16" s="10">
        <f t="shared" si="7"/>
        <v>0</v>
      </c>
      <c r="H16" s="10">
        <f>'dpc-covid19-ita-andamento-naz'!K7</f>
        <v>29</v>
      </c>
      <c r="I16" s="8">
        <f t="shared" si="3"/>
        <v>11.386626800176748</v>
      </c>
      <c r="J16" s="10">
        <f t="shared" si="4"/>
        <v>143.81930408049712</v>
      </c>
      <c r="K16" s="10">
        <f t="shared" si="5"/>
        <v>0</v>
      </c>
      <c r="L16" s="1"/>
      <c r="M16" s="5"/>
    </row>
    <row r="17" spans="2:14" x14ac:dyDescent="0.3">
      <c r="B17" s="22">
        <v>43891</v>
      </c>
      <c r="C17" s="4">
        <v>11</v>
      </c>
      <c r="D17" s="10">
        <f>'dpc-covid19-ita-andamento-naz'!L8</f>
        <v>1694</v>
      </c>
      <c r="E17" s="8">
        <f t="shared" si="0"/>
        <v>558.9302835082417</v>
      </c>
      <c r="F17" s="10">
        <f t="shared" si="6"/>
        <v>2383.2765886719499</v>
      </c>
      <c r="G17" s="10">
        <f t="shared" si="7"/>
        <v>0</v>
      </c>
      <c r="H17" s="10">
        <f>'dpc-covid19-ita-andamento-naz'!K8</f>
        <v>34</v>
      </c>
      <c r="I17" s="8">
        <f t="shared" si="3"/>
        <v>20.588498882420634</v>
      </c>
      <c r="J17" s="10">
        <f t="shared" si="4"/>
        <v>153.021176162741</v>
      </c>
      <c r="K17" s="10">
        <f t="shared" si="5"/>
        <v>0</v>
      </c>
      <c r="L17" s="1"/>
      <c r="M17" s="23" t="s">
        <v>53</v>
      </c>
      <c r="N17" s="3"/>
    </row>
    <row r="18" spans="2:14" x14ac:dyDescent="0.3">
      <c r="B18" s="9">
        <v>43892</v>
      </c>
      <c r="C18" s="4">
        <v>12</v>
      </c>
      <c r="D18" s="10">
        <f>'dpc-covid19-ita-andamento-naz'!L9</f>
        <v>2036</v>
      </c>
      <c r="E18" s="8">
        <f t="shared" si="0"/>
        <v>885.98629993916131</v>
      </c>
      <c r="F18" s="10">
        <f t="shared" si="6"/>
        <v>2710.3326051028694</v>
      </c>
      <c r="G18" s="10">
        <f t="shared" si="7"/>
        <v>0</v>
      </c>
      <c r="H18" s="10">
        <f>'dpc-covid19-ita-andamento-naz'!K9</f>
        <v>52</v>
      </c>
      <c r="I18" s="8">
        <f t="shared" si="3"/>
        <v>35.005434290321617</v>
      </c>
      <c r="J18" s="10">
        <f t="shared" si="4"/>
        <v>167.43811157064198</v>
      </c>
      <c r="K18" s="10">
        <f t="shared" si="5"/>
        <v>0</v>
      </c>
      <c r="L18" s="1"/>
      <c r="M18" s="21" t="s">
        <v>0</v>
      </c>
      <c r="N18" s="24">
        <v>3.8899548698128541</v>
      </c>
    </row>
    <row r="19" spans="2:14" ht="15.6" x14ac:dyDescent="0.35">
      <c r="B19" s="9">
        <v>43893</v>
      </c>
      <c r="C19" s="4">
        <v>13</v>
      </c>
      <c r="D19" s="10">
        <f>'dpc-covid19-ita-andamento-naz'!L10</f>
        <v>2502</v>
      </c>
      <c r="E19" s="8">
        <f t="shared" si="0"/>
        <v>1340.3204449258701</v>
      </c>
      <c r="F19" s="10">
        <f t="shared" si="6"/>
        <v>3164.6667500895783</v>
      </c>
      <c r="G19" s="10">
        <f t="shared" si="7"/>
        <v>0</v>
      </c>
      <c r="H19" s="10">
        <f>'dpc-covid19-ita-andamento-naz'!K10</f>
        <v>79</v>
      </c>
      <c r="I19" s="8">
        <f t="shared" si="3"/>
        <v>56.523597123181254</v>
      </c>
      <c r="J19" s="10">
        <f t="shared" si="4"/>
        <v>188.95627440350162</v>
      </c>
      <c r="K19" s="10">
        <f t="shared" si="5"/>
        <v>0</v>
      </c>
      <c r="L19" s="1"/>
      <c r="M19" s="21" t="s">
        <v>24</v>
      </c>
      <c r="N19" s="31">
        <v>7.3732778832082166</v>
      </c>
    </row>
    <row r="20" spans="2:14" x14ac:dyDescent="0.3">
      <c r="B20" s="9">
        <v>43894</v>
      </c>
      <c r="C20" s="4">
        <v>14</v>
      </c>
      <c r="D20" s="10">
        <f>'dpc-covid19-ita-andamento-naz'!L11</f>
        <v>3089</v>
      </c>
      <c r="E20" s="8">
        <f t="shared" si="0"/>
        <v>1948.6825231841995</v>
      </c>
      <c r="F20" s="10">
        <f t="shared" si="6"/>
        <v>3773.0288283479076</v>
      </c>
      <c r="G20" s="10">
        <f t="shared" si="7"/>
        <v>124.33621802049151</v>
      </c>
      <c r="H20" s="10">
        <f>'dpc-covid19-ita-andamento-naz'!K11</f>
        <v>107</v>
      </c>
      <c r="I20" s="8">
        <f t="shared" si="3"/>
        <v>87.347899935685575</v>
      </c>
      <c r="J20" s="10">
        <f t="shared" si="4"/>
        <v>219.78057721600595</v>
      </c>
      <c r="K20" s="10">
        <f t="shared" si="5"/>
        <v>0</v>
      </c>
      <c r="L20" s="1"/>
      <c r="M20" s="21" t="s">
        <v>1</v>
      </c>
      <c r="N20" s="31">
        <v>6.443916217489404</v>
      </c>
    </row>
    <row r="21" spans="2:14" x14ac:dyDescent="0.3">
      <c r="B21" s="22">
        <v>43895</v>
      </c>
      <c r="C21" s="4">
        <v>15</v>
      </c>
      <c r="D21" s="10">
        <f>'dpc-covid19-ita-andamento-naz'!L12</f>
        <v>3858</v>
      </c>
      <c r="E21" s="8">
        <f t="shared" si="0"/>
        <v>2738.003304556124</v>
      </c>
      <c r="F21" s="10">
        <f t="shared" si="6"/>
        <v>4562.3496097198322</v>
      </c>
      <c r="G21" s="10">
        <f t="shared" si="7"/>
        <v>913.65699939241608</v>
      </c>
      <c r="H21" s="10">
        <f>'dpc-covid19-ita-andamento-naz'!K12</f>
        <v>148</v>
      </c>
      <c r="I21" s="8">
        <f t="shared" si="3"/>
        <v>129.97372369426381</v>
      </c>
      <c r="J21" s="10">
        <f t="shared" si="4"/>
        <v>262.40640097458419</v>
      </c>
      <c r="K21" s="10">
        <f t="shared" si="5"/>
        <v>0</v>
      </c>
      <c r="L21" s="1"/>
      <c r="M21" s="2" t="s">
        <v>2</v>
      </c>
      <c r="N21" s="1">
        <f>AVERAGE(H7:H46)</f>
        <v>2606</v>
      </c>
    </row>
    <row r="22" spans="2:14" x14ac:dyDescent="0.3">
      <c r="B22" s="9">
        <v>43896</v>
      </c>
      <c r="C22" s="4">
        <v>16</v>
      </c>
      <c r="D22" s="10">
        <f>'dpc-covid19-ita-andamento-naz'!L13</f>
        <v>4636</v>
      </c>
      <c r="E22" s="8">
        <f t="shared" si="0"/>
        <v>3734.4841203908659</v>
      </c>
      <c r="F22" s="10">
        <f t="shared" si="6"/>
        <v>5558.8304255545736</v>
      </c>
      <c r="G22" s="10">
        <f t="shared" si="7"/>
        <v>1910.1378152271579</v>
      </c>
      <c r="H22" s="10">
        <f>'dpc-covid19-ita-andamento-naz'!K13</f>
        <v>197</v>
      </c>
      <c r="I22" s="8">
        <f t="shared" si="3"/>
        <v>187.14469923802406</v>
      </c>
      <c r="J22" s="10">
        <f t="shared" si="4"/>
        <v>319.57737651834441</v>
      </c>
      <c r="K22" s="10">
        <f t="shared" si="5"/>
        <v>54.712021957703683</v>
      </c>
      <c r="L22" s="1"/>
      <c r="M22" s="2" t="s">
        <v>3</v>
      </c>
      <c r="N22" s="1">
        <f>COUNT(H7:H46)-COUNT(N18:N20)</f>
        <v>37</v>
      </c>
    </row>
    <row r="23" spans="2:14" x14ac:dyDescent="0.3">
      <c r="B23" s="9">
        <v>43897</v>
      </c>
      <c r="C23" s="4">
        <v>17</v>
      </c>
      <c r="D23" s="10">
        <f>'dpc-covid19-ita-andamento-naz'!L14</f>
        <v>5883</v>
      </c>
      <c r="E23" s="8">
        <f t="shared" si="0"/>
        <v>4962.7380761054428</v>
      </c>
      <c r="F23" s="10">
        <f t="shared" si="6"/>
        <v>6787.084381269151</v>
      </c>
      <c r="G23" s="10">
        <f t="shared" si="7"/>
        <v>3138.3917709417346</v>
      </c>
      <c r="H23" s="10">
        <f>'dpc-covid19-ita-andamento-naz'!K14</f>
        <v>233</v>
      </c>
      <c r="I23" s="8">
        <f t="shared" si="3"/>
        <v>261.79898948381987</v>
      </c>
      <c r="J23" s="10">
        <f t="shared" si="4"/>
        <v>394.23166676414024</v>
      </c>
      <c r="K23" s="10">
        <f t="shared" si="5"/>
        <v>129.36631220349949</v>
      </c>
      <c r="L23" s="1"/>
      <c r="M23" s="2" t="s">
        <v>4</v>
      </c>
      <c r="N23" s="6" cm="1">
        <f t="array" ref="N23">SQRT(SUM((H11:H45-I11:I45)^2)/dfh)</f>
        <v>65.360364178996392</v>
      </c>
    </row>
    <row r="24" spans="2:14" ht="16.2" x14ac:dyDescent="0.3">
      <c r="B24" s="22">
        <v>43898</v>
      </c>
      <c r="C24" s="4">
        <v>18</v>
      </c>
      <c r="D24" s="10">
        <f>'dpc-covid19-ita-andamento-naz'!L15</f>
        <v>7375</v>
      </c>
      <c r="E24" s="8">
        <f t="shared" si="0"/>
        <v>6445.0205107730717</v>
      </c>
      <c r="F24" s="10">
        <f t="shared" si="6"/>
        <v>8269.3668159367789</v>
      </c>
      <c r="G24" s="10">
        <f t="shared" si="7"/>
        <v>4620.6742056093635</v>
      </c>
      <c r="H24" s="10">
        <f>'dpc-covid19-ita-andamento-naz'!K15</f>
        <v>366</v>
      </c>
      <c r="I24" s="8">
        <f t="shared" si="3"/>
        <v>357.00691103124296</v>
      </c>
      <c r="J24" s="10">
        <f t="shared" si="4"/>
        <v>489.43958831156334</v>
      </c>
      <c r="K24" s="10">
        <f t="shared" si="5"/>
        <v>224.57423375092259</v>
      </c>
      <c r="L24" s="1"/>
      <c r="M24" s="2" t="s">
        <v>5</v>
      </c>
      <c r="N24" s="7" cm="1">
        <f t="array" ref="N24">1-SUM((H7:H46-I7:I46)^2)/SUM((H7:H46-Mean_of_yh)^2)</f>
        <v>0.99963066091041408</v>
      </c>
    </row>
    <row r="25" spans="2:14" x14ac:dyDescent="0.3">
      <c r="B25" s="9">
        <v>43899</v>
      </c>
      <c r="C25" s="4">
        <v>19</v>
      </c>
      <c r="D25" s="10">
        <f>'dpc-covid19-ita-andamento-naz'!L16</f>
        <v>9172</v>
      </c>
      <c r="E25" s="8">
        <f t="shared" si="0"/>
        <v>8200.5756901631667</v>
      </c>
      <c r="F25" s="10">
        <f t="shared" si="6"/>
        <v>10024.921995326875</v>
      </c>
      <c r="G25" s="10">
        <f t="shared" si="7"/>
        <v>6376.2293849994585</v>
      </c>
      <c r="H25" s="10">
        <f>'dpc-covid19-ita-andamento-naz'!K16</f>
        <v>463</v>
      </c>
      <c r="I25" s="8">
        <f t="shared" si="3"/>
        <v>475.90289980371477</v>
      </c>
      <c r="J25" s="10">
        <f t="shared" si="4"/>
        <v>608.33557708403509</v>
      </c>
      <c r="K25" s="10">
        <f t="shared" si="5"/>
        <v>343.4702225233944</v>
      </c>
      <c r="L25" s="1"/>
      <c r="M25" s="2" t="s">
        <v>6</v>
      </c>
      <c r="N25" s="7">
        <f>TINV(0.05,dfh)</f>
        <v>2.026192463029111</v>
      </c>
    </row>
    <row r="26" spans="2:14" x14ac:dyDescent="0.3">
      <c r="B26" s="22">
        <v>43900</v>
      </c>
      <c r="C26" s="4">
        <v>20</v>
      </c>
      <c r="D26" s="10">
        <f>'dpc-covid19-ita-andamento-naz'!L17</f>
        <v>10149</v>
      </c>
      <c r="E26" s="8">
        <f t="shared" si="0"/>
        <v>10245.116607730188</v>
      </c>
      <c r="F26" s="10">
        <f t="shared" si="6"/>
        <v>12069.462912893896</v>
      </c>
      <c r="G26" s="10">
        <f t="shared" si="7"/>
        <v>8420.7703025664796</v>
      </c>
      <c r="H26" s="10">
        <f>'dpc-covid19-ita-andamento-naz'!K17</f>
        <v>631</v>
      </c>
      <c r="I26" s="8">
        <f t="shared" si="3"/>
        <v>621.61479643018129</v>
      </c>
      <c r="J26" s="10">
        <f t="shared" si="4"/>
        <v>754.04747371050166</v>
      </c>
      <c r="K26" s="10">
        <f t="shared" si="5"/>
        <v>489.18211914986091</v>
      </c>
      <c r="L26" s="1"/>
      <c r="M26" s="2" t="s">
        <v>7</v>
      </c>
      <c r="N26" s="1">
        <f>Critical_th*SE_of_yh</f>
        <v>132.43267728032038</v>
      </c>
    </row>
    <row r="27" spans="2:14" x14ac:dyDescent="0.3">
      <c r="B27" s="9">
        <v>43901</v>
      </c>
      <c r="C27" s="4">
        <v>21</v>
      </c>
      <c r="D27" s="10">
        <f>'dpc-covid19-ita-andamento-naz'!L18</f>
        <v>12462</v>
      </c>
      <c r="E27" s="8">
        <f t="shared" si="0"/>
        <v>12590.445718100262</v>
      </c>
      <c r="F27" s="10">
        <f t="shared" si="6"/>
        <v>14414.79202326397</v>
      </c>
      <c r="G27" s="10">
        <f t="shared" si="7"/>
        <v>10766.099412936554</v>
      </c>
      <c r="H27" s="10">
        <f>'dpc-covid19-ita-andamento-naz'!K18</f>
        <v>827</v>
      </c>
      <c r="I27" s="8">
        <f t="shared" si="3"/>
        <v>797.19324513243021</v>
      </c>
      <c r="J27" s="10">
        <f t="shared" si="4"/>
        <v>929.62592241275058</v>
      </c>
      <c r="K27" s="10">
        <f t="shared" si="5"/>
        <v>664.76056785210983</v>
      </c>
      <c r="L27" s="1"/>
      <c r="M27" s="5"/>
    </row>
    <row r="28" spans="2:14" x14ac:dyDescent="0.3">
      <c r="B28" s="22">
        <v>43902</v>
      </c>
      <c r="C28" s="4">
        <v>22</v>
      </c>
      <c r="D28" s="10">
        <f>'dpc-covid19-ita-andamento-naz'!L19</f>
        <v>15113</v>
      </c>
      <c r="E28" s="8">
        <f t="shared" si="0"/>
        <v>15244.216739880787</v>
      </c>
      <c r="F28" s="10">
        <f t="shared" si="6"/>
        <v>17068.563045044495</v>
      </c>
      <c r="G28" s="10">
        <f t="shared" si="7"/>
        <v>13419.870434717079</v>
      </c>
      <c r="H28" s="10">
        <f>'dpc-covid19-ita-andamento-naz'!K19</f>
        <v>1016</v>
      </c>
      <c r="I28" s="8">
        <f t="shared" si="3"/>
        <v>1005.5437061902699</v>
      </c>
      <c r="J28" s="10">
        <f t="shared" si="4"/>
        <v>1137.9763834705902</v>
      </c>
      <c r="K28" s="10">
        <f t="shared" si="5"/>
        <v>873.11102890994948</v>
      </c>
      <c r="L28" s="1"/>
      <c r="M28" s="5"/>
    </row>
    <row r="29" spans="2:14" x14ac:dyDescent="0.3">
      <c r="B29" s="9">
        <v>43903</v>
      </c>
      <c r="C29" s="4">
        <v>23</v>
      </c>
      <c r="D29" s="10">
        <f>'dpc-covid19-ita-andamento-naz'!L20</f>
        <v>17660</v>
      </c>
      <c r="E29" s="8">
        <f t="shared" si="0"/>
        <v>18209.831463756516</v>
      </c>
      <c r="F29" s="10">
        <f t="shared" si="6"/>
        <v>20034.177768920224</v>
      </c>
      <c r="G29" s="10">
        <f t="shared" si="7"/>
        <v>16385.485158592808</v>
      </c>
      <c r="H29" s="10">
        <f>'dpc-covid19-ita-andamento-naz'!K20</f>
        <v>1266</v>
      </c>
      <c r="I29" s="8">
        <f t="shared" si="3"/>
        <v>1249.3632146000955</v>
      </c>
      <c r="J29" s="10">
        <f t="shared" si="4"/>
        <v>1381.7958918804159</v>
      </c>
      <c r="K29" s="10">
        <f t="shared" si="5"/>
        <v>1116.9305373197751</v>
      </c>
      <c r="L29" s="1"/>
      <c r="M29" s="5"/>
    </row>
    <row r="30" spans="2:14" x14ac:dyDescent="0.3">
      <c r="B30" s="9">
        <v>43904</v>
      </c>
      <c r="C30" s="4">
        <v>24</v>
      </c>
      <c r="D30" s="10">
        <f>'dpc-covid19-ita-andamento-naz'!L21</f>
        <v>21157</v>
      </c>
      <c r="E30" s="8">
        <f t="shared" si="0"/>
        <v>21486.460784511946</v>
      </c>
      <c r="F30" s="10">
        <f t="shared" si="6"/>
        <v>23310.807089675654</v>
      </c>
      <c r="G30" s="10">
        <f t="shared" si="7"/>
        <v>19662.114479348238</v>
      </c>
      <c r="H30" s="10">
        <f>'dpc-covid19-ita-andamento-naz'!K21</f>
        <v>1441</v>
      </c>
      <c r="I30" s="8">
        <f t="shared" si="3"/>
        <v>1531.0836095200166</v>
      </c>
      <c r="J30" s="10">
        <f t="shared" si="4"/>
        <v>1663.516286800337</v>
      </c>
      <c r="K30" s="10">
        <f t="shared" si="5"/>
        <v>1398.6509322396962</v>
      </c>
      <c r="L30" s="1"/>
      <c r="M30" s="5"/>
    </row>
    <row r="31" spans="2:14" x14ac:dyDescent="0.3">
      <c r="B31" s="9">
        <v>43905</v>
      </c>
      <c r="C31" s="4">
        <v>25</v>
      </c>
      <c r="D31" s="10">
        <f>'dpc-covid19-ita-andamento-naz'!L22</f>
        <v>24747</v>
      </c>
      <c r="E31" s="8">
        <f t="shared" si="0"/>
        <v>25069.175850713968</v>
      </c>
      <c r="F31" s="10">
        <f t="shared" si="6"/>
        <v>26893.522155877676</v>
      </c>
      <c r="G31" s="10">
        <f t="shared" si="7"/>
        <v>23244.829545550259</v>
      </c>
      <c r="H31" s="10">
        <f>'dpc-covid19-ita-andamento-naz'!K22</f>
        <v>1809</v>
      </c>
      <c r="I31" s="8">
        <f t="shared" si="3"/>
        <v>1852.822538198383</v>
      </c>
      <c r="J31" s="10">
        <f t="shared" si="4"/>
        <v>1985.2552154787033</v>
      </c>
      <c r="K31" s="10">
        <f t="shared" si="5"/>
        <v>1720.3898609180626</v>
      </c>
      <c r="L31" s="1"/>
      <c r="M31" s="5"/>
    </row>
    <row r="32" spans="2:14" x14ac:dyDescent="0.3">
      <c r="B32" s="9">
        <v>43906</v>
      </c>
      <c r="C32" s="4">
        <v>26</v>
      </c>
      <c r="D32" s="10">
        <f>'dpc-covid19-ita-andamento-naz'!L23</f>
        <v>27980</v>
      </c>
      <c r="E32" s="8">
        <f t="shared" si="0"/>
        <v>28949.173146900568</v>
      </c>
      <c r="F32" s="10">
        <f t="shared" si="6"/>
        <v>30773.519452064276</v>
      </c>
      <c r="G32" s="10">
        <f t="shared" si="7"/>
        <v>27124.82684173686</v>
      </c>
      <c r="H32" s="10">
        <f>'dpc-covid19-ita-andamento-naz'!K23</f>
        <v>2158</v>
      </c>
      <c r="I32" s="8">
        <f t="shared" si="3"/>
        <v>2216.343126357071</v>
      </c>
      <c r="J32" s="10">
        <f t="shared" si="4"/>
        <v>2348.7758036373916</v>
      </c>
      <c r="K32" s="10">
        <f t="shared" si="5"/>
        <v>2083.9104490767504</v>
      </c>
      <c r="L32" s="1"/>
      <c r="M32" s="5"/>
    </row>
    <row r="33" spans="2:17" x14ac:dyDescent="0.3">
      <c r="B33" s="9">
        <v>43907</v>
      </c>
      <c r="C33" s="4">
        <v>27</v>
      </c>
      <c r="D33" s="10">
        <f>'dpc-covid19-ita-andamento-naz'!L24</f>
        <v>31506</v>
      </c>
      <c r="E33" s="8">
        <f t="shared" si="0"/>
        <v>33114.076313891623</v>
      </c>
      <c r="F33" s="10">
        <f t="shared" si="6"/>
        <v>34938.422619055331</v>
      </c>
      <c r="G33" s="10">
        <f t="shared" si="7"/>
        <v>31289.730008727915</v>
      </c>
      <c r="H33" s="10">
        <f>'dpc-covid19-ita-andamento-naz'!K24</f>
        <v>2503</v>
      </c>
      <c r="I33" s="8">
        <f t="shared" si="3"/>
        <v>2623.0228210951473</v>
      </c>
      <c r="J33" s="10">
        <f t="shared" si="4"/>
        <v>2755.4554983754679</v>
      </c>
      <c r="K33" s="10">
        <f t="shared" si="5"/>
        <v>2490.5901438148267</v>
      </c>
      <c r="L33" s="1"/>
      <c r="N33" s="1"/>
    </row>
    <row r="34" spans="2:17" x14ac:dyDescent="0.3">
      <c r="B34" s="9">
        <v>43908</v>
      </c>
      <c r="C34" s="4">
        <v>28</v>
      </c>
      <c r="D34" s="10">
        <f>'dpc-covid19-ita-andamento-naz'!L25</f>
        <v>35713</v>
      </c>
      <c r="E34" s="8">
        <f t="shared" si="0"/>
        <v>37548.29738590966</v>
      </c>
      <c r="F34" s="10">
        <f t="shared" ref="F34" si="8">E34+CI</f>
        <v>39372.643691073368</v>
      </c>
      <c r="G34" s="10">
        <f t="shared" si="7"/>
        <v>35723.951080745952</v>
      </c>
      <c r="H34" s="10">
        <f>'dpc-covid19-ita-andamento-naz'!K25</f>
        <v>2978</v>
      </c>
      <c r="I34" s="8">
        <f t="shared" si="3"/>
        <v>3073.8315640394048</v>
      </c>
      <c r="J34" s="10">
        <f t="shared" si="4"/>
        <v>3206.2642413197254</v>
      </c>
      <c r="K34" s="10">
        <f t="shared" si="5"/>
        <v>2941.3988867590842</v>
      </c>
      <c r="N34" s="6"/>
      <c r="Q34" s="1"/>
    </row>
    <row r="35" spans="2:17" x14ac:dyDescent="0.3">
      <c r="B35" s="9">
        <v>43909</v>
      </c>
      <c r="C35" s="4">
        <v>29</v>
      </c>
      <c r="D35" s="10">
        <f>'dpc-covid19-ita-andamento-naz'!L26</f>
        <v>41035</v>
      </c>
      <c r="E35" s="8">
        <f t="shared" si="0"/>
        <v>42233.440693814533</v>
      </c>
      <c r="F35" s="10">
        <f t="shared" ref="F35" si="9">E35+CI</f>
        <v>44057.786998978241</v>
      </c>
      <c r="G35" s="10">
        <f t="shared" si="7"/>
        <v>40409.094388650825</v>
      </c>
      <c r="H35" s="10">
        <f>'dpc-covid19-ita-andamento-naz'!K26</f>
        <v>3405</v>
      </c>
      <c r="I35" s="8">
        <f t="shared" si="3"/>
        <v>3569.3191491714297</v>
      </c>
      <c r="J35" s="10">
        <f t="shared" si="4"/>
        <v>3701.7518264517503</v>
      </c>
      <c r="K35" s="10">
        <f t="shared" si="5"/>
        <v>3436.8864718911091</v>
      </c>
      <c r="N35" s="7"/>
    </row>
    <row r="36" spans="2:17" x14ac:dyDescent="0.3">
      <c r="B36" s="9">
        <v>43910</v>
      </c>
      <c r="C36" s="4">
        <v>30</v>
      </c>
      <c r="D36" s="10">
        <f>'dpc-covid19-ita-andamento-naz'!L27</f>
        <v>47021</v>
      </c>
      <c r="E36" s="8">
        <f t="shared" si="0"/>
        <v>47148.733778946626</v>
      </c>
      <c r="F36" s="10">
        <f t="shared" ref="F36" si="10">E36+CI</f>
        <v>48973.080084110334</v>
      </c>
      <c r="G36" s="10">
        <f t="shared" si="7"/>
        <v>45324.387473782917</v>
      </c>
      <c r="H36" s="10">
        <f>'dpc-covid19-ita-andamento-naz'!K27</f>
        <v>4032</v>
      </c>
      <c r="I36" s="8">
        <f t="shared" si="3"/>
        <v>4109.6113653953971</v>
      </c>
      <c r="J36" s="10">
        <f t="shared" si="4"/>
        <v>4242.0440426757177</v>
      </c>
      <c r="K36" s="10">
        <f t="shared" si="5"/>
        <v>3977.1786881150765</v>
      </c>
      <c r="N36" s="7"/>
    </row>
    <row r="37" spans="2:17" x14ac:dyDescent="0.3">
      <c r="B37" s="9">
        <v>43911</v>
      </c>
      <c r="C37" s="4">
        <v>31</v>
      </c>
      <c r="D37" s="10">
        <f>'dpc-covid19-ita-andamento-naz'!L28</f>
        <v>53578</v>
      </c>
      <c r="E37" s="8">
        <f t="shared" si="0"/>
        <v>52271.471126365686</v>
      </c>
      <c r="F37" s="10">
        <f t="shared" ref="F37" si="11">E37+CI</f>
        <v>54095.817431529395</v>
      </c>
      <c r="G37" s="10">
        <f t="shared" si="7"/>
        <v>50447.124821201978</v>
      </c>
      <c r="H37" s="10">
        <f>'dpc-covid19-ita-andamento-naz'!K28</f>
        <v>4825</v>
      </c>
      <c r="I37" s="8">
        <f t="shared" si="3"/>
        <v>4694.4143194629896</v>
      </c>
      <c r="J37" s="10">
        <f t="shared" si="4"/>
        <v>4826.8469967433102</v>
      </c>
      <c r="K37" s="10">
        <f t="shared" si="5"/>
        <v>4561.981642182669</v>
      </c>
      <c r="N37" s="1"/>
    </row>
    <row r="38" spans="2:17" x14ac:dyDescent="0.3">
      <c r="B38" s="9">
        <v>43912</v>
      </c>
      <c r="C38" s="4">
        <v>32</v>
      </c>
      <c r="D38" s="10">
        <f>'dpc-covid19-ita-andamento-naz'!L29</f>
        <v>59138</v>
      </c>
      <c r="E38" s="8">
        <f t="shared" si="0"/>
        <v>57577.458224726564</v>
      </c>
      <c r="F38" s="10">
        <f t="shared" ref="F38" si="12">E38+CI</f>
        <v>59401.804529890273</v>
      </c>
      <c r="G38" s="10">
        <f t="shared" ref="G38" si="13">MAX(E38-CI,0)</f>
        <v>55753.111919562856</v>
      </c>
      <c r="H38" s="10">
        <f>'dpc-covid19-ita-andamento-naz'!K29</f>
        <v>5476</v>
      </c>
      <c r="I38" s="8">
        <f t="shared" si="3"/>
        <v>5323.0261790721024</v>
      </c>
      <c r="J38" s="10">
        <f t="shared" si="4"/>
        <v>5455.458856352423</v>
      </c>
      <c r="K38" s="10">
        <f t="shared" si="5"/>
        <v>5190.5935017917818</v>
      </c>
    </row>
    <row r="39" spans="2:17" x14ac:dyDescent="0.3">
      <c r="B39" s="22">
        <v>43913</v>
      </c>
      <c r="C39" s="4">
        <v>33</v>
      </c>
      <c r="D39" s="10">
        <f>'dpc-covid19-ita-andamento-naz'!L30</f>
        <v>63927</v>
      </c>
      <c r="E39" s="8">
        <f t="shared" ref="E39:E70" si="14">K*t0*_xlfn.GAMMA.DIST($C39/t0,w+1,1,1)*_xlfn.GAMMA(w+1)</f>
        <v>63041.445279301304</v>
      </c>
      <c r="F39" s="10">
        <f t="shared" ref="F39" si="15">E39+CI</f>
        <v>64865.791584465012</v>
      </c>
      <c r="G39" s="10">
        <f t="shared" ref="G39" si="16">MAX(E39-CI,0)</f>
        <v>61217.098974137596</v>
      </c>
      <c r="H39" s="10">
        <f>'dpc-covid19-ita-andamento-naz'!K30</f>
        <v>6077</v>
      </c>
      <c r="I39" s="8">
        <f t="shared" ref="I39:I70" si="17">Kh*t0h*_xlfn.GAMMA.DIST($C39/t0h,wh+1,1,1)*_xlfn.GAMMA(wh+1)</f>
        <v>5994.3554658616467</v>
      </c>
      <c r="J39" s="10">
        <f t="shared" si="4"/>
        <v>6126.7881431419673</v>
      </c>
      <c r="K39" s="10">
        <f t="shared" si="5"/>
        <v>5861.9227885813261</v>
      </c>
    </row>
    <row r="40" spans="2:17" x14ac:dyDescent="0.3">
      <c r="B40" s="9">
        <v>43914</v>
      </c>
      <c r="C40" s="4">
        <v>34</v>
      </c>
      <c r="D40" s="10">
        <f>'dpc-covid19-ita-andamento-naz'!L31</f>
        <v>69176</v>
      </c>
      <c r="E40" s="8">
        <f t="shared" si="14"/>
        <v>68637.541752623962</v>
      </c>
      <c r="F40" s="10">
        <f t="shared" ref="F40" si="18">E40+CI</f>
        <v>70461.88805778767</v>
      </c>
      <c r="G40" s="10">
        <f t="shared" ref="G40" si="19">MAX(E40-CI,0)</f>
        <v>66813.195447460253</v>
      </c>
      <c r="H40" s="10">
        <f>'dpc-covid19-ita-andamento-naz'!K31</f>
        <v>6820</v>
      </c>
      <c r="I40" s="8">
        <f t="shared" si="17"/>
        <v>6706.9449595337474</v>
      </c>
      <c r="J40" s="10">
        <f t="shared" si="4"/>
        <v>6839.377636814068</v>
      </c>
      <c r="K40" s="10">
        <f t="shared" si="5"/>
        <v>6574.5122822534267</v>
      </c>
    </row>
    <row r="41" spans="2:17" x14ac:dyDescent="0.3">
      <c r="B41" s="9">
        <v>43915</v>
      </c>
      <c r="C41" s="4">
        <v>35</v>
      </c>
      <c r="D41" s="10">
        <f>'dpc-covid19-ita-andamento-naz'!L32</f>
        <v>74386</v>
      </c>
      <c r="E41" s="8">
        <f t="shared" si="14"/>
        <v>74339.604711711974</v>
      </c>
      <c r="F41" s="10">
        <f t="shared" ref="F41" si="20">E41+CI</f>
        <v>76163.951016875682</v>
      </c>
      <c r="G41" s="10">
        <f t="shared" ref="G41" si="21">MAX(E41-CI,0)</f>
        <v>72515.258406548266</v>
      </c>
      <c r="H41" s="10">
        <f>'dpc-covid19-ita-andamento-naz'!K32</f>
        <v>7503</v>
      </c>
      <c r="I41" s="8">
        <f t="shared" si="17"/>
        <v>7459.0002426149058</v>
      </c>
      <c r="J41" s="10">
        <f t="shared" si="4"/>
        <v>7591.4329198952264</v>
      </c>
      <c r="K41" s="10">
        <f t="shared" si="5"/>
        <v>7326.5675653345852</v>
      </c>
    </row>
    <row r="42" spans="2:17" x14ac:dyDescent="0.3">
      <c r="B42" s="9">
        <v>43916</v>
      </c>
      <c r="C42" s="4">
        <v>36</v>
      </c>
      <c r="D42" s="10">
        <f>'dpc-covid19-ita-andamento-naz'!L33</f>
        <v>80539</v>
      </c>
      <c r="E42" s="8">
        <f t="shared" si="14"/>
        <v>80121.595667649526</v>
      </c>
      <c r="F42" s="10">
        <f t="shared" ref="F42" si="22">E42+CI</f>
        <v>81945.941972813234</v>
      </c>
      <c r="G42" s="10">
        <f t="shared" ref="G42" si="23">MAX(E42-CI,0)</f>
        <v>78297.249362485818</v>
      </c>
      <c r="H42" s="10">
        <f>'dpc-covid19-ita-andamento-naz'!K33</f>
        <v>8165</v>
      </c>
      <c r="I42" s="8">
        <f t="shared" si="17"/>
        <v>8248.4219152171481</v>
      </c>
      <c r="J42" s="10">
        <f t="shared" si="4"/>
        <v>8380.8545924974678</v>
      </c>
      <c r="K42" s="10">
        <f t="shared" si="5"/>
        <v>8115.9892379368275</v>
      </c>
    </row>
    <row r="43" spans="2:17" x14ac:dyDescent="0.3">
      <c r="B43" s="9">
        <v>43917</v>
      </c>
      <c r="C43" s="4">
        <v>37</v>
      </c>
      <c r="D43" s="10">
        <f>'dpc-covid19-ita-andamento-naz'!L34</f>
        <v>86498</v>
      </c>
      <c r="E43" s="8">
        <f t="shared" si="14"/>
        <v>85957.902164171624</v>
      </c>
      <c r="F43" s="10">
        <f t="shared" ref="F43" si="24">E43+CI</f>
        <v>87782.248469335333</v>
      </c>
      <c r="G43" s="10">
        <f t="shared" ref="G43" si="25">MAX(E43-CI,0)</f>
        <v>84133.555859007916</v>
      </c>
      <c r="H43" s="10">
        <f>'dpc-covid19-ita-andamento-naz'!K34</f>
        <v>9134</v>
      </c>
      <c r="I43" s="8">
        <f t="shared" si="17"/>
        <v>9072.8405352882073</v>
      </c>
      <c r="J43" s="10">
        <f t="shared" si="4"/>
        <v>9205.273212568527</v>
      </c>
      <c r="K43" s="10">
        <f t="shared" si="5"/>
        <v>8940.4078580078876</v>
      </c>
    </row>
    <row r="44" spans="2:17" x14ac:dyDescent="0.3">
      <c r="B44" s="9">
        <v>43918</v>
      </c>
      <c r="C44" s="4">
        <v>38</v>
      </c>
      <c r="D44" s="10">
        <f>'dpc-covid19-ita-andamento-naz'!L35</f>
        <v>92472</v>
      </c>
      <c r="E44" s="8">
        <f t="shared" si="14"/>
        <v>91823.621781912458</v>
      </c>
      <c r="F44" s="10">
        <f t="shared" ref="F44" si="26">E44+CI</f>
        <v>93647.968087076166</v>
      </c>
      <c r="G44" s="10">
        <f t="shared" ref="G44" si="27">MAX(E44-CI,0)</f>
        <v>89999.275476748749</v>
      </c>
      <c r="H44" s="10">
        <f>'dpc-covid19-ita-andamento-naz'!K35</f>
        <v>10023</v>
      </c>
      <c r="I44" s="8">
        <f t="shared" si="17"/>
        <v>9929.6533870848289</v>
      </c>
      <c r="J44" s="10">
        <f t="shared" si="4"/>
        <v>10062.086064365149</v>
      </c>
      <c r="K44" s="10">
        <f t="shared" si="5"/>
        <v>9797.2207098045092</v>
      </c>
    </row>
    <row r="45" spans="2:17" x14ac:dyDescent="0.3">
      <c r="B45" s="9">
        <v>43919</v>
      </c>
      <c r="C45" s="4">
        <v>39</v>
      </c>
      <c r="D45" s="10">
        <f>'dpc-covid19-ita-andamento-naz'!L36</f>
        <v>97689</v>
      </c>
      <c r="E45" s="8">
        <f t="shared" si="14"/>
        <v>97694.807460544267</v>
      </c>
      <c r="F45" s="10">
        <f t="shared" ref="F45" si="28">E45+CI</f>
        <v>99519.153765707975</v>
      </c>
      <c r="G45" s="10">
        <f t="shared" ref="G45" si="29">MAX(E45-CI,0)</f>
        <v>95870.461155380559</v>
      </c>
      <c r="H45" s="10">
        <f>'dpc-covid19-ita-andamento-naz'!K36</f>
        <v>10779</v>
      </c>
      <c r="I45" s="8">
        <f t="shared" si="17"/>
        <v>10816.062244095086</v>
      </c>
      <c r="J45" s="10">
        <f t="shared" si="4"/>
        <v>10948.494921375406</v>
      </c>
      <c r="K45" s="10">
        <f t="shared" si="5"/>
        <v>10683.629566814767</v>
      </c>
    </row>
    <row r="46" spans="2:17" x14ac:dyDescent="0.3">
      <c r="B46" s="9">
        <v>43920</v>
      </c>
      <c r="C46" s="4">
        <v>40</v>
      </c>
      <c r="D46" s="10">
        <f>'dpc-covid19-ita-andamento-naz'!L37</f>
        <v>101739</v>
      </c>
      <c r="E46" s="8">
        <f t="shared" si="14"/>
        <v>103548.67409751573</v>
      </c>
      <c r="F46" s="10">
        <f t="shared" ref="F46" si="30">E46+CI</f>
        <v>105373.02040267944</v>
      </c>
      <c r="G46" s="10">
        <f t="shared" ref="G46" si="31">MAX(E46-CI,0)</f>
        <v>101724.32779235202</v>
      </c>
      <c r="H46" s="10">
        <f>'dpc-covid19-ita-andamento-naz'!K37</f>
        <v>11591</v>
      </c>
      <c r="I46" s="8">
        <f t="shared" si="17"/>
        <v>11729.111367905132</v>
      </c>
      <c r="J46" s="10">
        <f t="shared" si="4"/>
        <v>11861.544045185452</v>
      </c>
      <c r="K46" s="10">
        <f t="shared" si="5"/>
        <v>11596.678690624813</v>
      </c>
    </row>
    <row r="47" spans="2:17" x14ac:dyDescent="0.3">
      <c r="B47" s="9">
        <v>43921</v>
      </c>
      <c r="C47" s="4">
        <v>41</v>
      </c>
      <c r="E47" s="8">
        <f t="shared" si="14"/>
        <v>109363.76726195804</v>
      </c>
      <c r="I47" s="8">
        <f t="shared" si="17"/>
        <v>12665.725067553278</v>
      </c>
    </row>
    <row r="48" spans="2:17" x14ac:dyDescent="0.3">
      <c r="B48" s="9">
        <v>43922</v>
      </c>
      <c r="C48" s="4">
        <v>42</v>
      </c>
      <c r="E48" s="8">
        <f t="shared" si="14"/>
        <v>115120.09557332384</v>
      </c>
      <c r="I48" s="8">
        <f t="shared" si="17"/>
        <v>13622.744231248455</v>
      </c>
    </row>
    <row r="49" spans="2:9" x14ac:dyDescent="0.3">
      <c r="B49" s="9">
        <v>43923</v>
      </c>
      <c r="C49" s="4">
        <v>43</v>
      </c>
      <c r="E49" s="8">
        <f t="shared" si="14"/>
        <v>120799.22884800915</v>
      </c>
      <c r="I49" s="8">
        <f t="shared" si="17"/>
        <v>14596.961330975606</v>
      </c>
    </row>
    <row r="50" spans="2:9" x14ac:dyDescent="0.3">
      <c r="B50" s="9">
        <v>43924</v>
      </c>
      <c r="C50" s="4">
        <v>44</v>
      </c>
      <c r="E50" s="8">
        <f t="shared" si="14"/>
        <v>126384.36452766349</v>
      </c>
      <c r="I50" s="8">
        <f t="shared" si="17"/>
        <v>15585.153487996558</v>
      </c>
    </row>
    <row r="51" spans="2:9" x14ac:dyDescent="0.3">
      <c r="B51" s="9">
        <v>43925</v>
      </c>
      <c r="C51" s="4">
        <v>45</v>
      </c>
      <c r="E51" s="8">
        <f t="shared" si="14"/>
        <v>131860.36518565356</v>
      </c>
      <c r="I51" s="8">
        <f t="shared" si="17"/>
        <v>16584.113271592101</v>
      </c>
    </row>
    <row r="52" spans="2:9" x14ac:dyDescent="0.3">
      <c r="B52" s="9">
        <v>43926</v>
      </c>
      <c r="C52" s="4">
        <v>46</v>
      </c>
      <c r="E52" s="8">
        <f t="shared" si="14"/>
        <v>137213.77007936398</v>
      </c>
      <c r="I52" s="8">
        <f t="shared" si="17"/>
        <v>17590.676983033594</v>
      </c>
    </row>
    <row r="53" spans="2:9" x14ac:dyDescent="0.3">
      <c r="B53" s="9">
        <v>43927</v>
      </c>
      <c r="C53" s="4">
        <v>47</v>
      </c>
      <c r="E53" s="8">
        <f t="shared" si="14"/>
        <v>142432.78379181627</v>
      </c>
      <c r="I53" s="8">
        <f t="shared" si="17"/>
        <v>18601.750250575558</v>
      </c>
    </row>
    <row r="54" spans="2:9" x14ac:dyDescent="0.3">
      <c r="B54" s="9">
        <v>43928</v>
      </c>
      <c r="C54" s="4">
        <v>48</v>
      </c>
      <c r="E54" s="8">
        <f t="shared" si="14"/>
        <v>147507.24500202347</v>
      </c>
      <c r="I54" s="8">
        <f t="shared" si="17"/>
        <v>19614.330828435046</v>
      </c>
    </row>
    <row r="55" spans="2:9" x14ac:dyDescent="0.3">
      <c r="B55" s="9">
        <v>43929</v>
      </c>
      <c r="C55" s="4">
        <v>49</v>
      </c>
      <c r="E55" s="8">
        <f t="shared" si="14"/>
        <v>152428.57835422142</v>
      </c>
      <c r="I55" s="8">
        <f t="shared" si="17"/>
        <v>20625.528552789125</v>
      </c>
    </row>
    <row r="56" spans="2:9" x14ac:dyDescent="0.3">
      <c r="B56" s="9">
        <v>43930</v>
      </c>
      <c r="C56" s="4">
        <v>50</v>
      </c>
      <c r="E56" s="8">
        <f t="shared" si="14"/>
        <v>157189.73227516806</v>
      </c>
      <c r="I56" s="8">
        <f t="shared" si="17"/>
        <v>21632.582460557795</v>
      </c>
    </row>
    <row r="57" spans="2:9" x14ac:dyDescent="0.3">
      <c r="B57" s="9">
        <v>43931</v>
      </c>
      <c r="C57" s="4">
        <v>51</v>
      </c>
      <c r="E57" s="8">
        <f t="shared" si="14"/>
        <v>161785.10542822181</v>
      </c>
      <c r="I57" s="8">
        <f t="shared" si="17"/>
        <v>22632.875122143982</v>
      </c>
    </row>
    <row r="58" spans="2:9" x14ac:dyDescent="0.3">
      <c r="B58" s="9">
        <v>43932</v>
      </c>
      <c r="C58" s="4">
        <v>52</v>
      </c>
      <c r="E58" s="8">
        <f t="shared" si="14"/>
        <v>166210.46430379033</v>
      </c>
      <c r="I58" s="8">
        <f t="shared" si="17"/>
        <v>23623.944277548791</v>
      </c>
    </row>
    <row r="59" spans="2:9" x14ac:dyDescent="0.3">
      <c r="B59" s="9">
        <v>43933</v>
      </c>
      <c r="C59" s="4">
        <v>53</v>
      </c>
      <c r="E59" s="8">
        <f t="shared" si="14"/>
        <v>170462.85423735518</v>
      </c>
      <c r="I59" s="8">
        <f t="shared" si="17"/>
        <v>24603.491896677773</v>
      </c>
    </row>
    <row r="60" spans="2:9" x14ac:dyDescent="0.3">
      <c r="B60" s="9">
        <v>43934</v>
      </c>
      <c r="C60" s="4">
        <v>54</v>
      </c>
      <c r="E60" s="8">
        <f t="shared" si="14"/>
        <v>174540.50592673742</v>
      </c>
      <c r="I60" s="8">
        <f t="shared" si="17"/>
        <v>25569.390809618457</v>
      </c>
    </row>
    <row r="61" spans="2:9" x14ac:dyDescent="0.3">
      <c r="B61" s="9">
        <v>43935</v>
      </c>
      <c r="C61" s="4">
        <v>55</v>
      </c>
      <c r="E61" s="8">
        <f t="shared" si="14"/>
        <v>178442.7392963357</v>
      </c>
      <c r="I61" s="8">
        <f t="shared" si="17"/>
        <v>26519.68907168871</v>
      </c>
    </row>
    <row r="62" spans="2:9" x14ac:dyDescent="0.3">
      <c r="B62" s="9">
        <v>43936</v>
      </c>
      <c r="C62" s="4">
        <v>56</v>
      </c>
      <c r="E62" s="8">
        <f t="shared" si="14"/>
        <v>182169.86633332973</v>
      </c>
      <c r="I62" s="8">
        <f t="shared" si="17"/>
        <v>27452.61224166485</v>
      </c>
    </row>
    <row r="63" spans="2:9" x14ac:dyDescent="0.3">
      <c r="B63" s="9">
        <v>43937</v>
      </c>
      <c r="C63" s="4">
        <v>57</v>
      </c>
      <c r="E63" s="8">
        <f t="shared" si="14"/>
        <v>185723.09430376702</v>
      </c>
      <c r="I63" s="8">
        <f t="shared" si="17"/>
        <v>28366.5637603621</v>
      </c>
    </row>
    <row r="64" spans="2:9" x14ac:dyDescent="0.3">
      <c r="B64" s="9">
        <v>43938</v>
      </c>
      <c r="C64" s="4">
        <v>58</v>
      </c>
      <c r="E64" s="8">
        <f t="shared" si="14"/>
        <v>189104.43054853796</v>
      </c>
      <c r="I64" s="8">
        <f t="shared" si="17"/>
        <v>29260.123621228271</v>
      </c>
    </row>
    <row r="65" spans="2:9" x14ac:dyDescent="0.3">
      <c r="B65" s="9">
        <v>43939</v>
      </c>
      <c r="C65" s="4">
        <v>59</v>
      </c>
      <c r="E65" s="8">
        <f t="shared" si="14"/>
        <v>192316.58986310445</v>
      </c>
      <c r="I65" s="8">
        <f t="shared" si="17"/>
        <v>30132.045525387715</v>
      </c>
    </row>
    <row r="66" spans="2:9" x14ac:dyDescent="0.3">
      <c r="B66" s="9">
        <v>43940</v>
      </c>
      <c r="C66" s="4">
        <v>60</v>
      </c>
      <c r="E66" s="8">
        <f t="shared" si="14"/>
        <v>195362.90528233847</v>
      </c>
      <c r="I66" s="8">
        <f t="shared" si="17"/>
        <v>30981.252711184759</v>
      </c>
    </row>
    <row r="67" spans="2:9" x14ac:dyDescent="0.3">
      <c r="B67" s="9">
        <v>43941</v>
      </c>
      <c r="C67" s="4">
        <v>61</v>
      </c>
      <c r="E67" s="8">
        <f t="shared" si="14"/>
        <v>198247.24292416271</v>
      </c>
      <c r="I67" s="8">
        <f t="shared" si="17"/>
        <v>31806.832643242633</v>
      </c>
    </row>
    <row r="68" spans="2:9" x14ac:dyDescent="0.3">
      <c r="B68" s="9">
        <v>43942</v>
      </c>
      <c r="C68" s="4">
        <v>62</v>
      </c>
      <c r="E68" s="8">
        <f t="shared" si="14"/>
        <v>200973.92139351805</v>
      </c>
      <c r="I68" s="8">
        <f t="shared" si="17"/>
        <v>32608.030738858724</v>
      </c>
    </row>
    <row r="69" spans="2:9" x14ac:dyDescent="0.3">
      <c r="B69" s="9">
        <v>43943</v>
      </c>
      <c r="C69" s="4">
        <v>63</v>
      </c>
      <c r="E69" s="8">
        <f t="shared" si="14"/>
        <v>203547.63611172285</v>
      </c>
      <c r="I69" s="8">
        <f t="shared" si="17"/>
        <v>33384.243300652059</v>
      </c>
    </row>
    <row r="70" spans="2:9" x14ac:dyDescent="0.3">
      <c r="B70" s="9">
        <v>43944</v>
      </c>
      <c r="C70" s="4">
        <v>64</v>
      </c>
      <c r="E70" s="8">
        <f t="shared" si="14"/>
        <v>205973.38881537435</v>
      </c>
      <c r="I70" s="8">
        <f t="shared" si="17"/>
        <v>34135.009814165693</v>
      </c>
    </row>
    <row r="71" spans="2:9" x14ac:dyDescent="0.3">
      <c r="B71" s="9"/>
      <c r="C71" s="4"/>
      <c r="E71" s="8"/>
      <c r="I71" s="8"/>
    </row>
    <row r="72" spans="2:9" x14ac:dyDescent="0.3">
      <c r="B72" s="9"/>
      <c r="C72" s="4"/>
      <c r="E72" s="8"/>
      <c r="I72" s="8"/>
    </row>
    <row r="73" spans="2:9" x14ac:dyDescent="0.3">
      <c r="B73" s="9"/>
      <c r="C73" s="4"/>
      <c r="E73" s="8"/>
      <c r="I73" s="8"/>
    </row>
    <row r="74" spans="2:9" x14ac:dyDescent="0.3">
      <c r="B74" s="9"/>
      <c r="C74" s="4"/>
      <c r="E74" s="8"/>
      <c r="I74" s="8"/>
    </row>
    <row r="75" spans="2:9" x14ac:dyDescent="0.3">
      <c r="B75" s="9"/>
      <c r="C75" s="4"/>
      <c r="E75" s="8"/>
      <c r="I75" s="8"/>
    </row>
    <row r="76" spans="2:9" x14ac:dyDescent="0.3">
      <c r="B76" s="9"/>
      <c r="C76" s="4"/>
      <c r="E76" s="8"/>
      <c r="I76" s="8"/>
    </row>
    <row r="77" spans="2:9" x14ac:dyDescent="0.3">
      <c r="B77" s="9"/>
      <c r="C77" s="4"/>
      <c r="E77" s="8"/>
      <c r="I77" s="8"/>
    </row>
    <row r="78" spans="2:9" x14ac:dyDescent="0.3">
      <c r="B78" s="9"/>
      <c r="C78" s="4"/>
      <c r="E78" s="8"/>
      <c r="I78" s="8"/>
    </row>
    <row r="79" spans="2:9" x14ac:dyDescent="0.3">
      <c r="B79" s="9"/>
      <c r="C79" s="4"/>
      <c r="E79" s="8"/>
      <c r="I79" s="8"/>
    </row>
    <row r="80" spans="2:9" x14ac:dyDescent="0.3">
      <c r="B80" s="9"/>
      <c r="C80" s="4"/>
      <c r="E80" s="8"/>
      <c r="I80" s="8"/>
    </row>
    <row r="81" spans="2:9" x14ac:dyDescent="0.3">
      <c r="B81" s="9"/>
      <c r="C81" s="4"/>
      <c r="E81" s="8"/>
      <c r="I81" s="8"/>
    </row>
    <row r="82" spans="2:9" x14ac:dyDescent="0.3">
      <c r="B82" s="9"/>
      <c r="C82" s="4"/>
      <c r="E82" s="8"/>
      <c r="I82" s="8"/>
    </row>
    <row r="83" spans="2:9" x14ac:dyDescent="0.3">
      <c r="B83" s="9"/>
      <c r="C83" s="4"/>
      <c r="E83" s="8"/>
      <c r="I83" s="8"/>
    </row>
    <row r="84" spans="2:9" x14ac:dyDescent="0.3">
      <c r="B84" s="9"/>
      <c r="C84" s="4"/>
      <c r="E84" s="8"/>
      <c r="I84" s="8"/>
    </row>
    <row r="85" spans="2:9" x14ac:dyDescent="0.3">
      <c r="B85" s="9"/>
      <c r="C85" s="4"/>
      <c r="E85" s="8"/>
      <c r="I85" s="8"/>
    </row>
    <row r="86" spans="2:9" x14ac:dyDescent="0.3">
      <c r="B86" s="9"/>
      <c r="C86" s="4"/>
      <c r="E86" s="8"/>
      <c r="I86" s="8"/>
    </row>
    <row r="87" spans="2:9" x14ac:dyDescent="0.3">
      <c r="B87" s="9"/>
      <c r="C87" s="4"/>
      <c r="E87" s="8"/>
      <c r="I87" s="8"/>
    </row>
    <row r="88" spans="2:9" x14ac:dyDescent="0.3">
      <c r="B88" s="9"/>
      <c r="C88" s="4"/>
      <c r="E88" s="8"/>
      <c r="I88" s="8"/>
    </row>
    <row r="89" spans="2:9" x14ac:dyDescent="0.3">
      <c r="B89" s="9"/>
      <c r="C89" s="4"/>
      <c r="E89" s="8"/>
      <c r="I89" s="8"/>
    </row>
    <row r="90" spans="2:9" x14ac:dyDescent="0.3">
      <c r="B90" s="9"/>
      <c r="C90" s="4"/>
      <c r="E90" s="8"/>
      <c r="I90" s="8"/>
    </row>
    <row r="91" spans="2:9" x14ac:dyDescent="0.3">
      <c r="B91" s="9"/>
      <c r="C91" s="4"/>
      <c r="E91" s="8"/>
      <c r="I91" s="8"/>
    </row>
    <row r="92" spans="2:9" x14ac:dyDescent="0.3">
      <c r="B92" s="9"/>
      <c r="C92" s="4"/>
      <c r="E92" s="8"/>
      <c r="I92" s="8"/>
    </row>
    <row r="93" spans="2:9" x14ac:dyDescent="0.3">
      <c r="B93" s="9"/>
      <c r="C93" s="4"/>
      <c r="E93" s="8"/>
      <c r="I93" s="8"/>
    </row>
    <row r="94" spans="2:9" x14ac:dyDescent="0.3">
      <c r="B94" s="9"/>
      <c r="C94" s="4"/>
      <c r="E94" s="8"/>
      <c r="I94" s="8"/>
    </row>
    <row r="95" spans="2:9" x14ac:dyDescent="0.3">
      <c r="B95" s="9"/>
      <c r="C95" s="4"/>
      <c r="E95" s="8"/>
      <c r="I95" s="8"/>
    </row>
    <row r="96" spans="2:9" x14ac:dyDescent="0.3">
      <c r="B96" s="9"/>
      <c r="C96" s="4"/>
      <c r="E96" s="8"/>
      <c r="I96" s="8"/>
    </row>
    <row r="97" spans="2:9" x14ac:dyDescent="0.3">
      <c r="B97" s="9"/>
      <c r="C97" s="4"/>
      <c r="E97" s="8"/>
      <c r="I97" s="8"/>
    </row>
    <row r="98" spans="2:9" x14ac:dyDescent="0.3">
      <c r="B98" s="9"/>
      <c r="C98" s="4"/>
      <c r="E98" s="8"/>
      <c r="I98" s="8"/>
    </row>
    <row r="99" spans="2:9" x14ac:dyDescent="0.3">
      <c r="B99" s="9"/>
      <c r="C99" s="4"/>
      <c r="E99" s="8"/>
      <c r="I99" s="8"/>
    </row>
    <row r="100" spans="2:9" x14ac:dyDescent="0.3">
      <c r="B100" s="9"/>
      <c r="C100" s="4"/>
      <c r="E100" s="8"/>
      <c r="I100" s="8"/>
    </row>
    <row r="101" spans="2:9" x14ac:dyDescent="0.3">
      <c r="B101" s="9"/>
      <c r="C101" s="4"/>
      <c r="E101" s="8"/>
      <c r="I101" s="8"/>
    </row>
    <row r="102" spans="2:9" x14ac:dyDescent="0.3">
      <c r="B102" s="9"/>
      <c r="C102" s="4"/>
      <c r="E102" s="8"/>
      <c r="I102" s="8"/>
    </row>
    <row r="103" spans="2:9" x14ac:dyDescent="0.3">
      <c r="B103" s="9"/>
      <c r="C103" s="4"/>
      <c r="E103" s="8"/>
      <c r="I103" s="8"/>
    </row>
    <row r="104" spans="2:9" x14ac:dyDescent="0.3">
      <c r="B104" s="9"/>
      <c r="C104" s="4"/>
      <c r="E104" s="8"/>
      <c r="I104" s="8"/>
    </row>
    <row r="105" spans="2:9" x14ac:dyDescent="0.3">
      <c r="B105" s="9"/>
      <c r="C105" s="4"/>
      <c r="E105" s="8"/>
      <c r="I105" s="8"/>
    </row>
    <row r="106" spans="2:9" x14ac:dyDescent="0.3">
      <c r="B106" s="9"/>
      <c r="C106" s="4"/>
      <c r="E106" s="8"/>
      <c r="I106" s="8"/>
    </row>
    <row r="107" spans="2:9" x14ac:dyDescent="0.3">
      <c r="B107" s="9"/>
      <c r="C107" s="4"/>
      <c r="E107" s="8"/>
      <c r="I107" s="8"/>
    </row>
    <row r="108" spans="2:9" x14ac:dyDescent="0.3">
      <c r="B108" s="9"/>
      <c r="C108" s="4"/>
      <c r="E108" s="8"/>
      <c r="I108" s="8"/>
    </row>
    <row r="109" spans="2:9" x14ac:dyDescent="0.3">
      <c r="B109" s="9"/>
      <c r="C109" s="4"/>
      <c r="E109" s="8"/>
      <c r="I109" s="8"/>
    </row>
    <row r="110" spans="2:9" x14ac:dyDescent="0.3">
      <c r="B110" s="9"/>
      <c r="C110" s="4"/>
      <c r="E110" s="8"/>
      <c r="I110" s="8"/>
    </row>
    <row r="111" spans="2:9" x14ac:dyDescent="0.3">
      <c r="B111" s="9"/>
      <c r="C111" s="4"/>
      <c r="E111" s="8"/>
      <c r="I111" s="8"/>
    </row>
    <row r="112" spans="2:9" x14ac:dyDescent="0.3">
      <c r="B112" s="9"/>
      <c r="C112" s="4"/>
      <c r="E112" s="8"/>
      <c r="I112" s="8"/>
    </row>
    <row r="113" spans="2:9" x14ac:dyDescent="0.3">
      <c r="B113" s="9"/>
      <c r="C113" s="4"/>
      <c r="E113" s="8"/>
      <c r="I113" s="8"/>
    </row>
    <row r="114" spans="2:9" x14ac:dyDescent="0.3">
      <c r="B114" s="9"/>
      <c r="C114" s="4"/>
      <c r="E114" s="8"/>
      <c r="I114" s="8"/>
    </row>
    <row r="115" spans="2:9" x14ac:dyDescent="0.3">
      <c r="B115" s="9"/>
      <c r="C115" s="4"/>
      <c r="E115" s="8"/>
      <c r="I115" s="8"/>
    </row>
    <row r="116" spans="2:9" x14ac:dyDescent="0.3">
      <c r="B116" s="9"/>
      <c r="C116" s="4"/>
      <c r="E116" s="8"/>
      <c r="I116" s="8"/>
    </row>
    <row r="117" spans="2:9" x14ac:dyDescent="0.3">
      <c r="B117" s="9"/>
      <c r="C117" s="4"/>
      <c r="E117" s="8"/>
      <c r="I117" s="8"/>
    </row>
    <row r="118" spans="2:9" x14ac:dyDescent="0.3">
      <c r="B118" s="9"/>
      <c r="C118" s="4"/>
      <c r="E118" s="8"/>
      <c r="I118" s="8"/>
    </row>
    <row r="119" spans="2:9" x14ac:dyDescent="0.3">
      <c r="B119" s="9"/>
      <c r="C119" s="4"/>
      <c r="E119" s="8"/>
      <c r="I119" s="8"/>
    </row>
    <row r="120" spans="2:9" x14ac:dyDescent="0.3">
      <c r="B120" s="9"/>
      <c r="C120" s="4"/>
      <c r="E120" s="8"/>
      <c r="I120" s="8"/>
    </row>
    <row r="121" spans="2:9" x14ac:dyDescent="0.3">
      <c r="B121" s="9"/>
      <c r="C121" s="4"/>
      <c r="E121" s="8"/>
      <c r="I121" s="8"/>
    </row>
    <row r="122" spans="2:9" x14ac:dyDescent="0.3">
      <c r="B122" s="9"/>
      <c r="C122" s="4"/>
      <c r="E122" s="8"/>
      <c r="I122" s="8"/>
    </row>
    <row r="123" spans="2:9" x14ac:dyDescent="0.3">
      <c r="B123" s="9"/>
      <c r="C123" s="4"/>
      <c r="E123" s="8"/>
      <c r="I123" s="8"/>
    </row>
    <row r="124" spans="2:9" x14ac:dyDescent="0.3">
      <c r="B124" s="9"/>
      <c r="C124" s="4"/>
      <c r="E124" s="8"/>
      <c r="I124" s="8"/>
    </row>
    <row r="125" spans="2:9" x14ac:dyDescent="0.3">
      <c r="B125" s="9"/>
      <c r="C125" s="4"/>
      <c r="E125" s="8"/>
      <c r="I125" s="8"/>
    </row>
    <row r="126" spans="2:9" x14ac:dyDescent="0.3">
      <c r="B126" s="9"/>
      <c r="C126" s="4"/>
      <c r="E126" s="8"/>
      <c r="I126" s="8"/>
    </row>
    <row r="127" spans="2:9" x14ac:dyDescent="0.3">
      <c r="B127" s="9"/>
      <c r="C127" s="4"/>
      <c r="E127" s="8"/>
      <c r="I127" s="8"/>
    </row>
    <row r="128" spans="2:9" x14ac:dyDescent="0.3">
      <c r="B128" s="9"/>
      <c r="C128" s="4"/>
      <c r="E128" s="8"/>
      <c r="I128" s="8"/>
    </row>
    <row r="129" spans="2:9" x14ac:dyDescent="0.3">
      <c r="B129" s="9"/>
      <c r="C129" s="4"/>
      <c r="E129" s="8"/>
      <c r="I129" s="8"/>
    </row>
    <row r="130" spans="2:9" x14ac:dyDescent="0.3">
      <c r="B130" s="9"/>
      <c r="C130" s="4"/>
      <c r="E130" s="8"/>
      <c r="I130" s="8"/>
    </row>
    <row r="131" spans="2:9" x14ac:dyDescent="0.3">
      <c r="B131" s="9"/>
      <c r="C131" s="4"/>
      <c r="E131" s="8"/>
      <c r="I131" s="8"/>
    </row>
    <row r="132" spans="2:9" x14ac:dyDescent="0.3">
      <c r="B132" s="9"/>
      <c r="C132" s="4"/>
      <c r="E132" s="8"/>
      <c r="I132" s="8"/>
    </row>
    <row r="133" spans="2:9" x14ac:dyDescent="0.3">
      <c r="B133" s="9"/>
      <c r="C133" s="4"/>
      <c r="E133" s="8"/>
      <c r="I133" s="8"/>
    </row>
    <row r="134" spans="2:9" x14ac:dyDescent="0.3">
      <c r="B134" s="9"/>
      <c r="C134" s="4"/>
      <c r="E134" s="8"/>
      <c r="I134" s="8"/>
    </row>
    <row r="135" spans="2:9" x14ac:dyDescent="0.3">
      <c r="B135" s="9"/>
      <c r="C135" s="4"/>
      <c r="E135" s="8"/>
      <c r="I135" s="8"/>
    </row>
    <row r="136" spans="2:9" x14ac:dyDescent="0.3">
      <c r="B136" s="9"/>
      <c r="C136" s="4"/>
      <c r="E136" s="8"/>
      <c r="I136" s="8"/>
    </row>
    <row r="137" spans="2:9" x14ac:dyDescent="0.3">
      <c r="B137" s="9"/>
      <c r="C137" s="4"/>
      <c r="E137" s="8"/>
      <c r="I137" s="8"/>
    </row>
    <row r="138" spans="2:9" x14ac:dyDescent="0.3">
      <c r="B138" s="9"/>
      <c r="C138" s="4"/>
      <c r="E138" s="8"/>
      <c r="I138" s="8"/>
    </row>
    <row r="139" spans="2:9" x14ac:dyDescent="0.3">
      <c r="B139" s="9"/>
      <c r="C139" s="4"/>
      <c r="E139" s="8"/>
      <c r="I139" s="8"/>
    </row>
    <row r="140" spans="2:9" x14ac:dyDescent="0.3">
      <c r="B140" s="9"/>
      <c r="C140" s="4"/>
      <c r="E140" s="8"/>
      <c r="I140" s="8"/>
    </row>
    <row r="141" spans="2:9" x14ac:dyDescent="0.3">
      <c r="B141" s="9"/>
      <c r="C141" s="4"/>
      <c r="E141" s="8"/>
      <c r="I141" s="8"/>
    </row>
    <row r="142" spans="2:9" x14ac:dyDescent="0.3">
      <c r="B142" s="9"/>
      <c r="C142" s="4"/>
      <c r="E142" s="8"/>
      <c r="I142" s="8"/>
    </row>
    <row r="143" spans="2:9" x14ac:dyDescent="0.3">
      <c r="B143" s="9"/>
      <c r="C143" s="4"/>
      <c r="E143" s="8"/>
      <c r="I143" s="8"/>
    </row>
    <row r="144" spans="2:9" x14ac:dyDescent="0.3">
      <c r="B144" s="9"/>
      <c r="C144" s="4"/>
      <c r="E144" s="8"/>
      <c r="I144" s="8"/>
    </row>
    <row r="145" spans="2:9" x14ac:dyDescent="0.3">
      <c r="B145" s="9"/>
      <c r="C145" s="4"/>
      <c r="E145" s="8"/>
      <c r="I145" s="8"/>
    </row>
    <row r="146" spans="2:9" x14ac:dyDescent="0.3">
      <c r="B146" s="9"/>
      <c r="C146" s="4"/>
      <c r="E146" s="8"/>
      <c r="I146" s="8"/>
    </row>
    <row r="147" spans="2:9" x14ac:dyDescent="0.3">
      <c r="B147" s="9"/>
      <c r="C147" s="4"/>
      <c r="E147" s="8"/>
      <c r="I147" s="8"/>
    </row>
    <row r="148" spans="2:9" x14ac:dyDescent="0.3">
      <c r="B148" s="9"/>
      <c r="C148" s="4"/>
      <c r="E148" s="8"/>
      <c r="I148" s="8"/>
    </row>
    <row r="149" spans="2:9" x14ac:dyDescent="0.3">
      <c r="B149" s="9"/>
      <c r="C149" s="4"/>
      <c r="E149" s="8"/>
      <c r="I149" s="8"/>
    </row>
    <row r="150" spans="2:9" x14ac:dyDescent="0.3">
      <c r="B150" s="9"/>
      <c r="C150" s="4"/>
      <c r="E150" s="8"/>
      <c r="I150" s="8"/>
    </row>
    <row r="151" spans="2:9" x14ac:dyDescent="0.3">
      <c r="B151" s="9"/>
      <c r="C151" s="4"/>
      <c r="E151" s="8"/>
      <c r="I151" s="8"/>
    </row>
    <row r="152" spans="2:9" x14ac:dyDescent="0.3">
      <c r="B152" s="9"/>
      <c r="C152" s="4"/>
      <c r="E152" s="8"/>
      <c r="I152" s="8"/>
    </row>
    <row r="153" spans="2:9" x14ac:dyDescent="0.3">
      <c r="B153" s="9"/>
      <c r="C153" s="4"/>
      <c r="E153" s="8"/>
      <c r="I153" s="8"/>
    </row>
    <row r="154" spans="2:9" x14ac:dyDescent="0.3">
      <c r="B154" s="9"/>
      <c r="C154" s="4"/>
      <c r="E154" s="8"/>
      <c r="I154" s="8"/>
    </row>
    <row r="155" spans="2:9" x14ac:dyDescent="0.3">
      <c r="B155" s="9"/>
      <c r="C155" s="4"/>
      <c r="E155" s="8"/>
      <c r="I155" s="8"/>
    </row>
    <row r="156" spans="2:9" x14ac:dyDescent="0.3">
      <c r="B156" s="9"/>
      <c r="C156" s="4"/>
      <c r="E156" s="8"/>
      <c r="I156" s="8"/>
    </row>
    <row r="157" spans="2:9" x14ac:dyDescent="0.3">
      <c r="B157" s="9"/>
      <c r="C157" s="4"/>
      <c r="E157" s="8"/>
      <c r="I157" s="8"/>
    </row>
    <row r="158" spans="2:9" x14ac:dyDescent="0.3">
      <c r="B158" s="9"/>
      <c r="C158" s="4"/>
      <c r="E158" s="8"/>
      <c r="I158" s="8"/>
    </row>
    <row r="159" spans="2:9" x14ac:dyDescent="0.3">
      <c r="B159" s="9"/>
      <c r="C159" s="4"/>
      <c r="E159" s="8"/>
      <c r="I159" s="8"/>
    </row>
    <row r="160" spans="2:9" x14ac:dyDescent="0.3">
      <c r="B160" s="9"/>
      <c r="C160" s="4"/>
      <c r="E160" s="8"/>
      <c r="I160" s="8"/>
    </row>
    <row r="161" spans="2:9" x14ac:dyDescent="0.3">
      <c r="B161" s="9"/>
      <c r="C161" s="4"/>
      <c r="E161" s="8"/>
      <c r="I161" s="8"/>
    </row>
    <row r="162" spans="2:9" x14ac:dyDescent="0.3">
      <c r="B162" s="9"/>
      <c r="C162" s="4"/>
      <c r="E162" s="8"/>
      <c r="I162" s="8"/>
    </row>
    <row r="163" spans="2:9" x14ac:dyDescent="0.3">
      <c r="B163" s="9"/>
      <c r="C163" s="4"/>
      <c r="E163" s="8"/>
      <c r="I163" s="8"/>
    </row>
    <row r="164" spans="2:9" x14ac:dyDescent="0.3">
      <c r="B164" s="9"/>
      <c r="C164" s="4"/>
      <c r="E164" s="8"/>
      <c r="I164" s="8"/>
    </row>
    <row r="165" spans="2:9" x14ac:dyDescent="0.3">
      <c r="B165" s="9"/>
      <c r="C165" s="4"/>
      <c r="E165" s="8"/>
      <c r="I165" s="8"/>
    </row>
    <row r="166" spans="2:9" x14ac:dyDescent="0.3">
      <c r="B166" s="9"/>
      <c r="C166" s="4"/>
      <c r="E166" s="8"/>
      <c r="I166" s="8"/>
    </row>
    <row r="167" spans="2:9" x14ac:dyDescent="0.3">
      <c r="B167" s="9"/>
      <c r="C167" s="4"/>
      <c r="E167" s="8"/>
      <c r="I167" s="8"/>
    </row>
    <row r="168" spans="2:9" x14ac:dyDescent="0.3">
      <c r="B168" s="9"/>
      <c r="C168" s="4"/>
      <c r="E168" s="8"/>
      <c r="I168" s="8"/>
    </row>
    <row r="169" spans="2:9" x14ac:dyDescent="0.3">
      <c r="B169" s="9"/>
      <c r="C169" s="4"/>
      <c r="E169" s="8"/>
      <c r="I169" s="8"/>
    </row>
    <row r="170" spans="2:9" x14ac:dyDescent="0.3">
      <c r="B170" s="9"/>
      <c r="C170" s="4"/>
      <c r="E170" s="8"/>
      <c r="I170" s="8"/>
    </row>
    <row r="171" spans="2:9" x14ac:dyDescent="0.3">
      <c r="B171" s="9"/>
      <c r="C171" s="4"/>
      <c r="E171" s="8"/>
      <c r="I171" s="8"/>
    </row>
    <row r="172" spans="2:9" x14ac:dyDescent="0.3">
      <c r="B172" s="9"/>
      <c r="C172" s="4"/>
      <c r="E172" s="8"/>
      <c r="I172" s="8"/>
    </row>
    <row r="173" spans="2:9" x14ac:dyDescent="0.3">
      <c r="B173" s="9"/>
      <c r="C173" s="4"/>
      <c r="E173" s="8"/>
      <c r="I173" s="8"/>
    </row>
    <row r="174" spans="2:9" x14ac:dyDescent="0.3">
      <c r="B174" s="9"/>
      <c r="C174" s="4"/>
      <c r="E174" s="8"/>
      <c r="I174" s="8"/>
    </row>
    <row r="175" spans="2:9" x14ac:dyDescent="0.3">
      <c r="B175" s="9"/>
      <c r="C175" s="4"/>
      <c r="E175" s="8"/>
      <c r="I175" s="8"/>
    </row>
    <row r="176" spans="2:9" x14ac:dyDescent="0.3">
      <c r="B176" s="9"/>
      <c r="C176" s="4"/>
      <c r="E176" s="8"/>
      <c r="I176" s="8"/>
    </row>
    <row r="177" spans="2:9" x14ac:dyDescent="0.3">
      <c r="B177" s="9"/>
      <c r="C177" s="4"/>
      <c r="E177" s="8"/>
      <c r="I177" s="8"/>
    </row>
    <row r="178" spans="2:9" x14ac:dyDescent="0.3">
      <c r="B178" s="9"/>
      <c r="C178" s="4"/>
      <c r="E178" s="8"/>
      <c r="I178" s="8"/>
    </row>
    <row r="179" spans="2:9" x14ac:dyDescent="0.3">
      <c r="B179" s="9"/>
      <c r="C179" s="4"/>
      <c r="E179" s="8"/>
      <c r="I179" s="8"/>
    </row>
    <row r="180" spans="2:9" x14ac:dyDescent="0.3">
      <c r="B180" s="9"/>
      <c r="C180" s="4"/>
      <c r="E180" s="8"/>
      <c r="I180" s="8"/>
    </row>
    <row r="181" spans="2:9" x14ac:dyDescent="0.3">
      <c r="B181" s="9"/>
      <c r="C181" s="4"/>
      <c r="E181" s="8"/>
      <c r="I181" s="8"/>
    </row>
    <row r="182" spans="2:9" x14ac:dyDescent="0.3">
      <c r="B182" s="9"/>
      <c r="C182" s="4"/>
      <c r="E182" s="8"/>
      <c r="I182" s="8"/>
    </row>
    <row r="183" spans="2:9" x14ac:dyDescent="0.3">
      <c r="B183" s="9"/>
      <c r="C183" s="4"/>
      <c r="E183" s="8"/>
      <c r="I183" s="8"/>
    </row>
    <row r="184" spans="2:9" x14ac:dyDescent="0.3">
      <c r="B184" s="9"/>
      <c r="C184" s="4"/>
      <c r="E184" s="8"/>
      <c r="I184" s="8"/>
    </row>
    <row r="185" spans="2:9" x14ac:dyDescent="0.3">
      <c r="B185" s="9"/>
      <c r="C185" s="4"/>
      <c r="E185" s="8"/>
      <c r="I185" s="8"/>
    </row>
    <row r="186" spans="2:9" x14ac:dyDescent="0.3">
      <c r="B186" s="9"/>
      <c r="C186" s="4"/>
      <c r="E186" s="8"/>
      <c r="I186" s="8"/>
    </row>
    <row r="187" spans="2:9" x14ac:dyDescent="0.3">
      <c r="B187" s="9"/>
      <c r="C187" s="4"/>
      <c r="E187" s="8"/>
      <c r="I187" s="8"/>
    </row>
    <row r="188" spans="2:9" x14ac:dyDescent="0.3">
      <c r="B188" s="9"/>
      <c r="C188" s="4"/>
      <c r="E188" s="8"/>
      <c r="I188" s="8"/>
    </row>
    <row r="189" spans="2:9" x14ac:dyDescent="0.3">
      <c r="B189" s="9"/>
      <c r="C189" s="4"/>
      <c r="E189" s="8"/>
      <c r="I189" s="8"/>
    </row>
    <row r="190" spans="2:9" x14ac:dyDescent="0.3">
      <c r="B190" s="9"/>
      <c r="C190" s="4"/>
      <c r="E190" s="8"/>
      <c r="I190" s="8"/>
    </row>
    <row r="191" spans="2:9" x14ac:dyDescent="0.3">
      <c r="B191" s="9"/>
      <c r="C191" s="4"/>
      <c r="E191" s="8"/>
      <c r="I191" s="8"/>
    </row>
    <row r="192" spans="2:9" x14ac:dyDescent="0.3">
      <c r="B192" s="9"/>
      <c r="C192" s="4"/>
      <c r="E192" s="8"/>
      <c r="I192" s="8"/>
    </row>
    <row r="193" spans="2:9" x14ac:dyDescent="0.3">
      <c r="B193" s="9"/>
      <c r="C193" s="4"/>
      <c r="E193" s="8"/>
      <c r="I193" s="8"/>
    </row>
    <row r="194" spans="2:9" x14ac:dyDescent="0.3">
      <c r="B194" s="9"/>
      <c r="C194" s="4"/>
      <c r="E194" s="8"/>
      <c r="I194" s="8"/>
    </row>
    <row r="195" spans="2:9" x14ac:dyDescent="0.3">
      <c r="B195" s="9"/>
      <c r="C195" s="4"/>
      <c r="E195" s="8"/>
      <c r="I195" s="8"/>
    </row>
    <row r="196" spans="2:9" x14ac:dyDescent="0.3">
      <c r="B196" s="9"/>
      <c r="C196" s="4"/>
      <c r="E196" s="8"/>
      <c r="I196" s="8"/>
    </row>
    <row r="197" spans="2:9" x14ac:dyDescent="0.3">
      <c r="B197" s="9"/>
      <c r="C197" s="4"/>
      <c r="E197" s="8"/>
      <c r="I197" s="8"/>
    </row>
    <row r="198" spans="2:9" x14ac:dyDescent="0.3">
      <c r="B198" s="9"/>
      <c r="C198" s="4"/>
      <c r="E198" s="8"/>
      <c r="I198" s="8"/>
    </row>
    <row r="199" spans="2:9" x14ac:dyDescent="0.3">
      <c r="B199" s="9"/>
      <c r="C199" s="4"/>
      <c r="E199" s="8"/>
      <c r="I199" s="8"/>
    </row>
    <row r="200" spans="2:9" x14ac:dyDescent="0.3">
      <c r="B200" s="9"/>
      <c r="C200" s="4"/>
      <c r="E200" s="8"/>
      <c r="I200" s="8"/>
    </row>
    <row r="201" spans="2:9" x14ac:dyDescent="0.3">
      <c r="B201" s="9"/>
      <c r="C201" s="4"/>
      <c r="E201" s="8"/>
      <c r="I201" s="8"/>
    </row>
    <row r="202" spans="2:9" x14ac:dyDescent="0.3">
      <c r="B202" s="9"/>
      <c r="C202" s="4"/>
      <c r="E202" s="8"/>
      <c r="I202" s="8"/>
    </row>
    <row r="203" spans="2:9" x14ac:dyDescent="0.3">
      <c r="B203" s="9"/>
      <c r="C203" s="4"/>
      <c r="E203" s="8"/>
      <c r="I203" s="8"/>
    </row>
    <row r="204" spans="2:9" x14ac:dyDescent="0.3">
      <c r="B204" s="9"/>
      <c r="C204" s="4"/>
      <c r="E204" s="8"/>
      <c r="I204" s="8"/>
    </row>
    <row r="205" spans="2:9" x14ac:dyDescent="0.3">
      <c r="B205" s="9"/>
      <c r="C205" s="4"/>
      <c r="E205" s="8"/>
      <c r="I205" s="8"/>
    </row>
    <row r="206" spans="2:9" x14ac:dyDescent="0.3">
      <c r="B206" s="9"/>
      <c r="C206" s="4"/>
      <c r="E206" s="8"/>
      <c r="I206" s="8"/>
    </row>
    <row r="207" spans="2:9" x14ac:dyDescent="0.3">
      <c r="B207" s="9"/>
      <c r="C207" s="4"/>
      <c r="E207" s="8"/>
      <c r="I207" s="8"/>
    </row>
    <row r="208" spans="2:9" x14ac:dyDescent="0.3">
      <c r="B208" s="9"/>
      <c r="C208" s="4"/>
      <c r="E208" s="8"/>
      <c r="I208" s="8"/>
    </row>
    <row r="209" spans="2:9" x14ac:dyDescent="0.3">
      <c r="B209" s="9"/>
      <c r="C209" s="4"/>
      <c r="E209" s="8"/>
      <c r="I209" s="8"/>
    </row>
    <row r="210" spans="2:9" x14ac:dyDescent="0.3">
      <c r="B210" s="9"/>
      <c r="C210" s="4"/>
      <c r="E210" s="8"/>
      <c r="I210" s="8"/>
    </row>
    <row r="211" spans="2:9" x14ac:dyDescent="0.3">
      <c r="B211" s="9"/>
      <c r="C211" s="4"/>
      <c r="E211" s="8"/>
      <c r="I211" s="8"/>
    </row>
    <row r="212" spans="2:9" x14ac:dyDescent="0.3">
      <c r="B212" s="9"/>
      <c r="C212" s="4"/>
      <c r="E212" s="8"/>
      <c r="I212" s="8"/>
    </row>
    <row r="213" spans="2:9" x14ac:dyDescent="0.3">
      <c r="B213" s="9"/>
      <c r="C213" s="4"/>
      <c r="E213" s="8"/>
      <c r="I213" s="8"/>
    </row>
    <row r="214" spans="2:9" x14ac:dyDescent="0.3">
      <c r="B214" s="9"/>
      <c r="C214" s="4"/>
      <c r="E214" s="8"/>
      <c r="I214" s="8"/>
    </row>
    <row r="215" spans="2:9" x14ac:dyDescent="0.3">
      <c r="B215" s="9"/>
      <c r="C215" s="4"/>
      <c r="E215" s="8"/>
      <c r="I215" s="8"/>
    </row>
    <row r="216" spans="2:9" x14ac:dyDescent="0.3">
      <c r="B216" s="9"/>
      <c r="C216" s="4"/>
      <c r="E216" s="8"/>
      <c r="I216" s="8"/>
    </row>
    <row r="217" spans="2:9" x14ac:dyDescent="0.3">
      <c r="B217" s="9"/>
      <c r="C217" s="4"/>
      <c r="E217" s="8"/>
      <c r="I217" s="8"/>
    </row>
    <row r="218" spans="2:9" x14ac:dyDescent="0.3">
      <c r="B218" s="9"/>
      <c r="C218" s="4"/>
      <c r="E218" s="8"/>
      <c r="I218" s="8"/>
    </row>
    <row r="219" spans="2:9" x14ac:dyDescent="0.3">
      <c r="B219" s="9"/>
      <c r="C219" s="4"/>
      <c r="E219" s="8"/>
      <c r="I219" s="8"/>
    </row>
    <row r="220" spans="2:9" x14ac:dyDescent="0.3">
      <c r="B220" s="9"/>
      <c r="C220" s="4"/>
      <c r="E220" s="8"/>
      <c r="I220" s="8"/>
    </row>
    <row r="221" spans="2:9" x14ac:dyDescent="0.3">
      <c r="B221" s="9"/>
      <c r="C221" s="4"/>
      <c r="E221" s="8"/>
      <c r="I221" s="8"/>
    </row>
    <row r="222" spans="2:9" x14ac:dyDescent="0.3">
      <c r="B222" s="9"/>
      <c r="C222" s="4"/>
      <c r="E222" s="8"/>
      <c r="I222" s="8"/>
    </row>
    <row r="223" spans="2:9" x14ac:dyDescent="0.3">
      <c r="B223" s="9"/>
      <c r="C223" s="4"/>
      <c r="E223" s="8"/>
      <c r="I223" s="8"/>
    </row>
    <row r="224" spans="2:9" x14ac:dyDescent="0.3">
      <c r="B224" s="9"/>
      <c r="C224" s="4"/>
      <c r="E224" s="8"/>
      <c r="I224" s="8"/>
    </row>
    <row r="225" spans="2:9" x14ac:dyDescent="0.3">
      <c r="B225" s="9"/>
      <c r="C225" s="4"/>
      <c r="E225" s="8"/>
      <c r="I225" s="8"/>
    </row>
    <row r="226" spans="2:9" x14ac:dyDescent="0.3">
      <c r="B226" s="9"/>
      <c r="C226" s="4"/>
      <c r="E226" s="8"/>
      <c r="I226" s="8"/>
    </row>
    <row r="227" spans="2:9" x14ac:dyDescent="0.3">
      <c r="B227" s="9"/>
      <c r="C227" s="4"/>
      <c r="E227" s="8"/>
      <c r="I227" s="8"/>
    </row>
    <row r="228" spans="2:9" x14ac:dyDescent="0.3">
      <c r="B228" s="9"/>
      <c r="C228" s="4"/>
      <c r="E228" s="8"/>
      <c r="I228" s="8"/>
    </row>
    <row r="229" spans="2:9" x14ac:dyDescent="0.3">
      <c r="B229" s="9"/>
      <c r="C229" s="4"/>
      <c r="E229" s="8"/>
      <c r="I229" s="8"/>
    </row>
    <row r="230" spans="2:9" x14ac:dyDescent="0.3">
      <c r="B230" s="9"/>
      <c r="C230" s="4"/>
      <c r="E230" s="8"/>
      <c r="I230" s="8"/>
    </row>
    <row r="231" spans="2:9" x14ac:dyDescent="0.3">
      <c r="B231" s="9"/>
      <c r="C231" s="4"/>
      <c r="E231" s="8"/>
      <c r="I231" s="8"/>
    </row>
    <row r="232" spans="2:9" x14ac:dyDescent="0.3">
      <c r="B232" s="9"/>
      <c r="C232" s="4"/>
      <c r="E232" s="8"/>
      <c r="I232" s="8"/>
    </row>
    <row r="233" spans="2:9" x14ac:dyDescent="0.3">
      <c r="B233" s="9"/>
      <c r="C233" s="4"/>
      <c r="E233" s="8"/>
      <c r="I233" s="8"/>
    </row>
    <row r="234" spans="2:9" x14ac:dyDescent="0.3">
      <c r="B234" s="9"/>
      <c r="C234" s="4"/>
      <c r="E234" s="8"/>
      <c r="I234" s="8"/>
    </row>
    <row r="235" spans="2:9" x14ac:dyDescent="0.3">
      <c r="B235" s="9"/>
      <c r="C235" s="4"/>
      <c r="E235" s="8"/>
      <c r="I235" s="8"/>
    </row>
    <row r="236" spans="2:9" x14ac:dyDescent="0.3">
      <c r="B236" s="9"/>
      <c r="C236" s="4"/>
      <c r="E236" s="8"/>
      <c r="I236" s="8"/>
    </row>
    <row r="237" spans="2:9" x14ac:dyDescent="0.3">
      <c r="B237" s="9"/>
      <c r="C237" s="4"/>
      <c r="E237" s="8"/>
      <c r="I237" s="8"/>
    </row>
    <row r="238" spans="2:9" x14ac:dyDescent="0.3">
      <c r="B238" s="9"/>
      <c r="C238" s="4"/>
      <c r="E238" s="8"/>
      <c r="I238" s="8"/>
    </row>
    <row r="239" spans="2:9" x14ac:dyDescent="0.3">
      <c r="B239" s="9"/>
      <c r="C239" s="4"/>
      <c r="E239" s="8"/>
      <c r="I239" s="8"/>
    </row>
    <row r="240" spans="2:9" x14ac:dyDescent="0.3">
      <c r="B240" s="9"/>
      <c r="C240" s="4"/>
      <c r="E240" s="8"/>
      <c r="I240" s="8"/>
    </row>
    <row r="241" spans="2:9" x14ac:dyDescent="0.3">
      <c r="B241" s="9"/>
      <c r="C241" s="4"/>
      <c r="E241" s="8"/>
      <c r="I241" s="8"/>
    </row>
    <row r="242" spans="2:9" x14ac:dyDescent="0.3">
      <c r="B242" s="9"/>
      <c r="C242" s="4"/>
      <c r="E242" s="8"/>
      <c r="I242" s="8"/>
    </row>
    <row r="243" spans="2:9" x14ac:dyDescent="0.3">
      <c r="B243" s="9"/>
      <c r="C243" s="4"/>
      <c r="E243" s="8"/>
      <c r="I243" s="8"/>
    </row>
    <row r="244" spans="2:9" x14ac:dyDescent="0.3">
      <c r="B244" s="9"/>
      <c r="C244" s="4"/>
      <c r="E244" s="8"/>
      <c r="I244" s="8"/>
    </row>
    <row r="245" spans="2:9" x14ac:dyDescent="0.3">
      <c r="B245" s="9"/>
      <c r="C245" s="4"/>
      <c r="E245" s="8"/>
      <c r="I245" s="8"/>
    </row>
    <row r="246" spans="2:9" x14ac:dyDescent="0.3">
      <c r="B246" s="9"/>
      <c r="C246" s="4"/>
      <c r="E246" s="8"/>
      <c r="I246" s="8"/>
    </row>
    <row r="247" spans="2:9" x14ac:dyDescent="0.3">
      <c r="B247" s="9"/>
      <c r="C247" s="4"/>
      <c r="E247" s="8"/>
      <c r="I247" s="8"/>
    </row>
    <row r="248" spans="2:9" x14ac:dyDescent="0.3">
      <c r="B248" s="9"/>
      <c r="C248" s="4"/>
      <c r="E248" s="8"/>
      <c r="I248" s="8"/>
    </row>
    <row r="249" spans="2:9" x14ac:dyDescent="0.3">
      <c r="B249" s="9"/>
      <c r="C249" s="4"/>
      <c r="E249" s="8"/>
      <c r="I249" s="8"/>
    </row>
    <row r="250" spans="2:9" x14ac:dyDescent="0.3">
      <c r="B250" s="9"/>
      <c r="C250" s="4"/>
      <c r="E250" s="8"/>
      <c r="I250" s="8"/>
    </row>
    <row r="251" spans="2:9" x14ac:dyDescent="0.3">
      <c r="B251" s="9"/>
      <c r="C251" s="4"/>
      <c r="E251" s="8"/>
      <c r="I251" s="8"/>
    </row>
    <row r="252" spans="2:9" x14ac:dyDescent="0.3">
      <c r="B252" s="9"/>
      <c r="C252" s="4"/>
      <c r="E252" s="8"/>
      <c r="I252" s="8"/>
    </row>
    <row r="253" spans="2:9" x14ac:dyDescent="0.3">
      <c r="B253" s="9"/>
      <c r="C253" s="4"/>
      <c r="E253" s="8"/>
      <c r="I253" s="8"/>
    </row>
    <row r="254" spans="2:9" x14ac:dyDescent="0.3">
      <c r="B254" s="9"/>
      <c r="C254" s="4"/>
      <c r="E254" s="8"/>
      <c r="I254" s="8"/>
    </row>
    <row r="255" spans="2:9" x14ac:dyDescent="0.3">
      <c r="B255" s="9"/>
      <c r="C255" s="4"/>
      <c r="E255" s="8"/>
      <c r="I255" s="8"/>
    </row>
    <row r="256" spans="2:9" x14ac:dyDescent="0.3">
      <c r="B256" s="9"/>
      <c r="C256" s="4"/>
      <c r="E256" s="8"/>
      <c r="I256" s="8"/>
    </row>
    <row r="257" spans="2:9" x14ac:dyDescent="0.3">
      <c r="B257" s="9"/>
      <c r="C257" s="4"/>
      <c r="E257" s="8"/>
      <c r="I257" s="8"/>
    </row>
    <row r="258" spans="2:9" x14ac:dyDescent="0.3">
      <c r="B258" s="9"/>
      <c r="C258" s="4"/>
      <c r="E258" s="8"/>
      <c r="I258" s="8"/>
    </row>
    <row r="259" spans="2:9" x14ac:dyDescent="0.3">
      <c r="B259" s="9"/>
      <c r="C259" s="4"/>
      <c r="E259" s="8"/>
      <c r="I259" s="8"/>
    </row>
    <row r="260" spans="2:9" x14ac:dyDescent="0.3">
      <c r="B260" s="9"/>
      <c r="C260" s="4"/>
      <c r="E260" s="8"/>
      <c r="I260" s="8"/>
    </row>
    <row r="261" spans="2:9" x14ac:dyDescent="0.3">
      <c r="B261" s="9"/>
      <c r="C261" s="4"/>
      <c r="E261" s="8"/>
      <c r="I261" s="8"/>
    </row>
    <row r="262" spans="2:9" x14ac:dyDescent="0.3">
      <c r="B262" s="9"/>
      <c r="C262" s="4"/>
      <c r="E262" s="8"/>
      <c r="I262" s="8"/>
    </row>
    <row r="263" spans="2:9" x14ac:dyDescent="0.3">
      <c r="B263" s="9"/>
      <c r="C263" s="4"/>
      <c r="E263" s="8"/>
      <c r="I263" s="8"/>
    </row>
    <row r="264" spans="2:9" x14ac:dyDescent="0.3">
      <c r="B264" s="9"/>
      <c r="C264" s="4"/>
      <c r="E264" s="8"/>
      <c r="I264" s="8"/>
    </row>
    <row r="265" spans="2:9" x14ac:dyDescent="0.3">
      <c r="B265" s="9"/>
      <c r="C265" s="4"/>
      <c r="E265" s="8"/>
      <c r="I265" s="8"/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D4DCB-1D80-454C-84B7-4D685A0A31EC}">
  <dimension ref="B2:V72"/>
  <sheetViews>
    <sheetView tabSelected="1" zoomScale="70" zoomScaleNormal="70" workbookViewId="0">
      <selection activeCell="Q35" sqref="Q35"/>
    </sheetView>
  </sheetViews>
  <sheetFormatPr defaultRowHeight="14.4" x14ac:dyDescent="0.3"/>
  <cols>
    <col min="1" max="1" width="2.77734375" style="2" customWidth="1"/>
    <col min="2" max="2" width="8.88671875" style="2"/>
    <col min="3" max="3" width="4.44140625" style="2" bestFit="1" customWidth="1"/>
    <col min="4" max="4" width="14.88671875" style="2" bestFit="1" customWidth="1"/>
    <col min="5" max="5" width="10.109375" style="2" bestFit="1" customWidth="1"/>
    <col min="6" max="6" width="12.6640625" style="2" bestFit="1" customWidth="1"/>
    <col min="7" max="7" width="16.109375" style="2" bestFit="1" customWidth="1"/>
    <col min="8" max="8" width="10.5546875" style="2" bestFit="1" customWidth="1"/>
    <col min="9" max="9" width="10.44140625" style="2" bestFit="1" customWidth="1"/>
    <col min="10" max="10" width="14.88671875" style="2" bestFit="1" customWidth="1"/>
    <col min="11" max="11" width="10.109375" style="2" bestFit="1" customWidth="1"/>
    <col min="12" max="12" width="12.6640625" style="2" bestFit="1" customWidth="1"/>
    <col min="13" max="13" width="16.109375" style="2" bestFit="1" customWidth="1"/>
    <col min="14" max="14" width="12" style="2" bestFit="1" customWidth="1"/>
    <col min="15" max="15" width="11.88671875" style="2" bestFit="1" customWidth="1"/>
    <col min="16" max="16" width="1.77734375" style="2" customWidth="1"/>
    <col min="17" max="17" width="10.33203125" style="2" customWidth="1"/>
    <col min="18" max="18" width="11.44140625" style="2" bestFit="1" customWidth="1"/>
    <col min="19" max="22" width="8.88671875" style="2"/>
    <col min="23" max="23" width="11" style="2" bestFit="1" customWidth="1"/>
    <col min="24" max="16384" width="8.88671875" style="2"/>
  </cols>
  <sheetData>
    <row r="2" spans="2:22" ht="31.2" x14ac:dyDescent="0.6">
      <c r="B2" s="11" t="s">
        <v>11</v>
      </c>
    </row>
    <row r="3" spans="2:22" ht="17.399999999999999" customHeight="1" x14ac:dyDescent="0.6">
      <c r="B3" s="12"/>
      <c r="C3" s="13"/>
      <c r="D3" s="13"/>
      <c r="E3" s="13"/>
      <c r="F3" s="13"/>
      <c r="G3" s="13"/>
      <c r="H3" s="13"/>
      <c r="J3" s="13"/>
      <c r="K3" s="13"/>
      <c r="L3" s="13"/>
      <c r="M3" s="13"/>
      <c r="N3" s="13"/>
      <c r="S3" s="20" t="s">
        <v>0</v>
      </c>
      <c r="T3" s="19" t="s">
        <v>69</v>
      </c>
      <c r="U3" s="16"/>
      <c r="V3" s="16"/>
    </row>
    <row r="4" spans="2:22" ht="20.399999999999999" x14ac:dyDescent="0.35">
      <c r="B4" s="15" t="s">
        <v>49</v>
      </c>
      <c r="C4" s="14"/>
      <c r="D4" s="13"/>
      <c r="E4" s="13"/>
      <c r="F4" s="13"/>
      <c r="G4" s="13"/>
      <c r="H4" s="13"/>
      <c r="J4" s="13"/>
      <c r="K4" s="13"/>
      <c r="L4" s="13"/>
      <c r="M4" s="13"/>
      <c r="N4" s="13"/>
      <c r="S4" s="20" t="s">
        <v>23</v>
      </c>
      <c r="T4" s="19" t="s">
        <v>69</v>
      </c>
      <c r="U4" s="16"/>
      <c r="V4" s="16"/>
    </row>
    <row r="5" spans="2:22" ht="18" x14ac:dyDescent="0.35">
      <c r="B5" s="29" t="s">
        <v>58</v>
      </c>
      <c r="C5" s="13"/>
      <c r="D5" s="13"/>
      <c r="E5" s="13"/>
      <c r="F5" s="13"/>
      <c r="G5" s="13"/>
      <c r="H5" s="13"/>
      <c r="J5" s="13"/>
      <c r="K5" s="13"/>
      <c r="L5" s="13"/>
      <c r="M5" s="13"/>
      <c r="N5" s="13"/>
      <c r="S5" s="20" t="s">
        <v>1</v>
      </c>
      <c r="T5" s="19" t="s">
        <v>69</v>
      </c>
      <c r="U5" s="16"/>
      <c r="V5" s="16"/>
    </row>
    <row r="6" spans="2:22" x14ac:dyDescent="0.3">
      <c r="B6" s="4" t="s">
        <v>8</v>
      </c>
      <c r="C6" s="4" t="s">
        <v>9</v>
      </c>
      <c r="D6" s="4" t="s">
        <v>25</v>
      </c>
      <c r="E6" s="35" t="s">
        <v>26</v>
      </c>
      <c r="F6" s="8" t="s">
        <v>59</v>
      </c>
      <c r="G6" s="8" t="s">
        <v>60</v>
      </c>
      <c r="H6" s="8" t="s">
        <v>61</v>
      </c>
      <c r="I6" s="8" t="s">
        <v>62</v>
      </c>
      <c r="J6" s="4" t="s">
        <v>63</v>
      </c>
      <c r="K6" s="27" t="s">
        <v>64</v>
      </c>
      <c r="L6" s="8" t="s">
        <v>65</v>
      </c>
      <c r="M6" s="8" t="s">
        <v>66</v>
      </c>
      <c r="N6" s="8" t="s">
        <v>67</v>
      </c>
      <c r="O6" s="8" t="s">
        <v>68</v>
      </c>
      <c r="P6" s="8"/>
      <c r="Q6" s="34" t="s">
        <v>46</v>
      </c>
      <c r="R6" s="3"/>
      <c r="S6" s="3"/>
    </row>
    <row r="7" spans="2:22" x14ac:dyDescent="0.3">
      <c r="B7" s="26">
        <v>43881</v>
      </c>
      <c r="C7" s="27">
        <v>1</v>
      </c>
      <c r="D7" s="28">
        <v>3</v>
      </c>
      <c r="E7" s="36">
        <f>D7</f>
        <v>3</v>
      </c>
      <c r="F7" s="8">
        <f t="shared" ref="F7:F38" si="0">Kn*t0n*_xlfn.GAMMA.DIST($C7/t0n,wn+1,1,1)*_xlfn.GAMMA(wn+1)</f>
        <v>9.7098942516867329E-9</v>
      </c>
      <c r="G7" s="25">
        <f t="shared" ref="G7:G38" si="1">Kn*(($C7/t0n)^wn)*EXP(-($C7/t0n))</f>
        <v>1.0111009587390184E-7</v>
      </c>
      <c r="H7" s="10">
        <f t="shared" ref="H7:H10" si="2">G7+CIn</f>
        <v>989.24486228007663</v>
      </c>
      <c r="I7" s="10">
        <f t="shared" ref="I7:I10" si="3">MAX(G7-CIn,0)</f>
        <v>0</v>
      </c>
      <c r="J7" s="27">
        <v>0</v>
      </c>
      <c r="K7" s="28">
        <f>J7</f>
        <v>0</v>
      </c>
      <c r="L7" s="8">
        <f t="shared" ref="L7:L38" si="4">Kd*t0d*_xlfn.GAMMA.DIST($C7/t0d,wd+1,1,1)*_xlfn.GAMMA(wd+1)</f>
        <v>1.9646374582978991E-9</v>
      </c>
      <c r="M7" s="25">
        <f t="shared" ref="M7:M38" si="5">Kd*(($C7/t0d)^wd)*EXP(-($C7/t0d))</f>
        <v>1.913601798857913E-8</v>
      </c>
      <c r="N7" s="10">
        <f t="shared" ref="N7:N45" si="6">M7+CId</f>
        <v>122.37474027469966</v>
      </c>
      <c r="O7" s="10">
        <f t="shared" ref="O7:O45" si="7">MAX(M7-CId,0)</f>
        <v>0</v>
      </c>
      <c r="P7" s="8"/>
      <c r="Q7" s="21" t="s">
        <v>0</v>
      </c>
      <c r="R7" s="24">
        <v>2.6007495321360815E-2</v>
      </c>
      <c r="S7" s="3"/>
    </row>
    <row r="8" spans="2:22" ht="15.6" x14ac:dyDescent="0.35">
      <c r="B8" s="26">
        <v>43882</v>
      </c>
      <c r="C8" s="27">
        <v>2</v>
      </c>
      <c r="D8" s="28">
        <v>20</v>
      </c>
      <c r="E8" s="36">
        <f t="shared" ref="E8:E11" si="8">D8-D7</f>
        <v>17</v>
      </c>
      <c r="F8" s="8">
        <f t="shared" si="0"/>
        <v>1.2230387513859338E-5</v>
      </c>
      <c r="G8" s="25">
        <f t="shared" si="1"/>
        <v>6.2099448792717984E-5</v>
      </c>
      <c r="H8" s="10">
        <f t="shared" si="2"/>
        <v>989.24492427841528</v>
      </c>
      <c r="I8" s="10">
        <f t="shared" si="3"/>
        <v>0</v>
      </c>
      <c r="J8" s="27">
        <v>1</v>
      </c>
      <c r="K8" s="28">
        <f t="shared" ref="K8:K11" si="9">J8-J7</f>
        <v>1</v>
      </c>
      <c r="L8" s="8">
        <f t="shared" si="4"/>
        <v>1.5820324917429765E-6</v>
      </c>
      <c r="M8" s="25">
        <f t="shared" si="5"/>
        <v>7.5494562558172662E-6</v>
      </c>
      <c r="N8" s="10">
        <f t="shared" si="6"/>
        <v>122.37474780501989</v>
      </c>
      <c r="O8" s="10">
        <f t="shared" si="7"/>
        <v>0</v>
      </c>
      <c r="P8" s="8"/>
      <c r="Q8" s="21" t="s">
        <v>24</v>
      </c>
      <c r="R8" s="31">
        <v>3.5205153851306772</v>
      </c>
      <c r="S8" s="3"/>
    </row>
    <row r="9" spans="2:22" x14ac:dyDescent="0.3">
      <c r="B9" s="26">
        <v>43883</v>
      </c>
      <c r="C9" s="27">
        <v>3</v>
      </c>
      <c r="D9" s="28">
        <v>62</v>
      </c>
      <c r="E9" s="36">
        <f t="shared" si="8"/>
        <v>42</v>
      </c>
      <c r="F9" s="8">
        <f t="shared" si="0"/>
        <v>7.1534193041609755E-4</v>
      </c>
      <c r="G9" s="25">
        <f t="shared" si="1"/>
        <v>2.3601263804423366E-3</v>
      </c>
      <c r="H9" s="10">
        <f t="shared" si="2"/>
        <v>989.24722230534701</v>
      </c>
      <c r="I9" s="10">
        <f t="shared" si="3"/>
        <v>0</v>
      </c>
      <c r="J9" s="27">
        <v>2</v>
      </c>
      <c r="K9" s="28">
        <f t="shared" si="9"/>
        <v>1</v>
      </c>
      <c r="L9" s="8">
        <f t="shared" si="4"/>
        <v>7.3074295888505482E-5</v>
      </c>
      <c r="M9" s="25">
        <f t="shared" si="5"/>
        <v>2.2771112050091528E-4</v>
      </c>
      <c r="N9" s="10">
        <f t="shared" si="6"/>
        <v>122.37496796668414</v>
      </c>
      <c r="O9" s="10">
        <f t="shared" si="7"/>
        <v>0</v>
      </c>
      <c r="P9" s="8"/>
      <c r="Q9" s="21" t="s">
        <v>1</v>
      </c>
      <c r="R9" s="31">
        <v>9.6723061394927878</v>
      </c>
      <c r="S9" s="3"/>
    </row>
    <row r="10" spans="2:22" x14ac:dyDescent="0.3">
      <c r="B10" s="26">
        <v>43884</v>
      </c>
      <c r="C10" s="27">
        <v>4</v>
      </c>
      <c r="D10" s="28">
        <v>155</v>
      </c>
      <c r="E10" s="36">
        <f t="shared" si="8"/>
        <v>93</v>
      </c>
      <c r="F10" s="8">
        <f t="shared" si="0"/>
        <v>1.1910013374915521E-2</v>
      </c>
      <c r="G10" s="25">
        <f t="shared" si="1"/>
        <v>2.8709122361424356E-2</v>
      </c>
      <c r="H10" s="10">
        <f t="shared" si="2"/>
        <v>989.27357130132793</v>
      </c>
      <c r="I10" s="10">
        <f t="shared" si="3"/>
        <v>0</v>
      </c>
      <c r="J10" s="27">
        <v>3</v>
      </c>
      <c r="K10" s="28">
        <f t="shared" si="9"/>
        <v>1</v>
      </c>
      <c r="L10" s="8">
        <f t="shared" si="4"/>
        <v>1.0475111447627746E-3</v>
      </c>
      <c r="M10" s="25">
        <f t="shared" si="5"/>
        <v>2.397150637928207E-3</v>
      </c>
      <c r="N10" s="10">
        <f t="shared" si="6"/>
        <v>122.37713740620157</v>
      </c>
      <c r="O10" s="10">
        <f t="shared" si="7"/>
        <v>0</v>
      </c>
      <c r="P10" s="8"/>
      <c r="Q10" s="5" t="s">
        <v>2</v>
      </c>
      <c r="R10" s="1">
        <f>AVERAGE(E7:E47)</f>
        <v>2580.2926829268295</v>
      </c>
      <c r="S10" s="3"/>
    </row>
    <row r="11" spans="2:22" x14ac:dyDescent="0.3">
      <c r="B11" s="22">
        <v>43885</v>
      </c>
      <c r="C11" s="4">
        <v>5</v>
      </c>
      <c r="D11" s="10">
        <f>'dpc-covid19-ita-andamento-naz'!L2</f>
        <v>229</v>
      </c>
      <c r="E11" s="36">
        <f t="shared" si="8"/>
        <v>74</v>
      </c>
      <c r="F11" s="8">
        <f t="shared" si="0"/>
        <v>9.9638876723013053E-2</v>
      </c>
      <c r="G11" s="25">
        <f t="shared" si="1"/>
        <v>0.18706915218556691</v>
      </c>
      <c r="H11" s="10">
        <f t="shared" ref="H11:H44" si="10">G11+CIn</f>
        <v>989.4319313311521</v>
      </c>
      <c r="I11" s="10">
        <f t="shared" ref="I11:I43" si="11">MAX(G11-CIn,0)</f>
        <v>0</v>
      </c>
      <c r="J11" s="10">
        <f>'dpc-covid19-ita-andamento-naz'!K2</f>
        <v>7</v>
      </c>
      <c r="K11" s="28">
        <f t="shared" si="9"/>
        <v>4</v>
      </c>
      <c r="L11" s="8">
        <f t="shared" si="4"/>
        <v>7.9101797145264725E-3</v>
      </c>
      <c r="M11" s="25">
        <f t="shared" si="5"/>
        <v>1.4174562417156122E-2</v>
      </c>
      <c r="N11" s="10">
        <f t="shared" si="6"/>
        <v>122.38891481798079</v>
      </c>
      <c r="O11" s="10">
        <f t="shared" si="7"/>
        <v>0</v>
      </c>
      <c r="P11" s="1"/>
      <c r="Q11" s="5" t="s">
        <v>3</v>
      </c>
      <c r="R11" s="1">
        <f>COUNT(E7:E47)-COUNT(R7:R9)</f>
        <v>38</v>
      </c>
    </row>
    <row r="12" spans="2:22" x14ac:dyDescent="0.3">
      <c r="B12" s="9">
        <v>43886</v>
      </c>
      <c r="C12" s="4">
        <v>6</v>
      </c>
      <c r="D12" s="10">
        <f>'dpc-covid19-ita-andamento-naz'!L3</f>
        <v>322</v>
      </c>
      <c r="E12" s="36">
        <f>D12-D11</f>
        <v>93</v>
      </c>
      <c r="F12" s="8">
        <f t="shared" si="0"/>
        <v>0.53950653294997719</v>
      </c>
      <c r="G12" s="25">
        <f t="shared" si="1"/>
        <v>0.82130861467206506</v>
      </c>
      <c r="H12" s="10">
        <f t="shared" si="10"/>
        <v>990.06617079363855</v>
      </c>
      <c r="I12" s="10">
        <f t="shared" si="11"/>
        <v>0</v>
      </c>
      <c r="J12" s="10">
        <f>'dpc-covid19-ita-andamento-naz'!K3</f>
        <v>10</v>
      </c>
      <c r="K12" s="28">
        <f>J12-J11</f>
        <v>3</v>
      </c>
      <c r="L12" s="8">
        <f t="shared" si="4"/>
        <v>3.9829460217849388E-2</v>
      </c>
      <c r="M12" s="25">
        <f t="shared" si="5"/>
        <v>5.8194165410498433E-2</v>
      </c>
      <c r="N12" s="10">
        <f t="shared" si="6"/>
        <v>122.43293442097414</v>
      </c>
      <c r="O12" s="10">
        <f t="shared" si="7"/>
        <v>0</v>
      </c>
      <c r="P12" s="1"/>
      <c r="Q12" s="5" t="s">
        <v>4</v>
      </c>
      <c r="R12" s="6" cm="1">
        <f t="array" ref="R12">SQRT(SUM((E7:E47-G7:G47)^2)/dfn)</f>
        <v>488.66217845013671</v>
      </c>
    </row>
    <row r="13" spans="2:22" ht="16.2" x14ac:dyDescent="0.3">
      <c r="B13" s="9">
        <v>43887</v>
      </c>
      <c r="C13" s="4">
        <v>7</v>
      </c>
      <c r="D13" s="10">
        <f>'dpc-covid19-ita-andamento-naz'!L4</f>
        <v>400</v>
      </c>
      <c r="E13" s="36">
        <f t="shared" ref="E13:E47" si="12">D13-D12</f>
        <v>78</v>
      </c>
      <c r="F13" s="8">
        <f t="shared" si="0"/>
        <v>2.1640249650843706</v>
      </c>
      <c r="G13" s="25">
        <f t="shared" si="1"/>
        <v>2.7458396401270511</v>
      </c>
      <c r="H13" s="10">
        <f t="shared" si="10"/>
        <v>991.9907018190936</v>
      </c>
      <c r="I13" s="10">
        <f t="shared" si="11"/>
        <v>0</v>
      </c>
      <c r="J13" s="10">
        <f>'dpc-covid19-ita-andamento-naz'!K4</f>
        <v>12</v>
      </c>
      <c r="K13" s="28">
        <f t="shared" ref="K13:K47" si="13">J13-J12</f>
        <v>2</v>
      </c>
      <c r="L13" s="8">
        <f t="shared" si="4"/>
        <v>0.15164053218762016</v>
      </c>
      <c r="M13" s="25">
        <f t="shared" si="5"/>
        <v>0.18574114716994453</v>
      </c>
      <c r="N13" s="10">
        <f t="shared" si="6"/>
        <v>122.56048140273359</v>
      </c>
      <c r="O13" s="10">
        <f t="shared" si="7"/>
        <v>0</v>
      </c>
      <c r="P13" s="1"/>
      <c r="Q13" s="5" t="s">
        <v>5</v>
      </c>
      <c r="R13" s="7" cm="1">
        <f t="array" ref="R13">1-SUM((E7:E47-G7:G47)^2)/SUM((E7:E47-Mean_of_yn)^2)</f>
        <v>0.95611276858793393</v>
      </c>
    </row>
    <row r="14" spans="2:22" x14ac:dyDescent="0.3">
      <c r="B14" s="9">
        <v>43888</v>
      </c>
      <c r="C14" s="4">
        <v>8</v>
      </c>
      <c r="D14" s="10">
        <f>'dpc-covid19-ita-andamento-naz'!L5</f>
        <v>650</v>
      </c>
      <c r="E14" s="36">
        <f t="shared" si="12"/>
        <v>250</v>
      </c>
      <c r="F14" s="8">
        <f t="shared" si="0"/>
        <v>6.9700571217290941</v>
      </c>
      <c r="G14" s="25">
        <f t="shared" si="1"/>
        <v>7.5202102553159431</v>
      </c>
      <c r="H14" s="10">
        <f t="shared" si="10"/>
        <v>996.7650724342825</v>
      </c>
      <c r="I14" s="10">
        <f t="shared" si="11"/>
        <v>0</v>
      </c>
      <c r="J14" s="10">
        <f>'dpc-covid19-ita-andamento-naz'!K5</f>
        <v>17</v>
      </c>
      <c r="K14" s="28">
        <f t="shared" si="13"/>
        <v>5</v>
      </c>
      <c r="L14" s="8">
        <f t="shared" si="4"/>
        <v>0.47055871080321382</v>
      </c>
      <c r="M14" s="25">
        <f t="shared" si="5"/>
        <v>0.49306716302933579</v>
      </c>
      <c r="N14" s="10">
        <f t="shared" si="6"/>
        <v>122.86780741859297</v>
      </c>
      <c r="O14" s="10">
        <f t="shared" si="7"/>
        <v>0</v>
      </c>
      <c r="P14" s="1"/>
      <c r="Q14" s="5" t="s">
        <v>6</v>
      </c>
      <c r="R14" s="7">
        <f>TINV(0.05,dfn)</f>
        <v>2.0243941639119702</v>
      </c>
    </row>
    <row r="15" spans="2:22" x14ac:dyDescent="0.3">
      <c r="B15" s="9">
        <v>43889</v>
      </c>
      <c r="C15" s="4">
        <v>9</v>
      </c>
      <c r="D15" s="10">
        <f>'dpc-covid19-ita-andamento-naz'!L6</f>
        <v>888</v>
      </c>
      <c r="E15" s="36">
        <f t="shared" si="12"/>
        <v>238</v>
      </c>
      <c r="F15" s="8">
        <f t="shared" si="0"/>
        <v>18.989149699941049</v>
      </c>
      <c r="G15" s="25">
        <f t="shared" si="1"/>
        <v>17.68608825597564</v>
      </c>
      <c r="H15" s="10">
        <f t="shared" si="10"/>
        <v>1006.9309504349421</v>
      </c>
      <c r="I15" s="10">
        <f t="shared" si="11"/>
        <v>0</v>
      </c>
      <c r="J15" s="10">
        <f>'dpc-covid19-ita-andamento-naz'!K6</f>
        <v>21</v>
      </c>
      <c r="K15" s="28">
        <f t="shared" si="13"/>
        <v>4</v>
      </c>
      <c r="L15" s="8">
        <f t="shared" si="4"/>
        <v>1.2491833301301154</v>
      </c>
      <c r="M15" s="25">
        <f t="shared" si="5"/>
        <v>1.1370488226702424</v>
      </c>
      <c r="N15" s="10">
        <f t="shared" si="6"/>
        <v>123.51178907823387</v>
      </c>
      <c r="O15" s="10">
        <f t="shared" si="7"/>
        <v>0</v>
      </c>
      <c r="P15" s="1"/>
      <c r="Q15" s="5" t="s">
        <v>7</v>
      </c>
      <c r="R15" s="1">
        <f>Critical_tn*SE_of_yn</f>
        <v>989.24486217896651</v>
      </c>
    </row>
    <row r="16" spans="2:22" x14ac:dyDescent="0.3">
      <c r="B16" s="9">
        <v>43890</v>
      </c>
      <c r="C16" s="4">
        <v>10</v>
      </c>
      <c r="D16" s="10">
        <f>'dpc-covid19-ita-andamento-naz'!L7</f>
        <v>1128</v>
      </c>
      <c r="E16" s="36">
        <f t="shared" si="12"/>
        <v>240</v>
      </c>
      <c r="F16" s="8">
        <f t="shared" si="0"/>
        <v>45.341454214742434</v>
      </c>
      <c r="G16" s="25">
        <f t="shared" si="1"/>
        <v>36.885119314395787</v>
      </c>
      <c r="H16" s="10">
        <f t="shared" si="10"/>
        <v>1026.1299814933623</v>
      </c>
      <c r="I16" s="10">
        <f t="shared" si="11"/>
        <v>0</v>
      </c>
      <c r="J16" s="10">
        <f>'dpc-covid19-ita-andamento-naz'!K7</f>
        <v>29</v>
      </c>
      <c r="K16" s="28">
        <f t="shared" si="13"/>
        <v>8</v>
      </c>
      <c r="L16" s="8">
        <f t="shared" si="4"/>
        <v>2.9323153958445971</v>
      </c>
      <c r="M16" s="25">
        <f t="shared" si="5"/>
        <v>2.34658324735515</v>
      </c>
      <c r="N16" s="10">
        <f t="shared" si="6"/>
        <v>124.72132350291879</v>
      </c>
      <c r="O16" s="10">
        <f t="shared" si="7"/>
        <v>0</v>
      </c>
      <c r="P16" s="1"/>
      <c r="Q16" s="5"/>
    </row>
    <row r="17" spans="2:18" x14ac:dyDescent="0.3">
      <c r="B17" s="22">
        <v>43891</v>
      </c>
      <c r="C17" s="4">
        <v>11</v>
      </c>
      <c r="D17" s="10">
        <f>'dpc-covid19-ita-andamento-naz'!L8</f>
        <v>1694</v>
      </c>
      <c r="E17" s="36">
        <f t="shared" si="12"/>
        <v>566</v>
      </c>
      <c r="F17" s="8">
        <f t="shared" si="0"/>
        <v>97.322237422720406</v>
      </c>
      <c r="G17" s="25">
        <f t="shared" si="1"/>
        <v>69.799588666136472</v>
      </c>
      <c r="H17" s="10">
        <f t="shared" si="10"/>
        <v>1059.044450845103</v>
      </c>
      <c r="I17" s="10">
        <f t="shared" si="11"/>
        <v>0</v>
      </c>
      <c r="J17" s="10">
        <f>'dpc-covid19-ita-andamento-naz'!K8</f>
        <v>34</v>
      </c>
      <c r="K17" s="28">
        <f t="shared" si="13"/>
        <v>5</v>
      </c>
      <c r="L17" s="8">
        <f t="shared" si="4"/>
        <v>6.2317518093066049</v>
      </c>
      <c r="M17" s="25">
        <f t="shared" si="5"/>
        <v>4.4267390584028306</v>
      </c>
      <c r="N17" s="10">
        <f t="shared" si="6"/>
        <v>126.80147931396647</v>
      </c>
      <c r="O17" s="10">
        <f t="shared" si="7"/>
        <v>0</v>
      </c>
      <c r="P17" s="1"/>
      <c r="Q17" s="23" t="s">
        <v>53</v>
      </c>
      <c r="R17" s="3"/>
    </row>
    <row r="18" spans="2:18" x14ac:dyDescent="0.3">
      <c r="B18" s="9">
        <v>43892</v>
      </c>
      <c r="C18" s="4">
        <v>12</v>
      </c>
      <c r="D18" s="10">
        <f>'dpc-covid19-ita-andamento-naz'!L9</f>
        <v>2036</v>
      </c>
      <c r="E18" s="36">
        <f t="shared" si="12"/>
        <v>342</v>
      </c>
      <c r="F18" s="8">
        <f t="shared" si="0"/>
        <v>191.33093234672626</v>
      </c>
      <c r="G18" s="25">
        <f t="shared" si="1"/>
        <v>121.89737142923809</v>
      </c>
      <c r="H18" s="10">
        <f t="shared" si="10"/>
        <v>1111.1422336082046</v>
      </c>
      <c r="I18" s="10">
        <f t="shared" si="11"/>
        <v>0</v>
      </c>
      <c r="J18" s="10">
        <f>'dpc-covid19-ita-andamento-naz'!K9</f>
        <v>52</v>
      </c>
      <c r="K18" s="28">
        <f t="shared" si="13"/>
        <v>18</v>
      </c>
      <c r="L18" s="8">
        <f t="shared" si="4"/>
        <v>12.20082147116805</v>
      </c>
      <c r="M18" s="25">
        <f t="shared" si="5"/>
        <v>7.7539197159581068</v>
      </c>
      <c r="N18" s="10">
        <f t="shared" si="6"/>
        <v>130.12865997152176</v>
      </c>
      <c r="O18" s="10">
        <f t="shared" si="7"/>
        <v>0</v>
      </c>
      <c r="P18" s="1"/>
      <c r="Q18" s="21" t="s">
        <v>0</v>
      </c>
      <c r="R18" s="24">
        <v>2.0162265418711474E-2</v>
      </c>
    </row>
    <row r="19" spans="2:18" ht="15.6" x14ac:dyDescent="0.35">
      <c r="B19" s="9">
        <v>43893</v>
      </c>
      <c r="C19" s="4">
        <v>13</v>
      </c>
      <c r="D19" s="10">
        <f>'dpc-covid19-ita-andamento-naz'!L10</f>
        <v>2502</v>
      </c>
      <c r="E19" s="36">
        <f t="shared" si="12"/>
        <v>466</v>
      </c>
      <c r="F19" s="8">
        <f t="shared" si="0"/>
        <v>349.45544801950041</v>
      </c>
      <c r="G19" s="25">
        <f t="shared" si="1"/>
        <v>199.00455742789191</v>
      </c>
      <c r="H19" s="10">
        <f t="shared" si="10"/>
        <v>1188.2494196068585</v>
      </c>
      <c r="I19" s="10">
        <f t="shared" si="11"/>
        <v>0</v>
      </c>
      <c r="J19" s="10">
        <f>'dpc-covid19-ita-andamento-naz'!K10</f>
        <v>79</v>
      </c>
      <c r="K19" s="28">
        <f t="shared" si="13"/>
        <v>27</v>
      </c>
      <c r="L19" s="8">
        <f t="shared" si="4"/>
        <v>22.299416706793796</v>
      </c>
      <c r="M19" s="25">
        <f t="shared" si="5"/>
        <v>12.761767122957917</v>
      </c>
      <c r="N19" s="10">
        <f t="shared" si="6"/>
        <v>135.13650737852154</v>
      </c>
      <c r="O19" s="10">
        <f t="shared" si="7"/>
        <v>0</v>
      </c>
      <c r="P19" s="1"/>
      <c r="Q19" s="21" t="s">
        <v>24</v>
      </c>
      <c r="R19" s="31">
        <v>4.6062153944845834</v>
      </c>
    </row>
    <row r="20" spans="2:18" x14ac:dyDescent="0.3">
      <c r="B20" s="9">
        <v>43894</v>
      </c>
      <c r="C20" s="4">
        <v>14</v>
      </c>
      <c r="D20" s="10">
        <f>'dpc-covid19-ita-andamento-naz'!L11</f>
        <v>3089</v>
      </c>
      <c r="E20" s="36">
        <f t="shared" si="12"/>
        <v>587</v>
      </c>
      <c r="F20" s="8">
        <f t="shared" si="0"/>
        <v>599.56551260544893</v>
      </c>
      <c r="G20" s="25">
        <f t="shared" si="1"/>
        <v>306.76236746035573</v>
      </c>
      <c r="H20" s="10">
        <f t="shared" si="10"/>
        <v>1296.0072296393223</v>
      </c>
      <c r="I20" s="10">
        <f t="shared" si="11"/>
        <v>0</v>
      </c>
      <c r="J20" s="10">
        <f>'dpc-covid19-ita-andamento-naz'!K11</f>
        <v>107</v>
      </c>
      <c r="K20" s="28">
        <f t="shared" si="13"/>
        <v>28</v>
      </c>
      <c r="L20" s="8">
        <f t="shared" si="4"/>
        <v>38.440707840623418</v>
      </c>
      <c r="M20" s="25">
        <f t="shared" si="5"/>
        <v>19.918908198045806</v>
      </c>
      <c r="N20" s="10">
        <f t="shared" si="6"/>
        <v>142.29364845360945</v>
      </c>
      <c r="O20" s="10">
        <f t="shared" si="7"/>
        <v>0</v>
      </c>
      <c r="P20" s="1"/>
      <c r="Q20" s="21" t="s">
        <v>1</v>
      </c>
      <c r="R20" s="31">
        <v>8.9371444391358157</v>
      </c>
    </row>
    <row r="21" spans="2:18" x14ac:dyDescent="0.3">
      <c r="B21" s="22">
        <v>43895</v>
      </c>
      <c r="C21" s="4">
        <v>15</v>
      </c>
      <c r="D21" s="10">
        <f>'dpc-covid19-ita-andamento-naz'!L12</f>
        <v>3858</v>
      </c>
      <c r="E21" s="36">
        <f t="shared" si="12"/>
        <v>769</v>
      </c>
      <c r="F21" s="8">
        <f t="shared" si="0"/>
        <v>974.83604417808453</v>
      </c>
      <c r="G21" s="25">
        <f t="shared" si="1"/>
        <v>450.04350474459108</v>
      </c>
      <c r="H21" s="10">
        <f t="shared" si="10"/>
        <v>1439.2883669235575</v>
      </c>
      <c r="I21" s="10">
        <f t="shared" si="11"/>
        <v>0</v>
      </c>
      <c r="J21" s="10">
        <f>'dpc-covid19-ita-andamento-naz'!K12</f>
        <v>148</v>
      </c>
      <c r="K21" s="28">
        <f t="shared" si="13"/>
        <v>41</v>
      </c>
      <c r="L21" s="8">
        <f t="shared" si="4"/>
        <v>63.012392317217966</v>
      </c>
      <c r="M21" s="25">
        <f t="shared" si="5"/>
        <v>29.700703475474786</v>
      </c>
      <c r="N21" s="10">
        <f t="shared" si="6"/>
        <v>152.07544373103843</v>
      </c>
      <c r="O21" s="10">
        <f t="shared" si="7"/>
        <v>0</v>
      </c>
      <c r="P21" s="1"/>
      <c r="Q21" s="2" t="s">
        <v>2</v>
      </c>
      <c r="R21" s="1">
        <f>AVERAGE(K7:K47)</f>
        <v>303.1219512195122</v>
      </c>
    </row>
    <row r="22" spans="2:18" x14ac:dyDescent="0.3">
      <c r="B22" s="9">
        <v>43896</v>
      </c>
      <c r="C22" s="4">
        <v>16</v>
      </c>
      <c r="D22" s="10">
        <f>'dpc-covid19-ita-andamento-naz'!L13</f>
        <v>4636</v>
      </c>
      <c r="E22" s="36">
        <f t="shared" si="12"/>
        <v>778</v>
      </c>
      <c r="F22" s="8">
        <f t="shared" si="0"/>
        <v>1512.6992985243839</v>
      </c>
      <c r="G22" s="25">
        <f t="shared" si="1"/>
        <v>632.40579568084479</v>
      </c>
      <c r="H22" s="10">
        <f t="shared" si="10"/>
        <v>1621.6506578598114</v>
      </c>
      <c r="I22" s="10">
        <f t="shared" si="11"/>
        <v>0</v>
      </c>
      <c r="J22" s="10">
        <f>'dpc-covid19-ita-andamento-naz'!K13</f>
        <v>197</v>
      </c>
      <c r="K22" s="28">
        <f t="shared" si="13"/>
        <v>49</v>
      </c>
      <c r="L22" s="8">
        <f t="shared" si="4"/>
        <v>98.867841214741318</v>
      </c>
      <c r="M22" s="25">
        <f t="shared" si="5"/>
        <v>42.557787122006964</v>
      </c>
      <c r="N22" s="10">
        <f t="shared" si="6"/>
        <v>164.93252737757061</v>
      </c>
      <c r="O22" s="10">
        <f t="shared" si="7"/>
        <v>0</v>
      </c>
      <c r="P22" s="1"/>
      <c r="Q22" s="2" t="s">
        <v>3</v>
      </c>
      <c r="R22" s="1">
        <f>COUNT(K7:K47)-COUNT(R18:R20)</f>
        <v>38</v>
      </c>
    </row>
    <row r="23" spans="2:18" x14ac:dyDescent="0.3">
      <c r="B23" s="9">
        <v>43897</v>
      </c>
      <c r="C23" s="4">
        <v>17</v>
      </c>
      <c r="D23" s="10">
        <f>'dpc-covid19-ita-andamento-naz'!L14</f>
        <v>5883</v>
      </c>
      <c r="E23" s="36">
        <f t="shared" si="12"/>
        <v>1247</v>
      </c>
      <c r="F23" s="8">
        <f t="shared" si="0"/>
        <v>2253.2980386452537</v>
      </c>
      <c r="G23" s="25">
        <f t="shared" si="1"/>
        <v>855.65037476605869</v>
      </c>
      <c r="H23" s="10">
        <f t="shared" si="10"/>
        <v>1844.8952369450253</v>
      </c>
      <c r="I23" s="10">
        <f t="shared" si="11"/>
        <v>0</v>
      </c>
      <c r="J23" s="10">
        <f>'dpc-covid19-ita-andamento-naz'!K14</f>
        <v>233</v>
      </c>
      <c r="K23" s="28">
        <f t="shared" si="13"/>
        <v>36</v>
      </c>
      <c r="L23" s="8">
        <f t="shared" si="4"/>
        <v>149.28542699841205</v>
      </c>
      <c r="M23" s="25">
        <f t="shared" si="5"/>
        <v>58.884381376163283</v>
      </c>
      <c r="N23" s="10">
        <f t="shared" si="6"/>
        <v>181.25912163172691</v>
      </c>
      <c r="O23" s="10">
        <f t="shared" si="7"/>
        <v>0</v>
      </c>
      <c r="P23" s="1"/>
      <c r="Q23" s="2" t="s">
        <v>4</v>
      </c>
      <c r="R23" s="6" cm="1">
        <f t="array" ref="R23">SQRT(SUM((K7:K47-M7:M47)^2)/dfd)</f>
        <v>60.450055842427851</v>
      </c>
    </row>
    <row r="24" spans="2:18" ht="16.2" x14ac:dyDescent="0.3">
      <c r="B24" s="22">
        <v>43898</v>
      </c>
      <c r="C24" s="4">
        <v>18</v>
      </c>
      <c r="D24" s="10">
        <f>'dpc-covid19-ita-andamento-naz'!L15</f>
        <v>7375</v>
      </c>
      <c r="E24" s="36">
        <f t="shared" si="12"/>
        <v>1492</v>
      </c>
      <c r="F24" s="8">
        <f t="shared" si="0"/>
        <v>3237.5700282308035</v>
      </c>
      <c r="G24" s="25">
        <f t="shared" si="1"/>
        <v>1119.5322123093101</v>
      </c>
      <c r="H24" s="10">
        <f t="shared" si="10"/>
        <v>2108.7770744882764</v>
      </c>
      <c r="I24" s="10">
        <f t="shared" si="11"/>
        <v>130.28735013034361</v>
      </c>
      <c r="J24" s="10">
        <f>'dpc-covid19-ita-andamento-naz'!K15</f>
        <v>366</v>
      </c>
      <c r="K24" s="28">
        <f t="shared" si="13"/>
        <v>133</v>
      </c>
      <c r="L24" s="8">
        <f t="shared" si="4"/>
        <v>217.897234539826</v>
      </c>
      <c r="M24" s="25">
        <f t="shared" si="5"/>
        <v>78.989182800291573</v>
      </c>
      <c r="N24" s="10">
        <f t="shared" si="6"/>
        <v>201.3639230558552</v>
      </c>
      <c r="O24" s="10">
        <f t="shared" si="7"/>
        <v>0</v>
      </c>
      <c r="P24" s="1"/>
      <c r="Q24" s="2" t="s">
        <v>5</v>
      </c>
      <c r="R24" s="7" cm="1">
        <f t="array" ref="R24">1-SUM((K7:K47-M7:M47)^2)/SUM((K7:K47-Mean_of_yd)^2)</f>
        <v>0.96671189340491503</v>
      </c>
    </row>
    <row r="25" spans="2:18" x14ac:dyDescent="0.3">
      <c r="B25" s="9">
        <v>43899</v>
      </c>
      <c r="C25" s="4">
        <v>19</v>
      </c>
      <c r="D25" s="10">
        <f>'dpc-covid19-ita-andamento-naz'!L16</f>
        <v>9172</v>
      </c>
      <c r="E25" s="36">
        <f t="shared" si="12"/>
        <v>1797</v>
      </c>
      <c r="F25" s="8">
        <f t="shared" si="0"/>
        <v>4505.1303830282659</v>
      </c>
      <c r="G25" s="25">
        <f t="shared" si="1"/>
        <v>1421.6473815772197</v>
      </c>
      <c r="H25" s="10">
        <f t="shared" si="10"/>
        <v>2410.892243756186</v>
      </c>
      <c r="I25" s="10">
        <f t="shared" si="11"/>
        <v>432.40251939825316</v>
      </c>
      <c r="J25" s="10">
        <f>'dpc-covid19-ita-andamento-naz'!K16</f>
        <v>463</v>
      </c>
      <c r="K25" s="28">
        <f t="shared" si="13"/>
        <v>97</v>
      </c>
      <c r="L25" s="8">
        <f t="shared" si="4"/>
        <v>308.59093945742416</v>
      </c>
      <c r="M25" s="25">
        <f t="shared" si="5"/>
        <v>103.07114881243251</v>
      </c>
      <c r="N25" s="10">
        <f t="shared" si="6"/>
        <v>225.44588906799615</v>
      </c>
      <c r="O25" s="10">
        <f t="shared" si="7"/>
        <v>0</v>
      </c>
      <c r="P25" s="1"/>
      <c r="Q25" s="2" t="s">
        <v>6</v>
      </c>
      <c r="R25" s="7">
        <f>TINV(0.05,dfd)</f>
        <v>2.0243941639119702</v>
      </c>
    </row>
    <row r="26" spans="2:18" x14ac:dyDescent="0.3">
      <c r="B26" s="22">
        <v>43900</v>
      </c>
      <c r="C26" s="4">
        <v>20</v>
      </c>
      <c r="D26" s="10">
        <f>'dpc-covid19-ita-andamento-naz'!L17</f>
        <v>10149</v>
      </c>
      <c r="E26" s="36">
        <f t="shared" si="12"/>
        <v>977</v>
      </c>
      <c r="F26" s="8">
        <f t="shared" si="0"/>
        <v>6092.1310137204882</v>
      </c>
      <c r="G26" s="25">
        <f t="shared" si="1"/>
        <v>1757.4984339146959</v>
      </c>
      <c r="H26" s="10">
        <f t="shared" si="10"/>
        <v>2746.7432960936621</v>
      </c>
      <c r="I26" s="10">
        <f t="shared" si="11"/>
        <v>768.25357173572934</v>
      </c>
      <c r="J26" s="10">
        <f>'dpc-covid19-ita-andamento-naz'!K17</f>
        <v>631</v>
      </c>
      <c r="K26" s="28">
        <f t="shared" si="13"/>
        <v>168</v>
      </c>
      <c r="L26" s="8">
        <f t="shared" si="4"/>
        <v>425.3906547349419</v>
      </c>
      <c r="M26" s="25">
        <f t="shared" si="5"/>
        <v>131.20186982629178</v>
      </c>
      <c r="N26" s="10">
        <f t="shared" si="6"/>
        <v>253.57661008185542</v>
      </c>
      <c r="O26" s="10">
        <f t="shared" si="7"/>
        <v>8.8271295707281467</v>
      </c>
      <c r="P26" s="1"/>
      <c r="Q26" s="2" t="s">
        <v>7</v>
      </c>
      <c r="R26" s="1">
        <f>Critical_td*SE_of_yd</f>
        <v>122.37474025556364</v>
      </c>
    </row>
    <row r="27" spans="2:18" x14ac:dyDescent="0.3">
      <c r="B27" s="9">
        <v>43901</v>
      </c>
      <c r="C27" s="4">
        <v>21</v>
      </c>
      <c r="D27" s="10">
        <f>'dpc-covid19-ita-andamento-naz'!L18</f>
        <v>12462</v>
      </c>
      <c r="E27" s="36">
        <f t="shared" si="12"/>
        <v>2313</v>
      </c>
      <c r="F27" s="8">
        <f t="shared" si="0"/>
        <v>8029.2676241792424</v>
      </c>
      <c r="G27" s="25">
        <f t="shared" si="1"/>
        <v>2120.7197555471234</v>
      </c>
      <c r="H27" s="10">
        <f t="shared" si="10"/>
        <v>3109.9646177260902</v>
      </c>
      <c r="I27" s="10">
        <f t="shared" si="11"/>
        <v>1131.4748933681569</v>
      </c>
      <c r="J27" s="10">
        <f>'dpc-covid19-ita-andamento-naz'!K18</f>
        <v>827</v>
      </c>
      <c r="K27" s="28">
        <f t="shared" si="13"/>
        <v>196</v>
      </c>
      <c r="L27" s="8">
        <f t="shared" si="4"/>
        <v>572.32387703924292</v>
      </c>
      <c r="M27" s="25">
        <f t="shared" si="5"/>
        <v>163.31549873015521</v>
      </c>
      <c r="N27" s="10">
        <f t="shared" si="6"/>
        <v>285.69023898571885</v>
      </c>
      <c r="O27" s="10">
        <f t="shared" si="7"/>
        <v>40.940758474591576</v>
      </c>
      <c r="P27" s="1"/>
      <c r="Q27" s="32"/>
      <c r="R27" s="33"/>
    </row>
    <row r="28" spans="2:18" x14ac:dyDescent="0.3">
      <c r="B28" s="22">
        <v>43902</v>
      </c>
      <c r="C28" s="4">
        <v>22</v>
      </c>
      <c r="D28" s="10">
        <f>'dpc-covid19-ita-andamento-naz'!L19</f>
        <v>15113</v>
      </c>
      <c r="E28" s="36">
        <f t="shared" si="12"/>
        <v>2651</v>
      </c>
      <c r="F28" s="8">
        <f t="shared" si="0"/>
        <v>10340.079048483762</v>
      </c>
      <c r="G28" s="25">
        <f t="shared" si="1"/>
        <v>2503.4306509672915</v>
      </c>
      <c r="H28" s="10">
        <f t="shared" si="10"/>
        <v>3492.6755131462578</v>
      </c>
      <c r="I28" s="10">
        <f t="shared" si="11"/>
        <v>1514.185788788325</v>
      </c>
      <c r="J28" s="10">
        <f>'dpc-covid19-ita-andamento-naz'!K19</f>
        <v>1016</v>
      </c>
      <c r="K28" s="28">
        <f t="shared" si="13"/>
        <v>189</v>
      </c>
      <c r="L28" s="8">
        <f t="shared" si="4"/>
        <v>753.28228287800755</v>
      </c>
      <c r="M28" s="25">
        <f t="shared" si="5"/>
        <v>199.20651223695972</v>
      </c>
      <c r="N28" s="10">
        <f t="shared" si="6"/>
        <v>321.58125249252339</v>
      </c>
      <c r="O28" s="10">
        <f t="shared" si="7"/>
        <v>76.831771981396088</v>
      </c>
      <c r="P28" s="1"/>
      <c r="Q28" s="5"/>
    </row>
    <row r="29" spans="2:18" x14ac:dyDescent="0.3">
      <c r="B29" s="9">
        <v>43903</v>
      </c>
      <c r="C29" s="4">
        <v>23</v>
      </c>
      <c r="D29" s="10">
        <f>'dpc-covid19-ita-andamento-naz'!L20</f>
        <v>17660</v>
      </c>
      <c r="E29" s="36">
        <f t="shared" si="12"/>
        <v>2547</v>
      </c>
      <c r="F29" s="8">
        <f t="shared" si="0"/>
        <v>13039.64688609971</v>
      </c>
      <c r="G29" s="25">
        <f t="shared" si="1"/>
        <v>2896.6757544741527</v>
      </c>
      <c r="H29" s="10">
        <f t="shared" si="10"/>
        <v>3885.9206166531194</v>
      </c>
      <c r="I29" s="10">
        <f t="shared" si="11"/>
        <v>1907.4308922951861</v>
      </c>
      <c r="J29" s="10">
        <f>'dpc-covid19-ita-andamento-naz'!K20</f>
        <v>1266</v>
      </c>
      <c r="K29" s="28">
        <f t="shared" si="13"/>
        <v>250</v>
      </c>
      <c r="L29" s="8">
        <f t="shared" si="4"/>
        <v>971.8840822779498</v>
      </c>
      <c r="M29" s="25">
        <f t="shared" si="5"/>
        <v>238.53496222915001</v>
      </c>
      <c r="N29" s="10">
        <f t="shared" si="6"/>
        <v>360.90970248471365</v>
      </c>
      <c r="O29" s="10">
        <f t="shared" si="7"/>
        <v>116.16022197358637</v>
      </c>
      <c r="P29" s="1"/>
    </row>
    <row r="30" spans="2:18" x14ac:dyDescent="0.3">
      <c r="B30" s="9">
        <v>43904</v>
      </c>
      <c r="C30" s="4">
        <v>24</v>
      </c>
      <c r="D30" s="10">
        <f>'dpc-covid19-ita-andamento-naz'!L21</f>
        <v>21157</v>
      </c>
      <c r="E30" s="36">
        <f t="shared" si="12"/>
        <v>3497</v>
      </c>
      <c r="F30" s="8">
        <f t="shared" si="0"/>
        <v>16133.761315140013</v>
      </c>
      <c r="G30" s="25">
        <f t="shared" si="1"/>
        <v>3290.9098875751779</v>
      </c>
      <c r="H30" s="10">
        <f t="shared" si="10"/>
        <v>4280.1547497541442</v>
      </c>
      <c r="I30" s="10">
        <f t="shared" si="11"/>
        <v>2301.6650253962116</v>
      </c>
      <c r="J30" s="10">
        <f>'dpc-covid19-ita-andamento-naz'!K21</f>
        <v>1441</v>
      </c>
      <c r="K30" s="28">
        <f t="shared" si="13"/>
        <v>175</v>
      </c>
      <c r="L30" s="8">
        <f t="shared" si="4"/>
        <v>1231.3450371805736</v>
      </c>
      <c r="M30" s="25">
        <f t="shared" si="5"/>
        <v>280.83838052069234</v>
      </c>
      <c r="N30" s="10">
        <f t="shared" si="6"/>
        <v>403.21312077625601</v>
      </c>
      <c r="O30" s="10">
        <f t="shared" si="7"/>
        <v>158.4636402651287</v>
      </c>
      <c r="P30" s="1"/>
    </row>
    <row r="31" spans="2:18" x14ac:dyDescent="0.3">
      <c r="B31" s="9">
        <v>43905</v>
      </c>
      <c r="C31" s="4">
        <v>25</v>
      </c>
      <c r="D31" s="10">
        <f>'dpc-covid19-ita-andamento-naz'!L22</f>
        <v>24747</v>
      </c>
      <c r="E31" s="36">
        <f t="shared" si="12"/>
        <v>3590</v>
      </c>
      <c r="F31" s="8">
        <f t="shared" si="0"/>
        <v>19618.57685190652</v>
      </c>
      <c r="G31" s="25">
        <f t="shared" si="1"/>
        <v>3676.4867058895279</v>
      </c>
      <c r="H31" s="10">
        <f t="shared" si="10"/>
        <v>4665.7315680684942</v>
      </c>
      <c r="I31" s="10">
        <f t="shared" si="11"/>
        <v>2687.2418437105616</v>
      </c>
      <c r="J31" s="10">
        <f>'dpc-covid19-ita-andamento-naz'!K22</f>
        <v>1809</v>
      </c>
      <c r="K31" s="28">
        <f t="shared" si="13"/>
        <v>368</v>
      </c>
      <c r="L31" s="8">
        <f t="shared" si="4"/>
        <v>1534.3642263476693</v>
      </c>
      <c r="M31" s="25">
        <f t="shared" si="5"/>
        <v>325.54914696825</v>
      </c>
      <c r="N31" s="10">
        <f t="shared" si="6"/>
        <v>447.92388722381361</v>
      </c>
      <c r="O31" s="10">
        <f t="shared" si="7"/>
        <v>203.17440671268636</v>
      </c>
      <c r="P31" s="1"/>
    </row>
    <row r="32" spans="2:18" x14ac:dyDescent="0.3">
      <c r="B32" s="9">
        <v>43906</v>
      </c>
      <c r="C32" s="4">
        <v>26</v>
      </c>
      <c r="D32" s="10">
        <f>'dpc-covid19-ita-andamento-naz'!L23</f>
        <v>27980</v>
      </c>
      <c r="E32" s="36">
        <f t="shared" si="12"/>
        <v>3233</v>
      </c>
      <c r="F32" s="8">
        <f t="shared" si="0"/>
        <v>23480.743771963331</v>
      </c>
      <c r="G32" s="25">
        <f t="shared" si="1"/>
        <v>4044.1161473202401</v>
      </c>
      <c r="H32" s="10">
        <f t="shared" si="10"/>
        <v>5033.3610094992064</v>
      </c>
      <c r="I32" s="10">
        <f t="shared" si="11"/>
        <v>3054.8712851412738</v>
      </c>
      <c r="J32" s="10">
        <f>'dpc-covid19-ita-andamento-naz'!K23</f>
        <v>2158</v>
      </c>
      <c r="K32" s="28">
        <f t="shared" si="13"/>
        <v>349</v>
      </c>
      <c r="L32" s="8">
        <f t="shared" si="4"/>
        <v>1883.0293316866853</v>
      </c>
      <c r="M32" s="25">
        <f t="shared" si="5"/>
        <v>372.01592048482524</v>
      </c>
      <c r="N32" s="10">
        <f t="shared" si="6"/>
        <v>494.39066074038885</v>
      </c>
      <c r="O32" s="10">
        <f t="shared" si="7"/>
        <v>249.64118022926161</v>
      </c>
      <c r="P32" s="1"/>
    </row>
    <row r="33" spans="2:21" x14ac:dyDescent="0.3">
      <c r="B33" s="9">
        <v>43907</v>
      </c>
      <c r="C33" s="4">
        <v>27</v>
      </c>
      <c r="D33" s="10">
        <f>'dpc-covid19-ita-andamento-naz'!L24</f>
        <v>31506</v>
      </c>
      <c r="E33" s="36">
        <f t="shared" si="12"/>
        <v>3526</v>
      </c>
      <c r="F33" s="8">
        <f t="shared" si="0"/>
        <v>27697.969685492233</v>
      </c>
      <c r="G33" s="25">
        <f t="shared" si="1"/>
        <v>4385.2634684339719</v>
      </c>
      <c r="H33" s="10">
        <f t="shared" si="10"/>
        <v>5374.5083306129382</v>
      </c>
      <c r="I33" s="10">
        <f t="shared" si="11"/>
        <v>3396.0186062550056</v>
      </c>
      <c r="J33" s="10">
        <f>'dpc-covid19-ita-andamento-naz'!K24</f>
        <v>2503</v>
      </c>
      <c r="K33" s="28">
        <f t="shared" si="13"/>
        <v>345</v>
      </c>
      <c r="L33" s="8">
        <f t="shared" si="4"/>
        <v>2278.7447709676107</v>
      </c>
      <c r="M33" s="25">
        <f t="shared" si="5"/>
        <v>419.52765406516323</v>
      </c>
      <c r="N33" s="10">
        <f t="shared" si="6"/>
        <v>541.9023943207269</v>
      </c>
      <c r="O33" s="10">
        <f t="shared" si="7"/>
        <v>297.15291380959957</v>
      </c>
      <c r="P33" s="1"/>
    </row>
    <row r="34" spans="2:21" x14ac:dyDescent="0.3">
      <c r="B34" s="9">
        <v>43908</v>
      </c>
      <c r="C34" s="4">
        <v>28</v>
      </c>
      <c r="D34" s="10">
        <f>'dpc-covid19-ita-andamento-naz'!L25</f>
        <v>35713</v>
      </c>
      <c r="E34" s="36">
        <f t="shared" si="12"/>
        <v>4207</v>
      </c>
      <c r="F34" s="8">
        <f t="shared" si="0"/>
        <v>32239.942847932321</v>
      </c>
      <c r="G34" s="25">
        <f t="shared" si="1"/>
        <v>4692.4713143406798</v>
      </c>
      <c r="H34" s="10">
        <f t="shared" si="10"/>
        <v>5681.7161765196461</v>
      </c>
      <c r="I34" s="10">
        <f t="shared" si="11"/>
        <v>3703.2264521617135</v>
      </c>
      <c r="J34" s="10">
        <f>'dpc-covid19-ita-andamento-naz'!K25</f>
        <v>2978</v>
      </c>
      <c r="K34" s="28">
        <f t="shared" si="13"/>
        <v>475</v>
      </c>
      <c r="L34" s="8">
        <f t="shared" si="4"/>
        <v>2722.1845315030155</v>
      </c>
      <c r="M34" s="25">
        <f t="shared" si="5"/>
        <v>467.33874866761431</v>
      </c>
      <c r="N34" s="10">
        <f t="shared" si="6"/>
        <v>589.71348892317792</v>
      </c>
      <c r="O34" s="10">
        <f t="shared" si="7"/>
        <v>344.9640084120507</v>
      </c>
      <c r="U34" s="1"/>
    </row>
    <row r="35" spans="2:21" x14ac:dyDescent="0.3">
      <c r="B35" s="9">
        <v>43909</v>
      </c>
      <c r="C35" s="4">
        <v>29</v>
      </c>
      <c r="D35" s="10">
        <f>'dpc-covid19-ita-andamento-naz'!L26</f>
        <v>41035</v>
      </c>
      <c r="E35" s="36">
        <f t="shared" si="12"/>
        <v>5322</v>
      </c>
      <c r="F35" s="8">
        <f t="shared" si="0"/>
        <v>37069.534545814582</v>
      </c>
      <c r="G35" s="25">
        <f t="shared" si="1"/>
        <v>4959.5948045377545</v>
      </c>
      <c r="H35" s="10">
        <f t="shared" si="10"/>
        <v>5948.8396667167208</v>
      </c>
      <c r="I35" s="10">
        <f t="shared" si="11"/>
        <v>3970.3499423587882</v>
      </c>
      <c r="J35" s="10">
        <f>'dpc-covid19-ita-andamento-naz'!K26</f>
        <v>3405</v>
      </c>
      <c r="K35" s="28">
        <f t="shared" si="13"/>
        <v>427</v>
      </c>
      <c r="L35" s="8">
        <f t="shared" si="4"/>
        <v>3213.2701687501317</v>
      </c>
      <c r="M35" s="25">
        <f t="shared" si="5"/>
        <v>514.69402238600287</v>
      </c>
      <c r="N35" s="10">
        <f t="shared" si="6"/>
        <v>637.06876264156654</v>
      </c>
      <c r="O35" s="10">
        <f t="shared" si="7"/>
        <v>392.31928213043921</v>
      </c>
    </row>
    <row r="36" spans="2:21" x14ac:dyDescent="0.3">
      <c r="B36" s="9">
        <v>43910</v>
      </c>
      <c r="C36" s="4">
        <v>30</v>
      </c>
      <c r="D36" s="10">
        <f>'dpc-covid19-ita-andamento-naz'!L27</f>
        <v>47021</v>
      </c>
      <c r="E36" s="36">
        <f t="shared" si="12"/>
        <v>5986</v>
      </c>
      <c r="F36" s="8">
        <f t="shared" si="0"/>
        <v>42144.191814605518</v>
      </c>
      <c r="G36" s="25">
        <f t="shared" si="1"/>
        <v>5181.9472961001211</v>
      </c>
      <c r="H36" s="10">
        <f t="shared" si="10"/>
        <v>6171.1921582790874</v>
      </c>
      <c r="I36" s="10">
        <f t="shared" si="11"/>
        <v>4192.7024339211548</v>
      </c>
      <c r="J36" s="10">
        <f>'dpc-covid19-ita-andamento-naz'!K27</f>
        <v>4032</v>
      </c>
      <c r="K36" s="28">
        <f t="shared" si="13"/>
        <v>627</v>
      </c>
      <c r="L36" s="8">
        <f t="shared" si="4"/>
        <v>3751.173198001216</v>
      </c>
      <c r="M36" s="25">
        <f t="shared" si="5"/>
        <v>560.85235515754687</v>
      </c>
      <c r="N36" s="10">
        <f t="shared" si="6"/>
        <v>683.22709541311053</v>
      </c>
      <c r="O36" s="10">
        <f t="shared" si="7"/>
        <v>438.4776149019832</v>
      </c>
    </row>
    <row r="37" spans="2:21" x14ac:dyDescent="0.3">
      <c r="B37" s="9">
        <v>43911</v>
      </c>
      <c r="C37" s="4">
        <v>31</v>
      </c>
      <c r="D37" s="10">
        <f>'dpc-covid19-ita-andamento-naz'!L28</f>
        <v>53578</v>
      </c>
      <c r="E37" s="36">
        <f t="shared" si="12"/>
        <v>6557</v>
      </c>
      <c r="F37" s="8">
        <f t="shared" si="0"/>
        <v>47417.432706543907</v>
      </c>
      <c r="G37" s="25">
        <f t="shared" si="1"/>
        <v>5356.3608385446842</v>
      </c>
      <c r="H37" s="10">
        <f t="shared" si="10"/>
        <v>6345.6057007236504</v>
      </c>
      <c r="I37" s="10">
        <f t="shared" si="11"/>
        <v>4367.1159763657179</v>
      </c>
      <c r="J37" s="10">
        <f>'dpc-covid19-ita-andamento-naz'!K28</f>
        <v>4825</v>
      </c>
      <c r="K37" s="28">
        <f t="shared" si="13"/>
        <v>793</v>
      </c>
      <c r="L37" s="8">
        <f t="shared" si="4"/>
        <v>4334.3400761593912</v>
      </c>
      <c r="M37" s="25">
        <f t="shared" si="5"/>
        <v>605.10809079996409</v>
      </c>
      <c r="N37" s="10">
        <f t="shared" si="6"/>
        <v>727.48283105552775</v>
      </c>
      <c r="O37" s="10">
        <f t="shared" si="7"/>
        <v>482.73335054440042</v>
      </c>
    </row>
    <row r="38" spans="2:21" x14ac:dyDescent="0.3">
      <c r="B38" s="9">
        <v>43912</v>
      </c>
      <c r="C38" s="4">
        <v>32</v>
      </c>
      <c r="D38" s="10">
        <f>'dpc-covid19-ita-andamento-naz'!L29</f>
        <v>59138</v>
      </c>
      <c r="E38" s="36">
        <f t="shared" si="12"/>
        <v>5560</v>
      </c>
      <c r="F38" s="8">
        <f t="shared" si="0"/>
        <v>52840.362874175051</v>
      </c>
      <c r="G38" s="25">
        <f t="shared" si="1"/>
        <v>5481.1701348818615</v>
      </c>
      <c r="H38" s="10">
        <f t="shared" si="10"/>
        <v>6470.4149970608278</v>
      </c>
      <c r="I38" s="10">
        <f t="shared" si="11"/>
        <v>4491.9252727028952</v>
      </c>
      <c r="J38" s="10">
        <f>'dpc-covid19-ita-andamento-naz'!K29</f>
        <v>5476</v>
      </c>
      <c r="K38" s="28">
        <f t="shared" si="13"/>
        <v>651</v>
      </c>
      <c r="L38" s="8">
        <f t="shared" si="4"/>
        <v>4960.5371706557371</v>
      </c>
      <c r="M38" s="25">
        <f t="shared" si="5"/>
        <v>646.80951575473694</v>
      </c>
      <c r="N38" s="10">
        <f t="shared" si="6"/>
        <v>769.1842560103006</v>
      </c>
      <c r="O38" s="10">
        <f t="shared" si="7"/>
        <v>524.43477549917327</v>
      </c>
    </row>
    <row r="39" spans="2:21" x14ac:dyDescent="0.3">
      <c r="B39" s="22">
        <v>43913</v>
      </c>
      <c r="C39" s="4">
        <v>33</v>
      </c>
      <c r="D39" s="10">
        <f>'dpc-covid19-ita-andamento-naz'!L30</f>
        <v>63927</v>
      </c>
      <c r="E39" s="36">
        <f t="shared" si="12"/>
        <v>4789</v>
      </c>
      <c r="F39" s="8">
        <f t="shared" ref="F39:F70" si="14">Kn*t0n*_xlfn.GAMMA.DIST($C39/t0n,wn+1,1,1)*_xlfn.GAMMA(wn+1)</f>
        <v>58363.142786970595</v>
      </c>
      <c r="G39" s="25">
        <f t="shared" ref="G39:G70" si="15">Kn*(($C39/t0n)^wn)*EXP(-($C39/t0n))</f>
        <v>5556.1320394730046</v>
      </c>
      <c r="H39" s="10">
        <f t="shared" si="10"/>
        <v>6545.3769016519709</v>
      </c>
      <c r="I39" s="10">
        <f t="shared" si="11"/>
        <v>4566.8871772940383</v>
      </c>
      <c r="J39" s="10">
        <f>'dpc-covid19-ita-andamento-naz'!K30</f>
        <v>6077</v>
      </c>
      <c r="K39" s="28">
        <f t="shared" si="13"/>
        <v>601</v>
      </c>
      <c r="L39" s="8">
        <f t="shared" ref="L39:L70" si="16">Kd*t0d*_xlfn.GAMMA.DIST($C39/t0d,wd+1,1,1)*_xlfn.GAMMA(wd+1)</f>
        <v>5626.9125505734592</v>
      </c>
      <c r="M39" s="25">
        <f t="shared" ref="M39:M70" si="17">Kd*(($C39/t0d)^wd)*EXP(-($C39/t0d))</f>
        <v>685.37396958089084</v>
      </c>
      <c r="N39" s="10">
        <f t="shared" si="6"/>
        <v>807.74870983645451</v>
      </c>
      <c r="O39" s="10">
        <f t="shared" si="7"/>
        <v>562.99922932532718</v>
      </c>
    </row>
    <row r="40" spans="2:21" x14ac:dyDescent="0.3">
      <c r="B40" s="9">
        <v>43914</v>
      </c>
      <c r="C40" s="4">
        <v>34</v>
      </c>
      <c r="D40" s="10">
        <f>'dpc-covid19-ita-andamento-naz'!L31</f>
        <v>69176</v>
      </c>
      <c r="E40" s="36">
        <f t="shared" si="12"/>
        <v>5249</v>
      </c>
      <c r="F40" s="8">
        <f t="shared" si="14"/>
        <v>63936.347916405692</v>
      </c>
      <c r="G40" s="25">
        <f t="shared" si="15"/>
        <v>5582.2943677991279</v>
      </c>
      <c r="H40" s="10">
        <f t="shared" si="10"/>
        <v>6571.5392299780942</v>
      </c>
      <c r="I40" s="10">
        <f t="shared" si="11"/>
        <v>4593.0495056201617</v>
      </c>
      <c r="J40" s="10">
        <f>'dpc-covid19-ita-andamento-naz'!K31</f>
        <v>6820</v>
      </c>
      <c r="K40" s="28">
        <f t="shared" si="13"/>
        <v>743</v>
      </c>
      <c r="L40" s="8">
        <f t="shared" si="16"/>
        <v>6330.0711018314023</v>
      </c>
      <c r="M40" s="25">
        <f t="shared" si="17"/>
        <v>720.2993621720185</v>
      </c>
      <c r="N40" s="10">
        <f t="shared" si="6"/>
        <v>842.67410242758217</v>
      </c>
      <c r="O40" s="10">
        <f t="shared" si="7"/>
        <v>597.92462191645484</v>
      </c>
    </row>
    <row r="41" spans="2:21" x14ac:dyDescent="0.3">
      <c r="B41" s="9">
        <v>43915</v>
      </c>
      <c r="C41" s="4">
        <v>35</v>
      </c>
      <c r="D41" s="10">
        <f>'dpc-covid19-ita-andamento-naz'!L32</f>
        <v>74386</v>
      </c>
      <c r="E41" s="36">
        <f t="shared" si="12"/>
        <v>5210</v>
      </c>
      <c r="F41" s="8">
        <f t="shared" si="14"/>
        <v>69512.178334656681</v>
      </c>
      <c r="G41" s="25">
        <f t="shared" si="15"/>
        <v>5561.8282720294328</v>
      </c>
      <c r="H41" s="10">
        <f t="shared" si="10"/>
        <v>6551.0731342083991</v>
      </c>
      <c r="I41" s="10">
        <f t="shared" si="11"/>
        <v>4572.5834098504665</v>
      </c>
      <c r="J41" s="10">
        <f>'dpc-covid19-ita-andamento-naz'!K32</f>
        <v>7503</v>
      </c>
      <c r="K41" s="28">
        <f t="shared" si="13"/>
        <v>683</v>
      </c>
      <c r="L41" s="8">
        <f t="shared" si="16"/>
        <v>7066.1593429058048</v>
      </c>
      <c r="M41" s="25">
        <f t="shared" si="17"/>
        <v>751.17206712540724</v>
      </c>
      <c r="N41" s="10">
        <f t="shared" si="6"/>
        <v>873.5468073809709</v>
      </c>
      <c r="O41" s="10">
        <f t="shared" si="7"/>
        <v>628.79732686984357</v>
      </c>
    </row>
    <row r="42" spans="2:21" x14ac:dyDescent="0.3">
      <c r="B42" s="9">
        <v>43916</v>
      </c>
      <c r="C42" s="4">
        <v>36</v>
      </c>
      <c r="D42" s="10">
        <f>'dpc-covid19-ita-andamento-naz'!L33</f>
        <v>80539</v>
      </c>
      <c r="E42" s="36">
        <f t="shared" si="12"/>
        <v>6153</v>
      </c>
      <c r="F42" s="8">
        <f t="shared" si="14"/>
        <v>75045.488233102602</v>
      </c>
      <c r="G42" s="25">
        <f t="shared" si="15"/>
        <v>5497.8379045926958</v>
      </c>
      <c r="H42" s="10">
        <f t="shared" si="10"/>
        <v>6487.0827667716621</v>
      </c>
      <c r="I42" s="10">
        <f t="shared" si="11"/>
        <v>4508.5930424137296</v>
      </c>
      <c r="J42" s="10">
        <f>'dpc-covid19-ita-andamento-naz'!K33</f>
        <v>8165</v>
      </c>
      <c r="K42" s="28">
        <f t="shared" si="13"/>
        <v>662</v>
      </c>
      <c r="L42" s="8">
        <f t="shared" si="16"/>
        <v>7830.9563712786303</v>
      </c>
      <c r="M42" s="25">
        <f t="shared" si="17"/>
        <v>777.67132369245451</v>
      </c>
      <c r="N42" s="10">
        <f t="shared" si="6"/>
        <v>900.04606394801817</v>
      </c>
      <c r="O42" s="10">
        <f t="shared" si="7"/>
        <v>655.29658343689084</v>
      </c>
    </row>
    <row r="43" spans="2:21" x14ac:dyDescent="0.3">
      <c r="B43" s="9">
        <v>43917</v>
      </c>
      <c r="C43" s="4">
        <v>37</v>
      </c>
      <c r="D43" s="10">
        <f>'dpc-covid19-ita-andamento-naz'!L34</f>
        <v>86498</v>
      </c>
      <c r="E43" s="36">
        <f t="shared" si="12"/>
        <v>5959</v>
      </c>
      <c r="F43" s="8">
        <f t="shared" si="14"/>
        <v>80494.619003221393</v>
      </c>
      <c r="G43" s="25">
        <f t="shared" si="15"/>
        <v>5394.1598188898497</v>
      </c>
      <c r="H43" s="10">
        <f t="shared" si="10"/>
        <v>6383.404681068816</v>
      </c>
      <c r="I43" s="10">
        <f t="shared" si="11"/>
        <v>4404.9149567108834</v>
      </c>
      <c r="J43" s="10">
        <f>'dpc-covid19-ita-andamento-naz'!K34</f>
        <v>9134</v>
      </c>
      <c r="K43" s="28">
        <f t="shared" si="13"/>
        <v>969</v>
      </c>
      <c r="L43" s="8">
        <f t="shared" si="16"/>
        <v>8619.9675705177888</v>
      </c>
      <c r="M43" s="25">
        <f t="shared" si="17"/>
        <v>799.57040853073056</v>
      </c>
      <c r="N43" s="10">
        <f t="shared" si="6"/>
        <v>921.94514878629423</v>
      </c>
      <c r="O43" s="10">
        <f t="shared" si="7"/>
        <v>677.1956682751669</v>
      </c>
    </row>
    <row r="44" spans="2:21" x14ac:dyDescent="0.3">
      <c r="B44" s="9">
        <v>43918</v>
      </c>
      <c r="C44" s="4">
        <v>38</v>
      </c>
      <c r="D44" s="10">
        <f>'dpc-covid19-ita-andamento-naz'!L35</f>
        <v>92472</v>
      </c>
      <c r="E44" s="36">
        <f t="shared" si="12"/>
        <v>5974</v>
      </c>
      <c r="F44" s="8">
        <f t="shared" si="14"/>
        <v>85822.031123159075</v>
      </c>
      <c r="G44" s="25">
        <f t="shared" si="15"/>
        <v>5255.1627986566136</v>
      </c>
      <c r="H44" s="10">
        <f t="shared" si="10"/>
        <v>6244.4076608355799</v>
      </c>
      <c r="I44" s="10">
        <f t="shared" ref="I44" si="18">MAX(G44-CIn,0)</f>
        <v>4265.9179364776473</v>
      </c>
      <c r="J44" s="10">
        <f>'dpc-covid19-ita-andamento-naz'!K35</f>
        <v>10023</v>
      </c>
      <c r="K44" s="28">
        <f t="shared" si="13"/>
        <v>889</v>
      </c>
      <c r="L44" s="8">
        <f t="shared" si="16"/>
        <v>9428.5180191485015</v>
      </c>
      <c r="M44" s="25">
        <f t="shared" si="17"/>
        <v>816.73493292586681</v>
      </c>
      <c r="N44" s="10">
        <f t="shared" si="6"/>
        <v>939.10967318143048</v>
      </c>
      <c r="O44" s="10">
        <f t="shared" si="7"/>
        <v>694.36019267030315</v>
      </c>
    </row>
    <row r="45" spans="2:21" x14ac:dyDescent="0.3">
      <c r="B45" s="9">
        <v>43919</v>
      </c>
      <c r="C45" s="4">
        <v>39</v>
      </c>
      <c r="D45" s="10">
        <f>'dpc-covid19-ita-andamento-naz'!L36</f>
        <v>97689</v>
      </c>
      <c r="E45" s="36">
        <f t="shared" si="12"/>
        <v>5217</v>
      </c>
      <c r="F45" s="8">
        <f t="shared" si="14"/>
        <v>90994.739790254971</v>
      </c>
      <c r="G45" s="25">
        <f t="shared" si="15"/>
        <v>5085.5567925529031</v>
      </c>
      <c r="H45" s="10">
        <f t="shared" ref="H45" si="19">G45+CIn</f>
        <v>6074.8016547318693</v>
      </c>
      <c r="I45" s="10">
        <f t="shared" ref="I45" si="20">MAX(G45-CIn,0)</f>
        <v>4096.3119303739368</v>
      </c>
      <c r="J45" s="10">
        <f>'dpc-covid19-ita-andamento-naz'!K36</f>
        <v>10779</v>
      </c>
      <c r="K45" s="28">
        <f t="shared" si="13"/>
        <v>756</v>
      </c>
      <c r="L45" s="8">
        <f t="shared" si="16"/>
        <v>10251.842931713645</v>
      </c>
      <c r="M45" s="25">
        <f t="shared" si="17"/>
        <v>829.1186831147528</v>
      </c>
      <c r="N45" s="10">
        <f t="shared" si="6"/>
        <v>951.49342337031646</v>
      </c>
      <c r="O45" s="10">
        <f t="shared" si="7"/>
        <v>706.74394285918913</v>
      </c>
    </row>
    <row r="46" spans="2:21" x14ac:dyDescent="0.3">
      <c r="B46" s="9">
        <v>43920</v>
      </c>
      <c r="C46" s="4">
        <v>40</v>
      </c>
      <c r="D46" s="10">
        <f>'dpc-covid19-ita-andamento-naz'!L37</f>
        <v>101739</v>
      </c>
      <c r="E46" s="36">
        <f t="shared" si="12"/>
        <v>4050</v>
      </c>
      <c r="F46" s="8">
        <f t="shared" si="14"/>
        <v>95984.566873358766</v>
      </c>
      <c r="G46" s="25">
        <f t="shared" si="15"/>
        <v>4890.2175463890853</v>
      </c>
      <c r="H46" s="10">
        <f t="shared" ref="H46:H47" si="21">G46+CIn</f>
        <v>5879.4624085680516</v>
      </c>
      <c r="I46" s="10">
        <f t="shared" ref="I46:I47" si="22">MAX(G46-CIn,0)</f>
        <v>3900.972684210119</v>
      </c>
      <c r="J46" s="10">
        <f>'dpc-covid19-ita-andamento-naz'!K37</f>
        <v>11591</v>
      </c>
      <c r="K46" s="28">
        <f t="shared" si="13"/>
        <v>812</v>
      </c>
      <c r="L46" s="8">
        <f t="shared" si="16"/>
        <v>11085.172898693294</v>
      </c>
      <c r="M46" s="25">
        <f t="shared" si="17"/>
        <v>836.7574540769715</v>
      </c>
    </row>
    <row r="47" spans="2:21" x14ac:dyDescent="0.3">
      <c r="B47" s="9">
        <v>43921</v>
      </c>
      <c r="C47" s="4">
        <v>41</v>
      </c>
      <c r="D47" s="10">
        <f>'dpc-covid19-ita-andamento-naz'!L38</f>
        <v>105792</v>
      </c>
      <c r="E47" s="36">
        <f t="shared" si="12"/>
        <v>4053</v>
      </c>
      <c r="F47" s="8">
        <f t="shared" si="14"/>
        <v>100768.22733587225</v>
      </c>
      <c r="G47" s="25">
        <f t="shared" si="15"/>
        <v>4674.0315173198896</v>
      </c>
      <c r="H47" s="10">
        <f t="shared" si="21"/>
        <v>5663.2763794988559</v>
      </c>
      <c r="I47" s="10">
        <f t="shared" si="22"/>
        <v>3684.7866551409234</v>
      </c>
      <c r="J47" s="10">
        <f>'dpc-covid19-ita-andamento-naz'!K38</f>
        <v>12428</v>
      </c>
      <c r="K47" s="28">
        <f t="shared" si="13"/>
        <v>837</v>
      </c>
      <c r="L47" s="8">
        <f t="shared" si="16"/>
        <v>11923.812148043058</v>
      </c>
      <c r="M47" s="25">
        <f t="shared" si="17"/>
        <v>839.76133479469058</v>
      </c>
    </row>
    <row r="48" spans="2:21" x14ac:dyDescent="0.3">
      <c r="B48" s="9">
        <v>43922</v>
      </c>
      <c r="C48" s="4">
        <v>42</v>
      </c>
      <c r="E48" s="36"/>
      <c r="F48" s="8">
        <f t="shared" si="14"/>
        <v>105327.27193230277</v>
      </c>
      <c r="G48" s="25">
        <f t="shared" si="15"/>
        <v>4441.763825855508</v>
      </c>
      <c r="K48" s="28"/>
      <c r="L48" s="8">
        <f t="shared" si="16"/>
        <v>12763.20850417009</v>
      </c>
      <c r="M48" s="25">
        <f t="shared" si="17"/>
        <v>838.30589006036712</v>
      </c>
    </row>
    <row r="49" spans="2:13" x14ac:dyDescent="0.3">
      <c r="B49" s="9">
        <v>43923</v>
      </c>
      <c r="C49" s="4">
        <v>43</v>
      </c>
      <c r="E49" s="36"/>
      <c r="F49" s="8">
        <f t="shared" si="14"/>
        <v>109647.90992306925</v>
      </c>
      <c r="G49" s="25">
        <f t="shared" si="15"/>
        <v>4197.9504183058643</v>
      </c>
      <c r="K49" s="28"/>
      <c r="L49" s="8">
        <f t="shared" si="16"/>
        <v>13599.01415195411</v>
      </c>
      <c r="M49" s="25">
        <f t="shared" si="17"/>
        <v>832.62265505140635</v>
      </c>
    </row>
    <row r="50" spans="2:13" x14ac:dyDescent="0.3">
      <c r="B50" s="9">
        <v>43924</v>
      </c>
      <c r="C50" s="4">
        <v>44</v>
      </c>
      <c r="E50" s="36"/>
      <c r="F50" s="8">
        <f t="shared" si="14"/>
        <v>113720.73604876752</v>
      </c>
      <c r="G50" s="25">
        <f t="shared" si="15"/>
        <v>3946.8143077553027</v>
      </c>
      <c r="K50" s="28"/>
      <c r="L50" s="8">
        <f t="shared" si="16"/>
        <v>14427.136710232287</v>
      </c>
      <c r="M50" s="25">
        <f t="shared" si="17"/>
        <v>822.98931850253325</v>
      </c>
    </row>
    <row r="51" spans="2:13" x14ac:dyDescent="0.3">
      <c r="B51" s="9">
        <v>43925</v>
      </c>
      <c r="C51" s="4">
        <v>45</v>
      </c>
      <c r="E51" s="36"/>
      <c r="F51" s="8">
        <f t="shared" si="14"/>
        <v>117540.38534053264</v>
      </c>
      <c r="G51" s="25">
        <f t="shared" si="15"/>
        <v>3692.2047436043958</v>
      </c>
      <c r="K51" s="28"/>
      <c r="L51" s="8">
        <f t="shared" si="16"/>
        <v>15243.780471520458</v>
      </c>
      <c r="M51" s="25">
        <f t="shared" si="17"/>
        <v>809.71992241107375</v>
      </c>
    </row>
    <row r="52" spans="2:13" x14ac:dyDescent="0.3">
      <c r="B52" s="9">
        <v>43926</v>
      </c>
      <c r="C52" s="4">
        <v>46</v>
      </c>
      <c r="E52" s="36"/>
      <c r="F52" s="8">
        <f t="shared" si="14"/>
        <v>121105.13779955961</v>
      </c>
      <c r="G52" s="25">
        <f t="shared" si="15"/>
        <v>3437.5574165591197</v>
      </c>
      <c r="K52" s="28"/>
      <c r="L52" s="8">
        <f t="shared" si="16"/>
        <v>16045.477966934171</v>
      </c>
      <c r="M52" s="25">
        <f t="shared" si="17"/>
        <v>793.155354319205</v>
      </c>
    </row>
    <row r="53" spans="2:13" x14ac:dyDescent="0.3">
      <c r="B53" s="9">
        <v>43927</v>
      </c>
      <c r="C53" s="4">
        <v>47</v>
      </c>
      <c r="E53" s="36"/>
      <c r="F53" s="8">
        <f t="shared" si="14"/>
        <v>124416.49281961274</v>
      </c>
      <c r="G53" s="25">
        <f t="shared" si="15"/>
        <v>3185.8733128217509</v>
      </c>
      <c r="K53" s="28"/>
      <c r="L53" s="8">
        <f t="shared" si="16"/>
        <v>16829.112264825653</v>
      </c>
      <c r="M53" s="25">
        <f t="shared" si="17"/>
        <v>773.65435527297109</v>
      </c>
    </row>
    <row r="54" spans="2:13" x14ac:dyDescent="0.3">
      <c r="B54" s="9">
        <v>43928</v>
      </c>
      <c r="C54" s="4">
        <v>48</v>
      </c>
      <c r="E54" s="36"/>
      <c r="F54" s="8">
        <f t="shared" si="14"/>
        <v>127478.73068546843</v>
      </c>
      <c r="G54" s="25">
        <f t="shared" si="15"/>
        <v>2939.7135551091419</v>
      </c>
      <c r="K54" s="28"/>
      <c r="L54" s="8">
        <f t="shared" si="16"/>
        <v>17591.930608742066</v>
      </c>
      <c r="M54" s="25">
        <f t="shared" si="17"/>
        <v>751.58521492067382</v>
      </c>
    </row>
    <row r="55" spans="2:13" x14ac:dyDescent="0.3">
      <c r="B55" s="9">
        <v>43929</v>
      </c>
      <c r="C55" s="4">
        <v>49</v>
      </c>
      <c r="E55" s="36"/>
      <c r="F55" s="8">
        <f t="shared" si="14"/>
        <v>130298.47575639827</v>
      </c>
      <c r="G55" s="25">
        <f t="shared" si="15"/>
        <v>2701.2074720511514</v>
      </c>
      <c r="K55" s="28"/>
      <c r="L55" s="8">
        <f t="shared" si="16"/>
        <v>18331.550147186277</v>
      </c>
      <c r="M55" s="25">
        <f t="shared" si="17"/>
        <v>727.31827668010249</v>
      </c>
    </row>
    <row r="56" spans="2:13" x14ac:dyDescent="0.3">
      <c r="B56" s="9">
        <v>43930</v>
      </c>
      <c r="C56" s="4">
        <v>50</v>
      </c>
      <c r="E56" s="36"/>
      <c r="F56" s="8">
        <f t="shared" si="14"/>
        <v>132884.27319821774</v>
      </c>
      <c r="G56" s="25">
        <f t="shared" si="15"/>
        <v>2472.0711839397386</v>
      </c>
      <c r="K56" s="28"/>
      <c r="L56" s="8">
        <f t="shared" si="16"/>
        <v>19045.956608111333</v>
      </c>
      <c r="M56" s="25">
        <f t="shared" si="17"/>
        <v>701.21933175505285</v>
      </c>
    </row>
    <row r="57" spans="2:13" x14ac:dyDescent="0.3">
      <c r="B57" s="9">
        <v>43931</v>
      </c>
      <c r="C57" s="4">
        <v>51</v>
      </c>
      <c r="E57" s="36"/>
      <c r="F57" s="8">
        <f t="shared" si="14"/>
        <v>135246.18848447883</v>
      </c>
      <c r="G57" s="25">
        <f t="shared" si="15"/>
        <v>2253.6341459214887</v>
      </c>
      <c r="K57" s="28"/>
      <c r="L57" s="8">
        <f t="shared" si="16"/>
        <v>19733.496829930402</v>
      </c>
      <c r="M57" s="25">
        <f t="shared" si="17"/>
        <v>673.6439418379091</v>
      </c>
    </row>
    <row r="58" spans="2:13" x14ac:dyDescent="0.3">
      <c r="B58" s="9">
        <v>43932</v>
      </c>
      <c r="C58" s="4">
        <v>52</v>
      </c>
      <c r="E58" s="36"/>
      <c r="F58" s="8">
        <f t="shared" si="14"/>
        <v>137395.43643723233</v>
      </c>
      <c r="G58" s="25">
        <f t="shared" si="15"/>
        <v>2046.8713171402367</v>
      </c>
      <c r="K58" s="28"/>
      <c r="L58" s="8">
        <f t="shared" si="16"/>
        <v>20392.866083528632</v>
      </c>
      <c r="M58" s="25">
        <f t="shared" si="17"/>
        <v>644.93269702840041</v>
      </c>
    </row>
    <row r="59" spans="2:13" x14ac:dyDescent="0.3">
      <c r="B59" s="9">
        <v>43933</v>
      </c>
      <c r="C59" s="4">
        <v>53</v>
      </c>
      <c r="E59" s="36"/>
      <c r="F59" s="8">
        <f t="shared" si="14"/>
        <v>139344.04438029812</v>
      </c>
      <c r="G59" s="25">
        <f t="shared" si="15"/>
        <v>1852.4388979495336</v>
      </c>
      <c r="K59" s="28"/>
      <c r="L59" s="8">
        <f t="shared" si="16"/>
        <v>21023.091112038815</v>
      </c>
      <c r="M59" s="25">
        <f t="shared" si="17"/>
        <v>615.40738794047638</v>
      </c>
    </row>
    <row r="60" spans="2:13" x14ac:dyDescent="0.3">
      <c r="B60" s="9">
        <v>43934</v>
      </c>
      <c r="C60" s="4">
        <v>54</v>
      </c>
      <c r="E60" s="36"/>
      <c r="F60" s="8">
        <f t="shared" si="14"/>
        <v>141104.55206726748</v>
      </c>
      <c r="G60" s="25">
        <f t="shared" si="15"/>
        <v>1670.7118737620463</v>
      </c>
      <c r="K60" s="28"/>
      <c r="L60" s="8">
        <f t="shared" si="16"/>
        <v>21623.5097826821</v>
      </c>
      <c r="M60" s="25">
        <f t="shared" si="17"/>
        <v>585.36804901905941</v>
      </c>
    </row>
    <row r="61" spans="2:13" x14ac:dyDescent="0.3">
      <c r="B61" s="9">
        <v>43935</v>
      </c>
      <c r="C61" s="4">
        <v>55</v>
      </c>
      <c r="E61" s="36"/>
      <c r="F61" s="8">
        <f t="shared" si="14"/>
        <v>142689.74943566296</v>
      </c>
      <c r="G61" s="25">
        <f t="shared" si="15"/>
        <v>1501.8219047617717</v>
      </c>
      <c r="K61" s="28"/>
      <c r="L61" s="8">
        <f t="shared" si="16"/>
        <v>22193.748193240299</v>
      </c>
      <c r="M61" s="25">
        <f t="shared" si="17"/>
        <v>555.09081341732667</v>
      </c>
    </row>
    <row r="62" spans="2:13" x14ac:dyDescent="0.3">
      <c r="B62" s="9">
        <v>43936</v>
      </c>
      <c r="C62" s="4">
        <v>56</v>
      </c>
      <c r="E62" s="36"/>
      <c r="F62" s="8">
        <f t="shared" si="14"/>
        <v>144112.45192457692</v>
      </c>
      <c r="G62" s="25">
        <f t="shared" si="15"/>
        <v>1345.6943914319727</v>
      </c>
      <c r="K62" s="28"/>
      <c r="L62" s="8">
        <f t="shared" si="16"/>
        <v>22733.696009769817</v>
      </c>
      <c r="M62" s="25">
        <f t="shared" si="17"/>
        <v>524.82650793270545</v>
      </c>
    </row>
    <row r="63" spans="2:13" x14ac:dyDescent="0.3">
      <c r="B63" s="9">
        <v>43937</v>
      </c>
      <c r="C63" s="4">
        <v>57</v>
      </c>
      <c r="E63" s="36"/>
      <c r="F63" s="8">
        <f t="shared" si="14"/>
        <v>145385.31206039773</v>
      </c>
      <c r="G63" s="25">
        <f t="shared" si="15"/>
        <v>1202.0838165291163</v>
      </c>
      <c r="K63" s="28"/>
      <c r="L63" s="8">
        <f t="shared" si="16"/>
        <v>23243.480736545007</v>
      </c>
      <c r="M63" s="25">
        <f t="shared" si="17"/>
        <v>494.79990892194047</v>
      </c>
    </row>
    <row r="64" spans="2:13" x14ac:dyDescent="0.3">
      <c r="B64" s="9">
        <v>43938</v>
      </c>
      <c r="C64" s="4">
        <v>58</v>
      </c>
      <c r="E64" s="36"/>
      <c r="F64" s="8">
        <f t="shared" si="14"/>
        <v>146520.66524027786</v>
      </c>
      <c r="G64" s="25">
        <f t="shared" si="15"/>
        <v>1070.6067081248545</v>
      </c>
      <c r="K64" s="28"/>
      <c r="L64" s="8">
        <f t="shared" si="16"/>
        <v>23723.441537911553</v>
      </c>
      <c r="M64" s="25">
        <f t="shared" si="17"/>
        <v>465.20957622648967</v>
      </c>
    </row>
    <row r="65" spans="2:13" x14ac:dyDescent="0.3">
      <c r="B65" s="9">
        <v>43939</v>
      </c>
      <c r="C65" s="4">
        <v>59</v>
      </c>
      <c r="E65" s="36"/>
      <c r="F65" s="8">
        <f t="shared" si="14"/>
        <v>147530.40709702825</v>
      </c>
      <c r="G65" s="25">
        <f t="shared" si="15"/>
        <v>950.77178189905976</v>
      </c>
      <c r="K65" s="28"/>
      <c r="L65" s="8">
        <f t="shared" si="16"/>
        <v>24174.103148131286</v>
      </c>
      <c r="M65" s="25">
        <f t="shared" si="17"/>
        <v>436.2281813435294</v>
      </c>
    </row>
    <row r="66" spans="2:13" x14ac:dyDescent="0.3">
      <c r="B66" s="9">
        <v>43940</v>
      </c>
      <c r="C66" s="4">
        <v>60</v>
      </c>
      <c r="E66" s="36"/>
      <c r="F66" s="8">
        <f t="shared" si="14"/>
        <v>148425.89948081787</v>
      </c>
      <c r="G66" s="25">
        <f t="shared" si="15"/>
        <v>842.0070025640465</v>
      </c>
      <c r="K66" s="28"/>
      <c r="L66" s="8">
        <f t="shared" si="16"/>
        <v>24596.150322206639</v>
      </c>
      <c r="M66" s="25">
        <f t="shared" si="17"/>
        <v>408.00324779523135</v>
      </c>
    </row>
    <row r="67" spans="2:13" x14ac:dyDescent="0.3">
      <c r="B67" s="9">
        <v>43941</v>
      </c>
      <c r="C67" s="4">
        <v>61</v>
      </c>
      <c r="E67" s="36"/>
      <c r="F67" s="8">
        <f t="shared" si="14"/>
        <v>149217.90191059982</v>
      </c>
      <c r="G67" s="25">
        <f t="shared" si="15"/>
        <v>743.68345447049296</v>
      </c>
      <c r="K67" s="28"/>
      <c r="L67" s="8">
        <f t="shared" si="16"/>
        <v>24990.403200327051</v>
      </c>
      <c r="M67" s="25">
        <f t="shared" si="17"/>
        <v>380.65822533427547</v>
      </c>
    </row>
    <row r="68" spans="2:13" x14ac:dyDescent="0.3">
      <c r="B68" s="9">
        <v>43942</v>
      </c>
      <c r="C68" s="4">
        <v>62</v>
      </c>
      <c r="E68" s="36"/>
      <c r="F68" s="8">
        <f t="shared" si="14"/>
        <v>149916.5253007673</v>
      </c>
      <c r="G68" s="25">
        <f t="shared" si="15"/>
        <v>655.13603171188481</v>
      </c>
      <c r="K68" s="28"/>
      <c r="L68" s="8">
        <f t="shared" si="16"/>
        <v>25357.793882690792</v>
      </c>
      <c r="M68" s="25">
        <f t="shared" si="17"/>
        <v>354.29382477859491</v>
      </c>
    </row>
    <row r="69" spans="2:13" x14ac:dyDescent="0.3">
      <c r="B69" s="9">
        <v>43943</v>
      </c>
      <c r="C69" s="4">
        <v>63</v>
      </c>
      <c r="E69" s="36"/>
      <c r="F69" s="8">
        <f t="shared" si="14"/>
        <v>150531.20482745057</v>
      </c>
      <c r="G69" s="25">
        <f t="shared" si="15"/>
        <v>575.6810509001391</v>
      </c>
      <c r="K69" s="28"/>
      <c r="L69" s="8">
        <f t="shared" si="16"/>
        <v>25699.344441272046</v>
      </c>
      <c r="M69" s="25">
        <f t="shared" si="17"/>
        <v>328.98954645009565</v>
      </c>
    </row>
    <row r="70" spans="2:13" x14ac:dyDescent="0.3">
      <c r="B70" s="9">
        <v>43944</v>
      </c>
      <c r="C70" s="4">
        <v>64</v>
      </c>
      <c r="E70" s="36"/>
      <c r="F70" s="8">
        <f t="shared" si="14"/>
        <v>151070.68893817108</v>
      </c>
      <c r="G70" s="25">
        <f t="shared" si="15"/>
        <v>504.63095824878252</v>
      </c>
      <c r="K70" s="28"/>
      <c r="L70" s="8">
        <f t="shared" si="16"/>
        <v>26016.146531449631</v>
      </c>
      <c r="M70" s="25">
        <f t="shared" si="17"/>
        <v>304.80534201600148</v>
      </c>
    </row>
    <row r="71" spans="2:13" x14ac:dyDescent="0.3">
      <c r="B71" s="9"/>
      <c r="C71" s="4"/>
    </row>
    <row r="72" spans="2:13" x14ac:dyDescent="0.3">
      <c r="B72" s="9"/>
      <c r="C72" s="4"/>
    </row>
  </sheetData>
  <pageMargins left="0.7" right="0.7" top="0.75" bottom="0.75" header="0.3" footer="0.3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05EB14-AEBC-4B5D-B827-B6FF39F422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40</vt:i4>
      </vt:variant>
    </vt:vector>
  </HeadingPairs>
  <TitlesOfParts>
    <vt:vector size="43" baseType="lpstr">
      <vt:lpstr>dpc-covid19-ita-andamento-naz</vt:lpstr>
      <vt:lpstr>Cumul_confirmed - Power law fit</vt:lpstr>
      <vt:lpstr>New_confirmed - Power law fit</vt:lpstr>
      <vt:lpstr>CI</vt:lpstr>
      <vt:lpstr>CId</vt:lpstr>
      <vt:lpstr>CIh</vt:lpstr>
      <vt:lpstr>CIn</vt:lpstr>
      <vt:lpstr>Critical_t</vt:lpstr>
      <vt:lpstr>Critical_td</vt:lpstr>
      <vt:lpstr>Critical_th</vt:lpstr>
      <vt:lpstr>Critical_tn</vt:lpstr>
      <vt:lpstr>df</vt:lpstr>
      <vt:lpstr>dfd</vt:lpstr>
      <vt:lpstr>dfh</vt:lpstr>
      <vt:lpstr>dfn</vt:lpstr>
      <vt:lpstr>K</vt:lpstr>
      <vt:lpstr>K_end</vt:lpstr>
      <vt:lpstr>K_start</vt:lpstr>
      <vt:lpstr>Kd</vt:lpstr>
      <vt:lpstr>Kh</vt:lpstr>
      <vt:lpstr>Kn</vt:lpstr>
      <vt:lpstr>M_end</vt:lpstr>
      <vt:lpstr>M_start</vt:lpstr>
      <vt:lpstr>Mean_of_y</vt:lpstr>
      <vt:lpstr>Mean_of_yd</vt:lpstr>
      <vt:lpstr>Mean_of_yh</vt:lpstr>
      <vt:lpstr>Mean_of_yn</vt:lpstr>
      <vt:lpstr>RSQ</vt:lpstr>
      <vt:lpstr>RSQd</vt:lpstr>
      <vt:lpstr>RSQh</vt:lpstr>
      <vt:lpstr>RSQn</vt:lpstr>
      <vt:lpstr>SE_of_y</vt:lpstr>
      <vt:lpstr>SE_of_yd</vt:lpstr>
      <vt:lpstr>SE_of_yh</vt:lpstr>
      <vt:lpstr>SE_of_yn</vt:lpstr>
      <vt:lpstr>t0</vt:lpstr>
      <vt:lpstr>t0d</vt:lpstr>
      <vt:lpstr>t0h</vt:lpstr>
      <vt:lpstr>t0n</vt:lpstr>
      <vt:lpstr>w</vt:lpstr>
      <vt:lpstr>wd</vt:lpstr>
      <vt:lpstr>wh</vt:lpstr>
      <vt:lpstr>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 Franco Nali</dc:creator>
  <cp:lastModifiedBy>ampfn</cp:lastModifiedBy>
  <dcterms:created xsi:type="dcterms:W3CDTF">2015-06-05T18:17:20Z</dcterms:created>
  <dcterms:modified xsi:type="dcterms:W3CDTF">2020-03-31T23:49:24Z</dcterms:modified>
</cp:coreProperties>
</file>